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.its.york.ac.uk\pshome\agt520\Desktop\gradient\"/>
    </mc:Choice>
  </mc:AlternateContent>
  <bookViews>
    <workbookView xWindow="0" yWindow="0" windowWidth="25200" windowHeight="11850"/>
  </bookViews>
  <sheets>
    <sheet name="elapsed_time_09_09" sheetId="1" r:id="rId1"/>
  </sheets>
  <calcPr calcId="162913"/>
</workbook>
</file>

<file path=xl/calcChain.xml><?xml version="1.0" encoding="utf-8"?>
<calcChain xmlns="http://schemas.openxmlformats.org/spreadsheetml/2006/main">
  <c r="AC60" i="1" l="1"/>
  <c r="AB60" i="1"/>
  <c r="AA60" i="1"/>
  <c r="Z60" i="1"/>
  <c r="Y60" i="1"/>
  <c r="X60" i="1"/>
  <c r="AC59" i="1"/>
  <c r="AB59" i="1"/>
  <c r="AA59" i="1"/>
  <c r="Z59" i="1"/>
  <c r="Y59" i="1"/>
  <c r="X59" i="1"/>
  <c r="AC58" i="1"/>
  <c r="AB58" i="1"/>
  <c r="AA58" i="1"/>
  <c r="Z58" i="1"/>
  <c r="Y58" i="1"/>
  <c r="X58" i="1"/>
  <c r="AC57" i="1"/>
  <c r="AB57" i="1"/>
  <c r="AA57" i="1"/>
  <c r="Z57" i="1"/>
  <c r="Y57" i="1"/>
  <c r="X57" i="1"/>
  <c r="AC56" i="1"/>
  <c r="AB56" i="1"/>
  <c r="AA56" i="1"/>
  <c r="Z56" i="1"/>
  <c r="Y56" i="1"/>
  <c r="X56" i="1"/>
  <c r="AC55" i="1"/>
  <c r="AB55" i="1"/>
  <c r="AA55" i="1"/>
  <c r="Z55" i="1"/>
  <c r="Y55" i="1"/>
  <c r="X55" i="1"/>
  <c r="AC54" i="1"/>
  <c r="AB54" i="1"/>
  <c r="AA54" i="1"/>
  <c r="Z54" i="1"/>
  <c r="Y54" i="1"/>
  <c r="X54" i="1"/>
  <c r="AC53" i="1"/>
  <c r="AB53" i="1"/>
  <c r="AA53" i="1"/>
  <c r="Z53" i="1"/>
  <c r="Y53" i="1"/>
  <c r="X53" i="1"/>
  <c r="AC52" i="1"/>
  <c r="AB52" i="1"/>
  <c r="AA52" i="1"/>
  <c r="Z52" i="1"/>
  <c r="Y52" i="1"/>
  <c r="X52" i="1"/>
  <c r="AC51" i="1"/>
  <c r="AB51" i="1"/>
  <c r="AA51" i="1"/>
  <c r="Z51" i="1"/>
  <c r="Y51" i="1"/>
  <c r="X51" i="1"/>
  <c r="AC50" i="1"/>
  <c r="AB50" i="1"/>
  <c r="AA50" i="1"/>
  <c r="Z50" i="1"/>
  <c r="Y50" i="1"/>
  <c r="X50" i="1"/>
  <c r="AC49" i="1"/>
  <c r="AB49" i="1"/>
  <c r="AA49" i="1"/>
  <c r="Z49" i="1"/>
  <c r="Y49" i="1"/>
  <c r="X49" i="1"/>
  <c r="AC48" i="1"/>
  <c r="AB48" i="1"/>
  <c r="AA48" i="1"/>
  <c r="Z48" i="1"/>
  <c r="Y48" i="1"/>
  <c r="X48" i="1"/>
  <c r="AC47" i="1"/>
  <c r="AB47" i="1"/>
  <c r="AA47" i="1"/>
  <c r="Z47" i="1"/>
  <c r="Y47" i="1"/>
  <c r="X47" i="1"/>
  <c r="AC46" i="1"/>
  <c r="AB46" i="1"/>
  <c r="AA46" i="1"/>
  <c r="Z46" i="1"/>
  <c r="Y46" i="1"/>
  <c r="X46" i="1"/>
  <c r="AC45" i="1"/>
  <c r="AB45" i="1"/>
  <c r="AA45" i="1"/>
  <c r="Z45" i="1"/>
  <c r="Y45" i="1"/>
  <c r="X45" i="1"/>
  <c r="AC44" i="1"/>
  <c r="AB44" i="1"/>
  <c r="AA44" i="1"/>
  <c r="Z44" i="1"/>
  <c r="Y44" i="1"/>
  <c r="X44" i="1"/>
  <c r="AC43" i="1"/>
  <c r="AB43" i="1"/>
  <c r="AA43" i="1"/>
  <c r="Z43" i="1"/>
  <c r="Y43" i="1"/>
  <c r="X43" i="1"/>
  <c r="AC42" i="1"/>
  <c r="AB42" i="1"/>
  <c r="AA42" i="1"/>
  <c r="Z42" i="1"/>
  <c r="Y42" i="1"/>
  <c r="X42" i="1"/>
  <c r="AC41" i="1"/>
  <c r="AB41" i="1"/>
  <c r="AA41" i="1"/>
  <c r="Z41" i="1"/>
  <c r="Y41" i="1"/>
  <c r="X41" i="1"/>
  <c r="AC40" i="1"/>
  <c r="AB40" i="1"/>
  <c r="AA40" i="1"/>
  <c r="Z40" i="1"/>
  <c r="Y40" i="1"/>
  <c r="X40" i="1"/>
  <c r="AC39" i="1"/>
  <c r="AB39" i="1"/>
  <c r="AA39" i="1"/>
  <c r="Z39" i="1"/>
  <c r="Y39" i="1"/>
  <c r="X39" i="1"/>
  <c r="AC38" i="1"/>
  <c r="AB38" i="1"/>
  <c r="AA38" i="1"/>
  <c r="Z38" i="1"/>
  <c r="Y38" i="1"/>
  <c r="X38" i="1"/>
  <c r="AC37" i="1"/>
  <c r="AB37" i="1"/>
  <c r="AA37" i="1"/>
  <c r="Z37" i="1"/>
  <c r="Y37" i="1"/>
  <c r="X37" i="1"/>
  <c r="AC36" i="1"/>
  <c r="AB36" i="1"/>
  <c r="AA36" i="1"/>
  <c r="Z36" i="1"/>
  <c r="Y36" i="1"/>
  <c r="X36" i="1"/>
  <c r="AC35" i="1"/>
  <c r="AB35" i="1"/>
  <c r="AA35" i="1"/>
  <c r="Z35" i="1"/>
  <c r="Y35" i="1"/>
  <c r="X35" i="1"/>
  <c r="AC34" i="1"/>
  <c r="AB34" i="1"/>
  <c r="AA34" i="1"/>
  <c r="Z34" i="1"/>
  <c r="Y34" i="1"/>
  <c r="X34" i="1"/>
  <c r="AC33" i="1"/>
  <c r="AB33" i="1"/>
  <c r="AA33" i="1"/>
  <c r="Z33" i="1"/>
  <c r="Y33" i="1"/>
  <c r="X33" i="1"/>
  <c r="AC32" i="1"/>
  <c r="AB32" i="1"/>
  <c r="AA32" i="1"/>
  <c r="Z32" i="1"/>
  <c r="Y32" i="1"/>
  <c r="X32" i="1"/>
  <c r="AC31" i="1"/>
  <c r="AB31" i="1"/>
  <c r="AA31" i="1"/>
  <c r="Z31" i="1"/>
  <c r="Y31" i="1"/>
  <c r="X31" i="1"/>
  <c r="AC30" i="1"/>
  <c r="AB30" i="1"/>
  <c r="AA30" i="1"/>
  <c r="Z30" i="1"/>
  <c r="Y30" i="1"/>
  <c r="X30" i="1"/>
  <c r="AC29" i="1"/>
  <c r="AB29" i="1"/>
  <c r="AA29" i="1"/>
  <c r="Z29" i="1"/>
  <c r="Y29" i="1"/>
  <c r="X29" i="1"/>
  <c r="AC28" i="1"/>
  <c r="AB28" i="1"/>
  <c r="AA28" i="1"/>
  <c r="Z28" i="1"/>
  <c r="Y28" i="1"/>
  <c r="X28" i="1"/>
  <c r="AC27" i="1"/>
  <c r="AB27" i="1"/>
  <c r="AA27" i="1"/>
  <c r="Z27" i="1"/>
  <c r="Y27" i="1"/>
  <c r="X27" i="1"/>
  <c r="AC26" i="1"/>
  <c r="AB26" i="1"/>
  <c r="AA26" i="1"/>
  <c r="Z26" i="1"/>
  <c r="Y26" i="1"/>
  <c r="X26" i="1"/>
  <c r="AC25" i="1"/>
  <c r="AB25" i="1"/>
  <c r="AA25" i="1"/>
  <c r="Z25" i="1"/>
  <c r="Y25" i="1"/>
  <c r="X25" i="1"/>
  <c r="AC24" i="1"/>
  <c r="AB24" i="1"/>
  <c r="AA24" i="1"/>
  <c r="Z24" i="1"/>
  <c r="Y24" i="1"/>
  <c r="X24" i="1"/>
  <c r="AC23" i="1"/>
  <c r="AB23" i="1"/>
  <c r="AA23" i="1"/>
  <c r="Z23" i="1"/>
  <c r="Y23" i="1"/>
  <c r="X23" i="1"/>
  <c r="AC22" i="1"/>
  <c r="AB22" i="1"/>
  <c r="AA22" i="1"/>
  <c r="Z22" i="1"/>
  <c r="Y22" i="1"/>
  <c r="X22" i="1"/>
  <c r="AC21" i="1"/>
  <c r="AB21" i="1"/>
  <c r="AA21" i="1"/>
  <c r="Z21" i="1"/>
  <c r="Y21" i="1"/>
  <c r="X21" i="1"/>
  <c r="AC20" i="1"/>
  <c r="AB20" i="1"/>
  <c r="AA20" i="1"/>
  <c r="Z20" i="1"/>
  <c r="Y20" i="1"/>
  <c r="X20" i="1"/>
  <c r="AC19" i="1"/>
  <c r="AB19" i="1"/>
  <c r="AA19" i="1"/>
  <c r="Z19" i="1"/>
  <c r="Y19" i="1"/>
  <c r="X19" i="1"/>
  <c r="AC18" i="1"/>
  <c r="AB18" i="1"/>
  <c r="AA18" i="1"/>
  <c r="Z18" i="1"/>
  <c r="Y18" i="1"/>
  <c r="X18" i="1"/>
  <c r="AC17" i="1"/>
  <c r="AB17" i="1"/>
  <c r="AA17" i="1"/>
  <c r="Z17" i="1"/>
  <c r="Y17" i="1"/>
  <c r="X17" i="1"/>
  <c r="AC16" i="1"/>
  <c r="AB16" i="1"/>
  <c r="AA16" i="1"/>
  <c r="Z16" i="1"/>
  <c r="Y16" i="1"/>
  <c r="X16" i="1"/>
  <c r="AC15" i="1"/>
  <c r="AB15" i="1"/>
  <c r="AA15" i="1"/>
  <c r="Z15" i="1"/>
  <c r="Y15" i="1"/>
  <c r="X15" i="1"/>
  <c r="AC14" i="1"/>
  <c r="AB14" i="1"/>
  <c r="AA14" i="1"/>
  <c r="Z14" i="1"/>
  <c r="Y14" i="1"/>
  <c r="X14" i="1"/>
  <c r="AC13" i="1"/>
  <c r="AB13" i="1"/>
  <c r="AA13" i="1"/>
  <c r="Z13" i="1"/>
  <c r="Y13" i="1"/>
  <c r="X13" i="1"/>
  <c r="AC12" i="1"/>
  <c r="AB12" i="1"/>
  <c r="AA12" i="1"/>
  <c r="Z12" i="1"/>
  <c r="Y12" i="1"/>
  <c r="X12" i="1"/>
  <c r="AC11" i="1"/>
  <c r="AB11" i="1"/>
  <c r="AA11" i="1"/>
  <c r="Z11" i="1"/>
  <c r="Y11" i="1"/>
  <c r="X11" i="1"/>
  <c r="AC10" i="1"/>
  <c r="AB10" i="1"/>
  <c r="AA10" i="1"/>
  <c r="Z10" i="1"/>
  <c r="Y10" i="1"/>
  <c r="X10" i="1"/>
  <c r="AC9" i="1"/>
  <c r="AB9" i="1"/>
  <c r="AA9" i="1"/>
  <c r="Z9" i="1"/>
  <c r="Y9" i="1"/>
  <c r="X9" i="1"/>
  <c r="AC8" i="1"/>
  <c r="AB8" i="1"/>
  <c r="AA8" i="1"/>
  <c r="Z8" i="1"/>
  <c r="Y8" i="1"/>
  <c r="X8" i="1"/>
  <c r="AC7" i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AC4" i="1"/>
  <c r="AB4" i="1"/>
  <c r="AA4" i="1"/>
  <c r="Z4" i="1"/>
  <c r="Y4" i="1"/>
  <c r="X4" i="1"/>
  <c r="AC3" i="1"/>
  <c r="AB3" i="1"/>
  <c r="AA3" i="1"/>
  <c r="Z3" i="1"/>
  <c r="Y3" i="1"/>
  <c r="X3" i="1"/>
  <c r="AC2" i="1"/>
  <c r="AB2" i="1"/>
  <c r="AA2" i="1"/>
  <c r="Z2" i="1"/>
  <c r="Y2" i="1"/>
  <c r="X2" i="1"/>
  <c r="W60" i="1" l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<sst xmlns="http://schemas.openxmlformats.org/spreadsheetml/2006/main" count="38" uniqueCount="38">
  <si>
    <t>RIDNO</t>
  </si>
  <si>
    <t>ID</t>
  </si>
  <si>
    <t>AGE</t>
  </si>
  <si>
    <t>GENDER</t>
  </si>
  <si>
    <t>Gradient1NTET</t>
  </si>
  <si>
    <t>Gradient2NTET</t>
  </si>
  <si>
    <t>Gradient3NTET</t>
  </si>
  <si>
    <t>Gradient3NTETneg</t>
  </si>
  <si>
    <t>Gradient1NTETCRT</t>
  </si>
  <si>
    <t>Gradient2NTETCRT</t>
  </si>
  <si>
    <t>Gradient3NTETCRT</t>
  </si>
  <si>
    <t>Gradient1NTETWM</t>
  </si>
  <si>
    <t>Gradient2NTETWM</t>
  </si>
  <si>
    <t>Gradient3NTETWM</t>
  </si>
  <si>
    <t>Gradient1TTET</t>
  </si>
  <si>
    <t>Gradient2TTET</t>
  </si>
  <si>
    <t>Gradient3TTET</t>
  </si>
  <si>
    <t>Gradient1TTETCRT</t>
  </si>
  <si>
    <t>Gradient2TTETCRT</t>
  </si>
  <si>
    <t>Gradient3TTETCRT</t>
  </si>
  <si>
    <t>Gradient1TTETWM</t>
  </si>
  <si>
    <t>Gradient2TTETWM</t>
  </si>
  <si>
    <t>Gradient3TTETWM</t>
  </si>
  <si>
    <t>Gradient1Offtask</t>
  </si>
  <si>
    <t>Gradient2Offtask</t>
  </si>
  <si>
    <t>Gradient3Offtask</t>
  </si>
  <si>
    <t>Gradient1Ontask</t>
  </si>
  <si>
    <t>Gradient2Ontask</t>
  </si>
  <si>
    <t>Gradient3Ontask</t>
  </si>
  <si>
    <t>timecorrCRT</t>
  </si>
  <si>
    <t>timecorrWM</t>
  </si>
  <si>
    <t>timecorr</t>
  </si>
  <si>
    <t>timecorr_offtask</t>
  </si>
  <si>
    <t>NTMN_fqmean</t>
  </si>
  <si>
    <t>TTMN_fqmean</t>
  </si>
  <si>
    <t>ACC_CRT</t>
  </si>
  <si>
    <t>ACC_WM</t>
  </si>
  <si>
    <t>mean_fd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</si>
</sst>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"/>
  <sheetViews>
    <sheetView tabSelected="1" topLeftCell="E1" workbookViewId="0">
      <selection activeCell="K65" sqref="K65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3262</v>
      </c>
      <c r="B2">
        <v>1</v>
      </c>
      <c r="C2">
        <v>27</v>
      </c>
      <c r="D2">
        <v>1</v>
      </c>
      <c r="E2">
        <f>-0.008632054*(-1)</f>
        <v>8.6320540000000001E-3</v>
      </c>
      <c r="F2">
        <f>0.0548036*(-1)</f>
        <v>-5.4803600000000001E-2</v>
      </c>
      <c r="G2">
        <f>-0.082157308*(-1)</f>
        <v>8.2157307999999998E-2</v>
      </c>
      <c r="H2">
        <f>0.082157308*(-1)</f>
        <v>-8.2157307999999998E-2</v>
      </c>
      <c r="I2">
        <f>-0.042144055*(-1)</f>
        <v>4.2144055E-2</v>
      </c>
      <c r="J2">
        <f>-0.006701958*(-1)</f>
        <v>6.701958E-3</v>
      </c>
      <c r="K2">
        <f>0.051602529*(-1)</f>
        <v>-5.1602529000000001E-2</v>
      </c>
      <c r="L2">
        <f>0.089336142*(-1)</f>
        <v>-8.9336141999999993E-2</v>
      </c>
      <c r="M2">
        <f>0.084916518*(-1)</f>
        <v>-8.4916517999999996E-2</v>
      </c>
      <c r="N2">
        <f>-0.133311046*(-1)</f>
        <v>0.13331104599999999</v>
      </c>
      <c r="O2">
        <f>0.072952974*(-1)</f>
        <v>-7.2952974000000004E-2</v>
      </c>
      <c r="P2">
        <f>0.006772202*(-1)</f>
        <v>-6.7722019999999997E-3</v>
      </c>
      <c r="Q2">
        <f>0.022467218*(-1)</f>
        <v>-2.2467218000000001E-2</v>
      </c>
      <c r="R2">
        <f>0.071135687*(-1)</f>
        <v>-7.1135687000000003E-2</v>
      </c>
      <c r="S2">
        <f>0.032479133*(-1)</f>
        <v>-3.2479133E-2</v>
      </c>
      <c r="T2">
        <f>-0.016286211*(-1)</f>
        <v>1.6286210999999998E-2</v>
      </c>
      <c r="U2">
        <f>-0.029730751*(-1)</f>
        <v>2.9730751E-2</v>
      </c>
      <c r="V2">
        <f>-0.030411498*(-1)</f>
        <v>3.0411497999999999E-2</v>
      </c>
      <c r="W2">
        <f>0.205386015*(-1)</f>
        <v>-0.20538601500000001</v>
      </c>
      <c r="X2">
        <f>(0.054918696*(-1))*(-1)</f>
        <v>5.4918696000000003E-2</v>
      </c>
      <c r="Y2">
        <f>(-0.051260981*(-1))*(-1)</f>
        <v>-5.1260980999999997E-2</v>
      </c>
      <c r="Z2">
        <f>(0.178116251*(-1))*(-1)</f>
        <v>0.178116251</v>
      </c>
      <c r="AA2">
        <f>(-0.054918696*(-1))*(-1)</f>
        <v>-5.4918696000000003E-2</v>
      </c>
      <c r="AB2">
        <f>(0.051260981*(-1))*(-1)</f>
        <v>5.1260980999999997E-2</v>
      </c>
      <c r="AC2">
        <f>(-0.178116251*(-1))*(-1)</f>
        <v>-0.178116251</v>
      </c>
      <c r="AD2">
        <v>-0.14355406600000001</v>
      </c>
      <c r="AE2">
        <v>0.20873534299999999</v>
      </c>
      <c r="AF2">
        <v>3.2590638499999998E-2</v>
      </c>
      <c r="AG2">
        <v>-3.2590638499999998E-2</v>
      </c>
      <c r="AH2">
        <v>9.6439999999999998E-3</v>
      </c>
      <c r="AI2">
        <v>-7.1069999999999994E-2</v>
      </c>
      <c r="AJ2">
        <v>1</v>
      </c>
      <c r="AK2">
        <v>1</v>
      </c>
      <c r="AL2">
        <v>7.708959E-2</v>
      </c>
    </row>
    <row r="3" spans="1:38" x14ac:dyDescent="0.25">
      <c r="A3">
        <v>3678</v>
      </c>
      <c r="B3">
        <v>2</v>
      </c>
      <c r="C3">
        <v>20</v>
      </c>
      <c r="D3">
        <v>0</v>
      </c>
      <c r="E3">
        <f>-0.006117024*(-1)</f>
        <v>6.1170240000000004E-3</v>
      </c>
      <c r="F3">
        <f>0.283601517*(-1)</f>
        <v>-0.28360151700000003</v>
      </c>
      <c r="G3">
        <f>0.138603273*(-1)</f>
        <v>-0.138603273</v>
      </c>
      <c r="H3">
        <f>-0.138603273*(-1)</f>
        <v>0.138603273</v>
      </c>
      <c r="I3">
        <f>0.030157035*(-1)</f>
        <v>-3.0157034999999999E-2</v>
      </c>
      <c r="J3">
        <f>0.095887515*(-1)</f>
        <v>-9.5887515000000006E-2</v>
      </c>
      <c r="K3">
        <f>0.302785931*(-1)</f>
        <v>-0.30278593100000001</v>
      </c>
      <c r="L3">
        <f>-0.020911729*(-1)</f>
        <v>2.0911729E-2</v>
      </c>
      <c r="M3">
        <f>0.315796697*(-1)</f>
        <v>-0.31579669700000002</v>
      </c>
      <c r="N3">
        <f>0.038274108*(-1)</f>
        <v>-3.8274108000000001E-2</v>
      </c>
      <c r="O3">
        <f>0.067314309*(-1)</f>
        <v>-6.7314309000000003E-2</v>
      </c>
      <c r="P3">
        <f>-0.144052343*(-1)</f>
        <v>0.144052343</v>
      </c>
      <c r="Q3">
        <f>0.213147191*(-1)</f>
        <v>-0.21314719100000001</v>
      </c>
      <c r="R3">
        <f>0.007620113*(-1)</f>
        <v>-7.6201130000000004E-3</v>
      </c>
      <c r="S3">
        <f>0.041596704*(-1)</f>
        <v>-4.1596703999999998E-2</v>
      </c>
      <c r="T3">
        <f>0.016368571*(-1)</f>
        <v>-1.6368570999999998E-2</v>
      </c>
      <c r="U3">
        <f>0.08117613*(-1)</f>
        <v>-8.1176129999999999E-2</v>
      </c>
      <c r="V3">
        <f>-0.260817392*(-1)</f>
        <v>0.26081739199999998</v>
      </c>
      <c r="W3">
        <f>0.151120425*(-1)</f>
        <v>-0.151120425</v>
      </c>
      <c r="X3">
        <f>(0.042006159*(-1))*(-1)</f>
        <v>4.2006159000000001E-2</v>
      </c>
      <c r="Y3">
        <f>(0.016723381*(-1))*(-1)</f>
        <v>1.6723380999999999E-2</v>
      </c>
      <c r="Z3">
        <f>(-0.364421344*(-1))*(-1)</f>
        <v>-0.36442134399999998</v>
      </c>
      <c r="AA3">
        <f>(-0.042006159*(-1))*(-1)</f>
        <v>-4.2006159000000001E-2</v>
      </c>
      <c r="AB3">
        <f>(-0.016723381*(-1))*(-1)</f>
        <v>-1.6723380999999999E-2</v>
      </c>
      <c r="AC3">
        <f>(0.364421344*(-1))*(-1)</f>
        <v>0.36442134399999998</v>
      </c>
      <c r="AD3">
        <v>-5.5355949999999999E-3</v>
      </c>
      <c r="AE3">
        <v>0.130376042</v>
      </c>
      <c r="AF3">
        <v>6.2420223499999997E-2</v>
      </c>
      <c r="AG3">
        <v>-6.2420223499999997E-2</v>
      </c>
      <c r="AH3">
        <v>0.12509999999999999</v>
      </c>
      <c r="AI3">
        <v>5.9040000000000002E-2</v>
      </c>
      <c r="AJ3">
        <v>1</v>
      </c>
      <c r="AK3">
        <v>0.944444444444</v>
      </c>
      <c r="AL3">
        <v>5.7408899999999999E-2</v>
      </c>
    </row>
    <row r="4" spans="1:38" x14ac:dyDescent="0.25">
      <c r="A4">
        <v>2595</v>
      </c>
      <c r="B4">
        <v>3</v>
      </c>
      <c r="C4">
        <v>27</v>
      </c>
      <c r="D4">
        <v>0</v>
      </c>
      <c r="E4">
        <f>0.029325671*(-1)</f>
        <v>-2.9325671000000001E-2</v>
      </c>
      <c r="F4">
        <f>0.051155011*(-1)</f>
        <v>-5.1155011E-2</v>
      </c>
      <c r="G4">
        <f>0.096705837*(-1)</f>
        <v>-9.6705837000000003E-2</v>
      </c>
      <c r="H4">
        <f>-0.096705837*(-1)</f>
        <v>9.6705837000000003E-2</v>
      </c>
      <c r="I4">
        <f>-0.036090106*(-1)</f>
        <v>3.6090105999999997E-2</v>
      </c>
      <c r="J4">
        <f>0.013348136*(-1)</f>
        <v>-1.3348136E-2</v>
      </c>
      <c r="K4">
        <f>0.060534399*(-1)</f>
        <v>-6.0534399000000003E-2</v>
      </c>
      <c r="L4">
        <f>0.110999061*(-1)</f>
        <v>-0.110999061</v>
      </c>
      <c r="M4">
        <f>0.040370355*(-1)</f>
        <v>-4.0370354999999997E-2</v>
      </c>
      <c r="N4">
        <f>0.039092733*(-1)</f>
        <v>-3.9092732999999998E-2</v>
      </c>
      <c r="O4">
        <f>-0.052906766*(-1)</f>
        <v>5.2906766000000001E-2</v>
      </c>
      <c r="P4">
        <f>0.018256547*(-1)</f>
        <v>-1.8256547000000001E-2</v>
      </c>
      <c r="Q4">
        <f>-0.068950893*(-1)</f>
        <v>6.8950892999999999E-2</v>
      </c>
      <c r="R4">
        <f>-0.005097094*(-1)</f>
        <v>5.0970939999999999E-3</v>
      </c>
      <c r="S4">
        <f>0.055520226*(-1)</f>
        <v>-5.5520225999999999E-2</v>
      </c>
      <c r="T4">
        <f>-0.012499888*(-1)</f>
        <v>1.2499888000000001E-2</v>
      </c>
      <c r="U4">
        <f>-0.06550983*(-1)</f>
        <v>6.5509830000000005E-2</v>
      </c>
      <c r="V4">
        <f>-0.01177507*(-1)</f>
        <v>1.177507E-2</v>
      </c>
      <c r="W4">
        <f>-0.087897872*(-1)</f>
        <v>8.7897872000000002E-2</v>
      </c>
      <c r="X4">
        <f>(0.019469101*(-1))*(-1)</f>
        <v>1.9469100999999999E-2</v>
      </c>
      <c r="Y4">
        <f>(0.066195712*(-1))*(-1)</f>
        <v>6.6195712000000004E-2</v>
      </c>
      <c r="Z4">
        <f>(-0.065967156*(-1))*(-1)</f>
        <v>-6.5967155999999999E-2</v>
      </c>
      <c r="AA4">
        <f>(-0.019469101*(-1))*(-1)</f>
        <v>-1.9469100999999999E-2</v>
      </c>
      <c r="AB4">
        <f>(-0.066195712*(-1))*(-1)</f>
        <v>-6.6195712000000004E-2</v>
      </c>
      <c r="AC4">
        <f>(0.065967156*(-1))*(-1)</f>
        <v>6.5967155999999999E-2</v>
      </c>
      <c r="AD4">
        <v>0.48697043000000001</v>
      </c>
      <c r="AE4">
        <v>0.10899426600000001</v>
      </c>
      <c r="AF4">
        <v>0.29798234800000001</v>
      </c>
      <c r="AG4">
        <v>-0.29798234800000001</v>
      </c>
      <c r="AH4">
        <v>6.1710000000000001E-2</v>
      </c>
      <c r="AI4">
        <v>0.30580000000000002</v>
      </c>
      <c r="AJ4">
        <v>1</v>
      </c>
      <c r="AK4">
        <v>1</v>
      </c>
      <c r="AL4">
        <v>0.16568842</v>
      </c>
    </row>
    <row r="5" spans="1:38" x14ac:dyDescent="0.25">
      <c r="A5">
        <v>4052</v>
      </c>
      <c r="B5">
        <v>4</v>
      </c>
      <c r="C5">
        <v>25</v>
      </c>
      <c r="D5">
        <v>0</v>
      </c>
      <c r="E5">
        <f>-0.00410209*(-1)</f>
        <v>4.1020900000000001E-3</v>
      </c>
      <c r="F5">
        <f>0.123181951*(-1)</f>
        <v>-0.123181951</v>
      </c>
      <c r="G5">
        <f>0.081950601*(-1)</f>
        <v>-8.1950600999999998E-2</v>
      </c>
      <c r="H5">
        <f>-0.081950601*(-1)</f>
        <v>8.1950600999999998E-2</v>
      </c>
      <c r="I5">
        <f>-0.023640386*(-1)</f>
        <v>2.3640385999999999E-2</v>
      </c>
      <c r="J5">
        <f>0.146379761*(-1)</f>
        <v>-0.146379761</v>
      </c>
      <c r="K5">
        <f>0.098215848*(-1)</f>
        <v>-9.8215847999999994E-2</v>
      </c>
      <c r="L5">
        <f>0.051923708*(-1)</f>
        <v>-5.1923707999999999E-2</v>
      </c>
      <c r="M5">
        <f>0.067646614*(-1)</f>
        <v>-6.7646613999999994E-2</v>
      </c>
      <c r="N5">
        <f>0.032546276*(-1)</f>
        <v>-3.2546275999999999E-2</v>
      </c>
      <c r="O5">
        <f>-0.008897943*(-1)</f>
        <v>8.8979430000000002E-3</v>
      </c>
      <c r="P5">
        <f>-0.055058225*(-1)</f>
        <v>5.5058225000000002E-2</v>
      </c>
      <c r="Q5">
        <f>-0.042000807*(-1)</f>
        <v>4.2000807000000001E-2</v>
      </c>
      <c r="R5">
        <f>0.022283868*(-1)</f>
        <v>-2.2283867999999998E-2</v>
      </c>
      <c r="S5">
        <f>0.01616285*(-1)</f>
        <v>-1.6162849999999999E-2</v>
      </c>
      <c r="T5">
        <f>-0.115017979*(-1)</f>
        <v>0.11501797900000001</v>
      </c>
      <c r="U5">
        <f>-0.030444373*(-1)</f>
        <v>3.0444373E-2</v>
      </c>
      <c r="V5">
        <f>0.013708895*(-1)</f>
        <v>-1.3708895E-2</v>
      </c>
      <c r="W5">
        <f>0.001400892*(-1)</f>
        <v>-1.4008919999999999E-3</v>
      </c>
      <c r="X5">
        <f>(-0.004464648*(-1))*(-1)</f>
        <v>-4.4646479999999999E-3</v>
      </c>
      <c r="Y5">
        <f>(0.081773392*(-1))*(-1)</f>
        <v>8.1773392E-2</v>
      </c>
      <c r="Z5">
        <f>(0.205442705*(-1))*(-1)</f>
        <v>0.205442705</v>
      </c>
      <c r="AA5">
        <f>(0.004464648*(-1))*(-1)</f>
        <v>4.4646479999999999E-3</v>
      </c>
      <c r="AB5">
        <f>(-0.081773392*(-1))*(-1)</f>
        <v>-8.1773392E-2</v>
      </c>
      <c r="AC5">
        <f>(-0.205442705*(-1))*(-1)</f>
        <v>-0.205442705</v>
      </c>
      <c r="AD5">
        <v>-3.3396532E-2</v>
      </c>
      <c r="AE5">
        <v>0.20107098000000001</v>
      </c>
      <c r="AF5">
        <v>8.3837224000000002E-2</v>
      </c>
      <c r="AG5">
        <v>-8.3837224000000002E-2</v>
      </c>
      <c r="AH5">
        <v>2.6839999999999999E-2</v>
      </c>
      <c r="AI5">
        <v>-1.6709999999999999E-2</v>
      </c>
      <c r="AJ5">
        <v>1</v>
      </c>
      <c r="AK5">
        <v>0.75</v>
      </c>
      <c r="AL5">
        <v>7.8901360000000004E-2</v>
      </c>
    </row>
    <row r="6" spans="1:38" x14ac:dyDescent="0.25">
      <c r="A6">
        <v>4167</v>
      </c>
      <c r="B6">
        <v>5</v>
      </c>
      <c r="C6">
        <v>21</v>
      </c>
      <c r="D6">
        <v>0</v>
      </c>
      <c r="E6">
        <f>-0.077065077*(-1)</f>
        <v>7.7065076999999996E-2</v>
      </c>
      <c r="F6">
        <f>0.19631129*(-1)</f>
        <v>-0.19631129</v>
      </c>
      <c r="G6">
        <f>0.336938953*(-1)</f>
        <v>-0.33693895299999999</v>
      </c>
      <c r="H6">
        <f>-0.336938953*(-1)</f>
        <v>0.33693895299999999</v>
      </c>
      <c r="I6">
        <f>-0.083385591*(-1)</f>
        <v>8.3385590999999995E-2</v>
      </c>
      <c r="J6">
        <f>0.155110475*(-1)</f>
        <v>-0.155110475</v>
      </c>
      <c r="K6">
        <f>0.332020792*(-1)</f>
        <v>-0.33202079200000001</v>
      </c>
      <c r="L6">
        <f>-0.010267147*(-1)</f>
        <v>1.0267147000000001E-2</v>
      </c>
      <c r="M6">
        <f>0.13190286*(-1)</f>
        <v>-0.13190286000000001</v>
      </c>
      <c r="N6">
        <f>0.240081379*(-1)</f>
        <v>-0.24008137900000001</v>
      </c>
      <c r="O6">
        <f>0.077153186*(-1)</f>
        <v>-7.7153185999999999E-2</v>
      </c>
      <c r="P6">
        <f>0.075987217*(-1)</f>
        <v>-7.5987216999999996E-2</v>
      </c>
      <c r="Q6">
        <f>-0.008927847*(-1)</f>
        <v>8.9278469999999992E-3</v>
      </c>
      <c r="R6">
        <f>0.049070392*(-1)</f>
        <v>-4.9070391999999997E-2</v>
      </c>
      <c r="S6">
        <f>0.0179285*(-1)</f>
        <v>-1.79285E-2</v>
      </c>
      <c r="T6">
        <f>-0.328678613*(-1)</f>
        <v>0.32867861300000001</v>
      </c>
      <c r="U6">
        <f>0.027989093*(-1)</f>
        <v>-2.7989093E-2</v>
      </c>
      <c r="V6">
        <f>0.116528265*(-1)</f>
        <v>-0.11652826500000001</v>
      </c>
      <c r="W6">
        <f>0.313468819*(-1)</f>
        <v>-0.31346881900000001</v>
      </c>
      <c r="X6">
        <f>(0.061457466*(-1))*(-1)</f>
        <v>6.1457466000000002E-2</v>
      </c>
      <c r="Y6">
        <f>(-0.103125801*(-1))*(-1)</f>
        <v>-0.103125801</v>
      </c>
      <c r="Z6">
        <f>(0.031194682*(-1))*(-1)</f>
        <v>3.1194682000000001E-2</v>
      </c>
      <c r="AA6">
        <f>(-0.061457466*(-1))*(-1)</f>
        <v>-6.1457466000000002E-2</v>
      </c>
      <c r="AB6">
        <f>(0.103125801*(-1))*(-1)</f>
        <v>0.103125801</v>
      </c>
      <c r="AC6">
        <f>(-0.031194682*(-1))*(-1)</f>
        <v>-3.1194682000000001E-2</v>
      </c>
      <c r="AD6">
        <v>0.19208945699999999</v>
      </c>
      <c r="AE6">
        <v>0.15329965300000001</v>
      </c>
      <c r="AF6">
        <v>0.172694555</v>
      </c>
      <c r="AG6">
        <v>-0.172694555</v>
      </c>
      <c r="AH6">
        <v>0.22259999999999999</v>
      </c>
      <c r="AI6">
        <v>0.25700000000000001</v>
      </c>
      <c r="AJ6">
        <v>0.95238095238099996</v>
      </c>
      <c r="AK6">
        <v>0.93333333333299995</v>
      </c>
      <c r="AL6">
        <v>0.19678803</v>
      </c>
    </row>
    <row r="7" spans="1:38" x14ac:dyDescent="0.25">
      <c r="A7">
        <v>4047</v>
      </c>
      <c r="B7">
        <v>6</v>
      </c>
      <c r="C7">
        <v>23</v>
      </c>
      <c r="D7">
        <v>1</v>
      </c>
      <c r="E7">
        <f>-0.031681614*(-1)</f>
        <v>3.1681613999999997E-2</v>
      </c>
      <c r="F7">
        <f>0.21196373*(-1)</f>
        <v>-0.21196372999999999</v>
      </c>
      <c r="G7">
        <f>-0.033032022*(-1)</f>
        <v>3.3032022000000001E-2</v>
      </c>
      <c r="H7">
        <f>0.033032022*(-1)</f>
        <v>-3.3032022000000001E-2</v>
      </c>
      <c r="I7">
        <f>-0.061216044*(-1)</f>
        <v>6.1216043999999997E-2</v>
      </c>
      <c r="J7">
        <f>0.261654608*(-1)</f>
        <v>-0.26165460800000001</v>
      </c>
      <c r="K7">
        <f>0.0083302*(-1)</f>
        <v>-8.3301999999999994E-3</v>
      </c>
      <c r="L7">
        <f>0.020100485*(-1)</f>
        <v>-2.0100485000000001E-2</v>
      </c>
      <c r="M7">
        <f>0.097357576*(-1)</f>
        <v>-9.7357576000000001E-2</v>
      </c>
      <c r="N7">
        <f>-0.060685884*(-1)</f>
        <v>6.0685884000000002E-2</v>
      </c>
      <c r="O7">
        <f>0.018232632*(-1)</f>
        <v>-1.8232631999999999E-2</v>
      </c>
      <c r="P7">
        <f>-0.015303629*(-1)</f>
        <v>1.5303628999999999E-2</v>
      </c>
      <c r="Q7">
        <f>0.197252638*(-1)</f>
        <v>-0.19725263800000001</v>
      </c>
      <c r="R7">
        <f>0.03963765*(-1)</f>
        <v>-3.9637650000000003E-2</v>
      </c>
      <c r="S7">
        <f>-0.01107913*(-1)</f>
        <v>1.107913E-2</v>
      </c>
      <c r="T7">
        <f>0.199048164*(-1)</f>
        <v>-0.199048164</v>
      </c>
      <c r="U7">
        <f>-0.027033558*(-1)</f>
        <v>2.7033557999999999E-2</v>
      </c>
      <c r="V7">
        <f>-0.021699412*(-1)</f>
        <v>2.1699412000000001E-2</v>
      </c>
      <c r="W7">
        <f>0.091331893*(-1)</f>
        <v>-9.1331892999999997E-2</v>
      </c>
      <c r="X7">
        <f>(0.000220115*(-1))*(-1)</f>
        <v>2.20115E-4</v>
      </c>
      <c r="Y7">
        <f>(0.051774323*(-1))*(-1)</f>
        <v>5.1774322999999997E-2</v>
      </c>
      <c r="Z7">
        <f>(0.26951583*(-1))*(-1)</f>
        <v>0.26951583000000001</v>
      </c>
      <c r="AA7">
        <f>(-0.000220115*(-1))*(-1)</f>
        <v>-2.20115E-4</v>
      </c>
      <c r="AB7">
        <f>(-0.051774323*(-1))*(-1)</f>
        <v>-5.1774322999999997E-2</v>
      </c>
      <c r="AC7">
        <f>(-0.26951583*(-1))*(-1)</f>
        <v>-0.26951583000000001</v>
      </c>
      <c r="AD7">
        <v>-5.8673636000000001E-2</v>
      </c>
      <c r="AE7">
        <v>0.42714898299999998</v>
      </c>
      <c r="AF7">
        <v>0.1842376735</v>
      </c>
      <c r="AG7">
        <v>-0.1842376735</v>
      </c>
      <c r="AH7">
        <v>-1.5010000000000001E-2</v>
      </c>
      <c r="AI7">
        <v>4.6179999999999999E-2</v>
      </c>
      <c r="AJ7">
        <v>1</v>
      </c>
      <c r="AK7">
        <v>0.94117647058800002</v>
      </c>
      <c r="AL7">
        <v>9.2661460000000001E-2</v>
      </c>
    </row>
    <row r="8" spans="1:38" x14ac:dyDescent="0.25">
      <c r="A8">
        <v>3884</v>
      </c>
      <c r="B8">
        <v>7</v>
      </c>
      <c r="C8">
        <v>20</v>
      </c>
      <c r="D8">
        <v>1</v>
      </c>
      <c r="E8">
        <f>-0.054249823*(-1)</f>
        <v>5.4249823000000003E-2</v>
      </c>
      <c r="F8">
        <f>0.001076893*(-1)</f>
        <v>-1.076893E-3</v>
      </c>
      <c r="G8">
        <f>0.136519226*(-1)</f>
        <v>-0.13651922599999999</v>
      </c>
      <c r="H8">
        <f>-0.136519226*(-1)</f>
        <v>0.13651922599999999</v>
      </c>
      <c r="I8">
        <f>-0.053891779*(-1)</f>
        <v>5.3891779000000001E-2</v>
      </c>
      <c r="J8">
        <f>-0.001422568*(-1)</f>
        <v>1.4225679999999999E-3</v>
      </c>
      <c r="K8">
        <f>0.180755507*(-1)</f>
        <v>-0.18075550700000001</v>
      </c>
      <c r="L8">
        <f>-0.01567007*(-1)</f>
        <v>1.5670070000000001E-2</v>
      </c>
      <c r="M8">
        <f>-0.039863646*(-1)</f>
        <v>3.9863646000000003E-2</v>
      </c>
      <c r="N8">
        <f>0.005882734*(-1)</f>
        <v>-5.8827339999999997E-3</v>
      </c>
      <c r="O8">
        <f>-0.025876453*(-1)</f>
        <v>2.5876453000000001E-2</v>
      </c>
      <c r="P8">
        <f>-0.059755296*(-1)</f>
        <v>5.9755295999999999E-2</v>
      </c>
      <c r="Q8">
        <f>-0.074432831*(-1)</f>
        <v>7.4432831000000005E-2</v>
      </c>
      <c r="R8">
        <f>-0.034595029*(-1)</f>
        <v>3.4595028999999999E-2</v>
      </c>
      <c r="S8">
        <f>-0.122009271*(-1)</f>
        <v>0.122009271</v>
      </c>
      <c r="T8">
        <f>-0.11916137*(-1)</f>
        <v>0.11916137</v>
      </c>
      <c r="U8">
        <f>-0.001075869*(-1)</f>
        <v>1.0758689999999999E-3</v>
      </c>
      <c r="V8">
        <f>0.033868197*(-1)</f>
        <v>-3.3868197000000003E-2</v>
      </c>
      <c r="W8">
        <f>0.030099794*(-1)</f>
        <v>-3.0099793999999999E-2</v>
      </c>
      <c r="X8">
        <f>(0.0370516*(-1))*(-1)</f>
        <v>3.7051599999999997E-2</v>
      </c>
      <c r="Y8">
        <f>(-0.012565593*(-1))*(-1)</f>
        <v>-1.2565593E-2</v>
      </c>
      <c r="Z8">
        <f>(-0.092615938*(-1))*(-1)</f>
        <v>-9.2615937999999995E-2</v>
      </c>
      <c r="AA8">
        <f>(-0.0370516*(-1))*(-1)</f>
        <v>-3.7051599999999997E-2</v>
      </c>
      <c r="AB8">
        <f>(0.012565593*(-1))*(-1)</f>
        <v>1.2565593E-2</v>
      </c>
      <c r="AC8">
        <f>(0.092615938*(-1))*(-1)</f>
        <v>9.2615937999999995E-2</v>
      </c>
      <c r="AD8">
        <v>1.7888661E-2</v>
      </c>
      <c r="AE8">
        <v>-0.42894862299999997</v>
      </c>
      <c r="AF8">
        <v>-0.205529981</v>
      </c>
      <c r="AG8">
        <v>0.205529981</v>
      </c>
      <c r="AH8">
        <v>0.13980000000000001</v>
      </c>
      <c r="AI8">
        <v>0.1036</v>
      </c>
      <c r="AJ8">
        <v>0.84210526315800005</v>
      </c>
      <c r="AK8">
        <v>1</v>
      </c>
      <c r="AL8">
        <v>0.14223060000000001</v>
      </c>
    </row>
    <row r="9" spans="1:38" x14ac:dyDescent="0.25">
      <c r="A9">
        <v>3946</v>
      </c>
      <c r="B9">
        <v>8</v>
      </c>
      <c r="C9">
        <v>23</v>
      </c>
      <c r="D9">
        <v>0</v>
      </c>
      <c r="E9">
        <f>-0.013379344*(-1)</f>
        <v>1.3379344E-2</v>
      </c>
      <c r="F9">
        <f>0.074540201*(-1)</f>
        <v>-7.4540201E-2</v>
      </c>
      <c r="G9">
        <f>0.151944816*(-1)</f>
        <v>-0.15194481600000001</v>
      </c>
      <c r="H9">
        <f>-0.151944816*(-1)</f>
        <v>0.15194481600000001</v>
      </c>
      <c r="I9">
        <f>-0.053230834*(-1)</f>
        <v>5.3230833999999998E-2</v>
      </c>
      <c r="J9">
        <f>0.125261245*(-1)</f>
        <v>-0.12526124499999999</v>
      </c>
      <c r="K9">
        <f>0.171820262*(-1)</f>
        <v>-0.171820262</v>
      </c>
      <c r="L9">
        <f>-0.016794486*(-1)</f>
        <v>1.6794486000000001E-2</v>
      </c>
      <c r="M9">
        <f>0.058866406*(-1)</f>
        <v>-5.8866406000000003E-2</v>
      </c>
      <c r="N9">
        <f>0.18713811*(-1)</f>
        <v>-0.18713811</v>
      </c>
      <c r="O9">
        <f>0.037770452*(-1)</f>
        <v>-3.7770452000000003E-2</v>
      </c>
      <c r="P9">
        <f>-0.022608864*(-1)</f>
        <v>2.2608863999999999E-2</v>
      </c>
      <c r="Q9">
        <f>-0.088194841*(-1)</f>
        <v>8.8194840999999996E-2</v>
      </c>
      <c r="R9">
        <f>0.042716263*(-1)</f>
        <v>-4.2716262999999997E-2</v>
      </c>
      <c r="S9">
        <f>-0.063597968*(-1)</f>
        <v>6.3597968000000005E-2</v>
      </c>
      <c r="T9">
        <f>-0.06569452*(-1)</f>
        <v>6.5694520000000006E-2</v>
      </c>
      <c r="U9">
        <f>0.012363958*(-1)</f>
        <v>-1.2363958E-2</v>
      </c>
      <c r="V9">
        <f>-0.058593411*(-1)</f>
        <v>5.8593410999999998E-2</v>
      </c>
      <c r="W9">
        <f>-0.035995657*(-1)</f>
        <v>3.5995657E-2</v>
      </c>
      <c r="X9">
        <f>(0.033544412*(-1))*(-1)</f>
        <v>3.3544412000000003E-2</v>
      </c>
      <c r="Y9">
        <f>(0.089338229*(-1))*(-1)</f>
        <v>8.9338229000000005E-2</v>
      </c>
      <c r="Z9">
        <f>(-0.009012248*(-1))*(-1)</f>
        <v>-9.0122480000000005E-3</v>
      </c>
      <c r="AA9">
        <f>(-0.033544412*(-1))*(-1)</f>
        <v>-3.3544412000000003E-2</v>
      </c>
      <c r="AB9">
        <f>(-0.089338229*(-1))*(-1)</f>
        <v>-8.9338229000000005E-2</v>
      </c>
      <c r="AC9">
        <f>(0.009012248*(-1))*(-1)</f>
        <v>9.0122480000000005E-3</v>
      </c>
      <c r="AD9">
        <v>-1.014913803</v>
      </c>
      <c r="AE9">
        <v>0.26189346699999999</v>
      </c>
      <c r="AF9">
        <v>-0.37651016799999998</v>
      </c>
      <c r="AG9">
        <v>0.37651016799999998</v>
      </c>
      <c r="AH9">
        <v>0.1454</v>
      </c>
      <c r="AI9">
        <v>-8.6440000000000006E-3</v>
      </c>
      <c r="AJ9">
        <v>0.95</v>
      </c>
      <c r="AK9">
        <v>1</v>
      </c>
      <c r="AL9">
        <v>7.545433E-2</v>
      </c>
    </row>
    <row r="10" spans="1:38" x14ac:dyDescent="0.25">
      <c r="A10">
        <v>4053</v>
      </c>
      <c r="B10">
        <v>9</v>
      </c>
      <c r="C10">
        <v>24</v>
      </c>
      <c r="D10">
        <v>1</v>
      </c>
      <c r="E10">
        <f>0.079983597*(-1)</f>
        <v>-7.9983597000000003E-2</v>
      </c>
      <c r="F10">
        <f>0.299533*(-1)</f>
        <v>-0.29953299999999999</v>
      </c>
      <c r="G10">
        <f>0.218809424*(-1)</f>
        <v>-0.218809424</v>
      </c>
      <c r="H10">
        <f>-0.218809424*(-1)</f>
        <v>0.218809424</v>
      </c>
      <c r="I10">
        <f>0.030602838*(-1)</f>
        <v>-3.0602838E-2</v>
      </c>
      <c r="J10">
        <f>0.385899361*(-1)</f>
        <v>-0.385899361</v>
      </c>
      <c r="K10">
        <f>0.257798436*(-1)</f>
        <v>-0.25779843600000002</v>
      </c>
      <c r="L10">
        <f>0.105353494*(-1)</f>
        <v>-0.10535349400000001</v>
      </c>
      <c r="M10">
        <f>0.14321465*(-1)</f>
        <v>-0.14321465</v>
      </c>
      <c r="N10">
        <f>-0.006916251*(-1)</f>
        <v>6.916251E-3</v>
      </c>
      <c r="O10">
        <f>0.001304885*(-1)</f>
        <v>-1.304885E-3</v>
      </c>
      <c r="P10">
        <f>0.00660711*(-1)</f>
        <v>-6.6071100000000002E-3</v>
      </c>
      <c r="Q10">
        <f>0.066910391*(-1)</f>
        <v>-6.6910391E-2</v>
      </c>
      <c r="R10">
        <f>0.019084589*(-1)</f>
        <v>-1.9084588999999999E-2</v>
      </c>
      <c r="S10">
        <f>0.005901759*(-1)</f>
        <v>-5.9017590000000003E-3</v>
      </c>
      <c r="T10">
        <f>0.090788008*(-1)</f>
        <v>-9.0788008000000003E-2</v>
      </c>
      <c r="U10">
        <f>0.034017032*(-1)</f>
        <v>-3.4017032000000003E-2</v>
      </c>
      <c r="V10">
        <f>0.019811182*(-1)</f>
        <v>-1.9811182E-2</v>
      </c>
      <c r="W10">
        <f>-0.040333759*(-1)</f>
        <v>4.0333758999999997E-2</v>
      </c>
      <c r="X10">
        <f>(-0.049876576*(-1))*(-1)</f>
        <v>-4.9876575999999999E-2</v>
      </c>
      <c r="Y10">
        <f>(-0.05434094*(-1))*(-1)</f>
        <v>-5.4340939999999997E-2</v>
      </c>
      <c r="Z10">
        <f>(-0.191051848*(-1))*(-1)</f>
        <v>-0.191051848</v>
      </c>
      <c r="AA10">
        <f>(0.049876576*(-1))*(-1)</f>
        <v>4.9876575999999999E-2</v>
      </c>
      <c r="AB10">
        <f>(0.05434094*(-1))*(-1)</f>
        <v>5.4340939999999997E-2</v>
      </c>
      <c r="AC10">
        <f>(0.191051848*(-1))*(-1)</f>
        <v>0.191051848</v>
      </c>
      <c r="AD10">
        <v>-0.17736940200000001</v>
      </c>
      <c r="AE10">
        <v>-0.53740367700000002</v>
      </c>
      <c r="AF10">
        <v>-0.35738653949999999</v>
      </c>
      <c r="AG10">
        <v>0.35738653949999999</v>
      </c>
      <c r="AH10">
        <v>0.24759999999999999</v>
      </c>
      <c r="AI10">
        <v>-5.1029999999999999E-2</v>
      </c>
      <c r="AJ10">
        <v>1</v>
      </c>
      <c r="AK10">
        <v>1</v>
      </c>
      <c r="AL10">
        <v>7.4870919999999994E-2</v>
      </c>
    </row>
    <row r="11" spans="1:38" x14ac:dyDescent="0.25">
      <c r="A11">
        <v>4140</v>
      </c>
      <c r="B11">
        <v>11</v>
      </c>
      <c r="C11">
        <v>22</v>
      </c>
      <c r="D11">
        <v>1</v>
      </c>
      <c r="E11">
        <f>0.021404302*(-1)</f>
        <v>-2.1404302E-2</v>
      </c>
      <c r="F11">
        <f>0.149767255*(-1)</f>
        <v>-0.14976725499999999</v>
      </c>
      <c r="G11">
        <f>0.122149004*(-1)</f>
        <v>-0.12214900400000001</v>
      </c>
      <c r="H11">
        <f>-0.122149004*(-1)</f>
        <v>0.12214900400000001</v>
      </c>
      <c r="I11">
        <f>0.053361316*(-1)</f>
        <v>-5.3361315999999999E-2</v>
      </c>
      <c r="J11">
        <f>0.086295157*(-1)</f>
        <v>-8.6295156999999997E-2</v>
      </c>
      <c r="K11">
        <f>-0.074815598*(-1)</f>
        <v>7.4815597999999997E-2</v>
      </c>
      <c r="L11">
        <f>-0.023184422*(-1)</f>
        <v>2.3184422E-2</v>
      </c>
      <c r="M11">
        <f>0.110497092*(-1)</f>
        <v>-0.11049709200000001</v>
      </c>
      <c r="N11">
        <f>0.258371885*(-1)</f>
        <v>-0.25837188500000002</v>
      </c>
      <c r="O11">
        <f>0.035171012*(-1)</f>
        <v>-3.5171012000000001E-2</v>
      </c>
      <c r="P11">
        <f>-0.024748163*(-1)</f>
        <v>2.4748163E-2</v>
      </c>
      <c r="Q11">
        <f>0.051981985*(-1)</f>
        <v>-5.1981985000000001E-2</v>
      </c>
      <c r="R11">
        <f>-0.02943783*(-1)</f>
        <v>2.9437830000000002E-2</v>
      </c>
      <c r="S11">
        <f>0.023184202*(-1)</f>
        <v>-2.3184202000000001E-2</v>
      </c>
      <c r="T11">
        <f>0.176779847*(-1)</f>
        <v>-0.17677984699999999</v>
      </c>
      <c r="U11">
        <f>0.143844822*(-1)</f>
        <v>-0.14384482200000001</v>
      </c>
      <c r="V11">
        <f>-0.178207236*(-1)</f>
        <v>0.17820723599999999</v>
      </c>
      <c r="W11">
        <f>-0.11986698*(-1)</f>
        <v>0.11986698</v>
      </c>
      <c r="X11">
        <f>(0.135890779*(-1))*(-1)</f>
        <v>0.13589077899999999</v>
      </c>
      <c r="Y11">
        <f>(0.092060578*(-1))*(-1)</f>
        <v>9.2060578000000004E-2</v>
      </c>
      <c r="Z11">
        <f>(0.070295994*(-1))*(-1)</f>
        <v>7.0295994000000001E-2</v>
      </c>
      <c r="AA11">
        <f>(-0.135890779*(-1))*(-1)</f>
        <v>-0.13589077899999999</v>
      </c>
      <c r="AB11">
        <f>(-0.092060578*(-1))*(-1)</f>
        <v>-9.2060578000000004E-2</v>
      </c>
      <c r="AC11">
        <f>(-0.070295994*(-1))*(-1)</f>
        <v>-7.0295994000000001E-2</v>
      </c>
      <c r="AD11">
        <v>-0.15932719200000001</v>
      </c>
      <c r="AE11">
        <v>0.13201004699999999</v>
      </c>
      <c r="AF11">
        <v>-1.3658572500000001E-2</v>
      </c>
      <c r="AG11">
        <v>1.3658572500000001E-2</v>
      </c>
      <c r="AH11">
        <v>5.4149999999999997E-2</v>
      </c>
      <c r="AI11">
        <v>7.3910000000000003E-2</v>
      </c>
      <c r="AJ11">
        <v>0.93333333333299995</v>
      </c>
      <c r="AK11">
        <v>1</v>
      </c>
      <c r="AL11">
        <v>5.373766E-2</v>
      </c>
    </row>
    <row r="12" spans="1:38" x14ac:dyDescent="0.25">
      <c r="A12">
        <v>4302</v>
      </c>
      <c r="B12">
        <v>13</v>
      </c>
      <c r="C12">
        <v>22</v>
      </c>
      <c r="D12">
        <v>1</v>
      </c>
      <c r="E12">
        <f>-0.123873297*(-1)</f>
        <v>0.12387329699999999</v>
      </c>
      <c r="F12">
        <f>0.233217998*(-1)</f>
        <v>-0.23321799800000001</v>
      </c>
      <c r="G12">
        <f>0.121676566*(-1)</f>
        <v>-0.121676566</v>
      </c>
      <c r="H12">
        <f>-0.121676566*(-1)</f>
        <v>0.121676566</v>
      </c>
      <c r="I12">
        <f>-0.043863748*(-1)</f>
        <v>4.3863748000000001E-2</v>
      </c>
      <c r="J12">
        <f>0.1230385*(-1)</f>
        <v>-0.1230385</v>
      </c>
      <c r="K12">
        <f>0.007819461*(-1)</f>
        <v>-7.8194609999999998E-3</v>
      </c>
      <c r="L12">
        <f>-0.110209468*(-1)</f>
        <v>0.110209468</v>
      </c>
      <c r="M12">
        <f>0.187751097*(-1)</f>
        <v>-0.18775109700000001</v>
      </c>
      <c r="N12">
        <f>0.097898684*(-1)</f>
        <v>-9.7898684E-2</v>
      </c>
      <c r="O12">
        <f>-0.001751057*(-1)</f>
        <v>1.7510570000000001E-3</v>
      </c>
      <c r="P12">
        <f>0.008053393*(-1)</f>
        <v>-8.0533930000000007E-3</v>
      </c>
      <c r="Q12">
        <f>0.282989053*(-1)</f>
        <v>-0.28298905299999999</v>
      </c>
      <c r="R12">
        <f>0.02374914*(-1)</f>
        <v>-2.3749139999999998E-2</v>
      </c>
      <c r="S12">
        <f>-0.037466674*(-1)</f>
        <v>3.7466673999999998E-2</v>
      </c>
      <c r="T12">
        <f>-0.004490847*(-1)</f>
        <v>4.4908470000000001E-3</v>
      </c>
      <c r="U12">
        <f>-0.013166108*(-1)</f>
        <v>1.3166107999999999E-2</v>
      </c>
      <c r="V12">
        <f>0.102182591*(-1)</f>
        <v>-0.102182591</v>
      </c>
      <c r="W12">
        <f>0.38354606*(-1)</f>
        <v>-0.38354606000000002</v>
      </c>
      <c r="X12">
        <f>(0.139979844*(-1))*(-1)</f>
        <v>0.13997984399999999</v>
      </c>
      <c r="Y12">
        <f>(0.129212978*(-1))*(-1)</f>
        <v>0.12921297800000001</v>
      </c>
      <c r="Z12">
        <f>(-0.11174252*(-1))*(-1)</f>
        <v>-0.11174252</v>
      </c>
      <c r="AA12">
        <f>(-0.139979844*(-1))*(-1)</f>
        <v>-0.13997984399999999</v>
      </c>
      <c r="AB12">
        <f>(-0.129212978*(-1))*(-1)</f>
        <v>-0.12921297800000001</v>
      </c>
      <c r="AC12">
        <f>(0.11174252*(-1))*(-1)</f>
        <v>0.11174252</v>
      </c>
      <c r="AD12">
        <v>-7.3683016000000004E-2</v>
      </c>
      <c r="AE12">
        <v>-0.203167124</v>
      </c>
      <c r="AF12">
        <v>-0.13842507000000001</v>
      </c>
      <c r="AG12">
        <v>0.13842507000000001</v>
      </c>
      <c r="AH12">
        <v>0.1431</v>
      </c>
      <c r="AI12">
        <v>-9.6060000000000006E-2</v>
      </c>
      <c r="AJ12">
        <v>0.944444444444</v>
      </c>
      <c r="AK12">
        <v>0.944444444444</v>
      </c>
      <c r="AL12">
        <v>6.4114530000000003E-2</v>
      </c>
    </row>
    <row r="13" spans="1:38" x14ac:dyDescent="0.25">
      <c r="A13">
        <v>4275</v>
      </c>
      <c r="B13">
        <v>14</v>
      </c>
      <c r="C13">
        <v>21</v>
      </c>
      <c r="D13">
        <v>0</v>
      </c>
      <c r="E13">
        <f>-0.004960601*(-1)</f>
        <v>4.9606010000000002E-3</v>
      </c>
      <c r="F13">
        <f>0.022745291*(-1)</f>
        <v>-2.2745291000000001E-2</v>
      </c>
      <c r="G13">
        <f>0.286692232*(-1)</f>
        <v>-0.28669223199999999</v>
      </c>
      <c r="H13">
        <f>-0.286692232*(-1)</f>
        <v>0.28669223199999999</v>
      </c>
      <c r="I13">
        <f>-0.011664676*(-1)</f>
        <v>1.1664676000000001E-2</v>
      </c>
      <c r="J13">
        <f>-0.022026044*(-1)</f>
        <v>2.2026044000000002E-2</v>
      </c>
      <c r="K13">
        <f>0.149126661*(-1)</f>
        <v>-0.14912666099999999</v>
      </c>
      <c r="L13">
        <f>-0.033088103*(-1)</f>
        <v>3.3088103000000001E-2</v>
      </c>
      <c r="M13">
        <f>0.030688637*(-1)</f>
        <v>-3.0688637000000001E-2</v>
      </c>
      <c r="N13">
        <f>0.282644867*(-1)</f>
        <v>-0.28264486700000002</v>
      </c>
      <c r="O13">
        <f>0.077790996*(-1)</f>
        <v>-7.7790996000000001E-2</v>
      </c>
      <c r="P13">
        <f>0.074506871*(-1)</f>
        <v>-7.4506871000000002E-2</v>
      </c>
      <c r="Q13">
        <f>-0.272006021*(-1)</f>
        <v>0.27200602099999999</v>
      </c>
      <c r="R13">
        <f>0.044702414*(-1)</f>
        <v>-4.4702414000000003E-2</v>
      </c>
      <c r="S13">
        <f>0.126034018*(-1)</f>
        <v>-0.126034018</v>
      </c>
      <c r="T13">
        <f>-0.188597907*(-1)</f>
        <v>0.18859790700000001</v>
      </c>
      <c r="U13">
        <f>0.041379406*(-1)</f>
        <v>-4.1379406000000001E-2</v>
      </c>
      <c r="V13">
        <f>-0.002980244*(-1)</f>
        <v>2.9802439999999999E-3</v>
      </c>
      <c r="W13">
        <f>-0.158688436*(-1)</f>
        <v>0.15868843599999999</v>
      </c>
      <c r="X13">
        <f>(-0.002116768*(-1))*(-1)</f>
        <v>-2.1167680000000002E-3</v>
      </c>
      <c r="Y13">
        <f>(0.177872842*(-1))*(-1)</f>
        <v>0.177872842</v>
      </c>
      <c r="Z13">
        <f>(-0.120662609*(-1))*(-1)</f>
        <v>-0.120662609</v>
      </c>
      <c r="AA13">
        <f>(0.002116768*(-1))*(-1)</f>
        <v>2.1167680000000002E-3</v>
      </c>
      <c r="AB13">
        <f>(-0.177872842*(-1))*(-1)</f>
        <v>-0.177872842</v>
      </c>
      <c r="AC13">
        <f>(0.120662609*(-1))*(-1)</f>
        <v>0.120662609</v>
      </c>
      <c r="AD13">
        <v>-0.207228144</v>
      </c>
      <c r="AE13">
        <v>-0.64827234300000003</v>
      </c>
      <c r="AF13">
        <v>-0.42775024350000002</v>
      </c>
      <c r="AG13">
        <v>0.42775024350000002</v>
      </c>
      <c r="AH13">
        <v>3.7420000000000002E-2</v>
      </c>
      <c r="AI13">
        <v>0.41170000000000001</v>
      </c>
      <c r="AJ13">
        <v>0.944444444444</v>
      </c>
      <c r="AK13">
        <v>1</v>
      </c>
      <c r="AL13">
        <v>0.23489821999999999</v>
      </c>
    </row>
    <row r="14" spans="1:38" x14ac:dyDescent="0.25">
      <c r="A14">
        <v>4307</v>
      </c>
      <c r="B14">
        <v>16</v>
      </c>
      <c r="C14">
        <v>20</v>
      </c>
      <c r="D14">
        <v>1</v>
      </c>
      <c r="E14">
        <f>0.03313858*(-1)</f>
        <v>-3.3138580000000001E-2</v>
      </c>
      <c r="F14">
        <f>0.085139083*(-1)</f>
        <v>-8.5139083000000004E-2</v>
      </c>
      <c r="G14">
        <f>0.248638919*(-1)</f>
        <v>-0.24863891900000001</v>
      </c>
      <c r="H14">
        <f>-0.248638919*(-1)</f>
        <v>0.24863891900000001</v>
      </c>
      <c r="I14">
        <f>-0.007167244*(-1)</f>
        <v>7.1672439999999997E-3</v>
      </c>
      <c r="J14">
        <f>-0.015092963*(-1)</f>
        <v>1.5092962999999999E-2</v>
      </c>
      <c r="K14">
        <f>0.090952517*(-1)</f>
        <v>-9.0952516999999997E-2</v>
      </c>
      <c r="L14">
        <f>-0.007873344*(-1)</f>
        <v>7.8733439999999991E-3</v>
      </c>
      <c r="M14">
        <f>0.060226891*(-1)</f>
        <v>-6.0226890999999998E-2</v>
      </c>
      <c r="N14">
        <f>0.213560565*(-1)</f>
        <v>-0.21356056500000001</v>
      </c>
      <c r="O14">
        <f>-0.020977428*(-1)</f>
        <v>2.0977427999999999E-2</v>
      </c>
      <c r="P14">
        <f>-0.09518475*(-1)</f>
        <v>9.5184749999999999E-2</v>
      </c>
      <c r="Q14">
        <f>0.181401727*(-1)</f>
        <v>-0.18140172700000001</v>
      </c>
      <c r="R14">
        <f>-0.110505748*(-1)</f>
        <v>0.110505748</v>
      </c>
      <c r="S14">
        <f>-0.066086333*(-1)</f>
        <v>6.6086332999999997E-2</v>
      </c>
      <c r="T14">
        <f>0.125549324*(-1)</f>
        <v>-0.12554932399999999</v>
      </c>
      <c r="U14">
        <f>0.108715229*(-1)</f>
        <v>-0.108715229</v>
      </c>
      <c r="V14">
        <f>-0.052555209*(-1)</f>
        <v>5.2555208999999999E-2</v>
      </c>
      <c r="W14">
        <f>0.125498127*(-1)</f>
        <v>-0.12549812699999999</v>
      </c>
      <c r="X14">
        <f>(0.101686994*(-1))*(-1)</f>
        <v>0.101686994</v>
      </c>
      <c r="Y14">
        <f>(0.193475637*(-1))*(-1)</f>
        <v>0.19347563700000001</v>
      </c>
      <c r="Z14">
        <f>(-0.176302813*(-1))*(-1)</f>
        <v>-0.176302813</v>
      </c>
      <c r="AA14">
        <f>(-0.101686994*(-1))*(-1)</f>
        <v>-0.101686994</v>
      </c>
      <c r="AB14">
        <f>(-0.193475637*(-1))*(-1)</f>
        <v>-0.19347563700000001</v>
      </c>
      <c r="AC14">
        <f>(0.176302813*(-1))*(-1)</f>
        <v>0.176302813</v>
      </c>
      <c r="AD14">
        <v>-0.27487215100000001</v>
      </c>
      <c r="AE14">
        <v>0.26032975200000003</v>
      </c>
      <c r="AF14">
        <v>-7.2711994999999901E-3</v>
      </c>
      <c r="AG14">
        <v>7.2711994999999901E-3</v>
      </c>
      <c r="AH14">
        <v>8.2299999999999998E-2</v>
      </c>
      <c r="AI14">
        <v>-6.3659999999999994E-2</v>
      </c>
      <c r="AJ14">
        <v>1</v>
      </c>
      <c r="AK14">
        <v>0.95238095238099996</v>
      </c>
      <c r="AL14">
        <v>7.3923240000000001E-2</v>
      </c>
    </row>
    <row r="15" spans="1:38" x14ac:dyDescent="0.25">
      <c r="A15">
        <v>4220</v>
      </c>
      <c r="B15">
        <v>17</v>
      </c>
      <c r="C15">
        <v>20</v>
      </c>
      <c r="D15">
        <v>0</v>
      </c>
      <c r="E15">
        <f>-0.054355587*(-1)</f>
        <v>5.4355586999999997E-2</v>
      </c>
      <c r="F15">
        <f>0.188525819*(-1)</f>
        <v>-0.18852581900000001</v>
      </c>
      <c r="G15">
        <f>0.083994831*(-1)</f>
        <v>-8.3994831000000006E-2</v>
      </c>
      <c r="H15">
        <f>-0.083994831*(-1)</f>
        <v>8.3994831000000006E-2</v>
      </c>
      <c r="I15">
        <f>0.007797435*(-1)</f>
        <v>-7.7974350000000001E-3</v>
      </c>
      <c r="J15">
        <f>0.146508676*(-1)</f>
        <v>-0.146508676</v>
      </c>
      <c r="K15">
        <f>0.05122056*(-1)</f>
        <v>-5.1220559999999998E-2</v>
      </c>
      <c r="L15">
        <f>-0.067419921*(-1)</f>
        <v>6.7419920999999994E-2</v>
      </c>
      <c r="M15">
        <f>0.126001212*(-1)</f>
        <v>-0.126001212</v>
      </c>
      <c r="N15">
        <f>0.073691483*(-1)</f>
        <v>-7.3691483000000002E-2</v>
      </c>
      <c r="O15">
        <f>0.105374355*(-1)</f>
        <v>-0.105374355</v>
      </c>
      <c r="P15">
        <f>0.09826216*(-1)</f>
        <v>-9.8262160000000001E-2</v>
      </c>
      <c r="Q15">
        <f>-0.133015884*(-1)</f>
        <v>0.133015884</v>
      </c>
      <c r="R15">
        <f>0.106098176*(-1)</f>
        <v>-0.106098176</v>
      </c>
      <c r="S15">
        <f>0.099515959*(-1)</f>
        <v>-9.9515959000000001E-2</v>
      </c>
      <c r="T15">
        <f>-0.091882082*(-1)</f>
        <v>9.1882082000000004E-2</v>
      </c>
      <c r="U15">
        <f>0.023827842*(-1)</f>
        <v>-2.3827841999999998E-2</v>
      </c>
      <c r="V15">
        <f>0.010022036*(-1)</f>
        <v>-1.0022036E-2</v>
      </c>
      <c r="W15">
        <f>-0.037772126*(-1)</f>
        <v>3.7772126000000003E-2</v>
      </c>
      <c r="X15">
        <f>(-0.016768443*(-1))*(-1)</f>
        <v>-1.6768443000000001E-2</v>
      </c>
      <c r="Y15">
        <f>(-0.00452505*(-1))*(-1)</f>
        <v>-4.5250500000000001E-3</v>
      </c>
      <c r="Z15">
        <f>(-0.028780953*(-1))*(-1)</f>
        <v>-2.8780953000000001E-2</v>
      </c>
      <c r="AA15">
        <f>(0.016768443*(-1))*(-1)</f>
        <v>1.6768443000000001E-2</v>
      </c>
      <c r="AB15">
        <f>(0.00452505*(-1))*(-1)</f>
        <v>4.5250500000000001E-3</v>
      </c>
      <c r="AC15">
        <f>(0.028780953*(-1))*(-1)</f>
        <v>2.8780953000000001E-2</v>
      </c>
      <c r="AD15">
        <v>-1.8030430000000001E-3</v>
      </c>
      <c r="AE15">
        <v>6.1933281E-2</v>
      </c>
      <c r="AF15">
        <v>3.0065119000000001E-2</v>
      </c>
      <c r="AG15">
        <v>-3.0065119000000001E-2</v>
      </c>
      <c r="AH15">
        <v>6.5600000000000006E-2</v>
      </c>
      <c r="AI15">
        <v>-3.2629999999999999E-2</v>
      </c>
      <c r="AJ15">
        <v>0.9375</v>
      </c>
      <c r="AK15">
        <v>1</v>
      </c>
      <c r="AL15">
        <v>0.10430809000000001</v>
      </c>
    </row>
    <row r="16" spans="1:38" x14ac:dyDescent="0.25">
      <c r="A16">
        <v>4007</v>
      </c>
      <c r="B16">
        <v>18</v>
      </c>
      <c r="C16">
        <v>23</v>
      </c>
      <c r="D16">
        <v>1</v>
      </c>
      <c r="E16">
        <f>0.098504244*(-1)</f>
        <v>-9.8504244000000005E-2</v>
      </c>
      <c r="F16">
        <f>0.027049754*(-1)</f>
        <v>-2.7049753999999999E-2</v>
      </c>
      <c r="G16">
        <f>-0.004856613*(-1)</f>
        <v>4.8566130000000001E-3</v>
      </c>
      <c r="H16">
        <f>0.004856613*(-1)</f>
        <v>-4.8566130000000001E-3</v>
      </c>
      <c r="I16">
        <f>0.034317673*(-1)</f>
        <v>-3.4317673E-2</v>
      </c>
      <c r="J16">
        <f>0.034575538*(-1)</f>
        <v>-3.4575538000000003E-2</v>
      </c>
      <c r="K16">
        <f>-0.070008619*(-1)</f>
        <v>7.0008618999999994E-2</v>
      </c>
      <c r="L16">
        <f>0.102331311*(-1)</f>
        <v>-0.10233131099999999</v>
      </c>
      <c r="M16">
        <f>0.020427473*(-1)</f>
        <v>-2.0427473000000002E-2</v>
      </c>
      <c r="N16">
        <f>0.038482554*(-1)</f>
        <v>-3.8482554000000002E-2</v>
      </c>
      <c r="O16">
        <f>-0.017079108*(-1)</f>
        <v>1.7079107999999999E-2</v>
      </c>
      <c r="P16">
        <f>0.148047253*(-1)</f>
        <v>-0.14804725299999999</v>
      </c>
      <c r="Q16">
        <f>-0.031842939*(-1)</f>
        <v>3.1842939000000001E-2</v>
      </c>
      <c r="R16">
        <f>0.007087908*(-1)</f>
        <v>-7.0879080000000004E-3</v>
      </c>
      <c r="S16">
        <f>0.048461601*(-1)</f>
        <v>-4.8461601E-2</v>
      </c>
      <c r="T16">
        <f>0.099094966*(-1)</f>
        <v>-9.9094966000000007E-2</v>
      </c>
      <c r="U16">
        <f>-0.048632005*(-1)</f>
        <v>4.8632004999999999E-2</v>
      </c>
      <c r="V16">
        <f>0.143331125*(-1)</f>
        <v>-0.143331125</v>
      </c>
      <c r="W16">
        <f>-0.079621508*(-1)</f>
        <v>7.9621507999999994E-2</v>
      </c>
      <c r="X16">
        <f>(0.005802787*(-1))*(-1)</f>
        <v>5.8027870000000002E-3</v>
      </c>
      <c r="Y16">
        <f>(0.001168697*(-1))*(-1)</f>
        <v>1.168697E-3</v>
      </c>
      <c r="Z16">
        <f>(0.294496122*(-1))*(-1)</f>
        <v>0.29449612200000003</v>
      </c>
      <c r="AA16">
        <f>(-0.005802787*(-1))*(-1)</f>
        <v>-5.8027870000000002E-3</v>
      </c>
      <c r="AB16">
        <f>(-0.001168697*(-1))*(-1)</f>
        <v>-1.168697E-3</v>
      </c>
      <c r="AC16">
        <f>(-0.294496122*(-1))*(-1)</f>
        <v>-0.29449612200000003</v>
      </c>
      <c r="AD16">
        <v>-5.6899977999999997E-2</v>
      </c>
      <c r="AE16">
        <v>-0.30448439900000002</v>
      </c>
      <c r="AF16">
        <v>-0.18069218849999999</v>
      </c>
      <c r="AG16">
        <v>0.18069218849999999</v>
      </c>
      <c r="AH16">
        <v>2.9899999999999999E-2</v>
      </c>
      <c r="AI16">
        <v>6.6280000000000006E-2</v>
      </c>
      <c r="AJ16">
        <v>0.95</v>
      </c>
      <c r="AK16">
        <v>1</v>
      </c>
      <c r="AL16">
        <v>4.2988270000000002E-2</v>
      </c>
    </row>
    <row r="17" spans="1:38" x14ac:dyDescent="0.25">
      <c r="A17">
        <v>3773</v>
      </c>
      <c r="B17">
        <v>20</v>
      </c>
      <c r="C17">
        <v>21</v>
      </c>
      <c r="D17">
        <v>1</v>
      </c>
      <c r="E17">
        <f>0.040468981*(-1)</f>
        <v>-4.0468981000000001E-2</v>
      </c>
      <c r="F17">
        <f>0.203951497*(-1)</f>
        <v>-0.20395149700000001</v>
      </c>
      <c r="G17">
        <f>0.075298922*(-1)</f>
        <v>-7.5298922000000004E-2</v>
      </c>
      <c r="H17">
        <f>-0.075298922*(-1)</f>
        <v>7.5298922000000004E-2</v>
      </c>
      <c r="I17">
        <f>0.077129938*(-1)</f>
        <v>-7.7129937999999995E-2</v>
      </c>
      <c r="J17">
        <f>0.192367137*(-1)</f>
        <v>-0.19236713699999999</v>
      </c>
      <c r="K17">
        <f>0.042417696*(-1)</f>
        <v>-4.2417695999999998E-2</v>
      </c>
      <c r="L17">
        <f>0.020027458*(-1)</f>
        <v>-2.0027458000000001E-2</v>
      </c>
      <c r="M17">
        <f>0.133257779*(-1)</f>
        <v>-0.13325777899999999</v>
      </c>
      <c r="N17">
        <f>-0.03138918*(-1)</f>
        <v>3.1389180000000003E-2</v>
      </c>
      <c r="O17">
        <f>0.073187775*(-1)</f>
        <v>-7.3187774999999997E-2</v>
      </c>
      <c r="P17">
        <f>-0.164336696*(-1)</f>
        <v>0.164336696</v>
      </c>
      <c r="Q17">
        <f>0.006665716*(-1)</f>
        <v>-6.6657160000000003E-3</v>
      </c>
      <c r="R17">
        <f>0.024993141*(-1)</f>
        <v>-2.4993141E-2</v>
      </c>
      <c r="S17">
        <f>-0.167429204*(-1)</f>
        <v>0.167429204</v>
      </c>
      <c r="T17">
        <f>0.003048479*(-1)</f>
        <v>-3.0484790000000002E-3</v>
      </c>
      <c r="U17">
        <f>0.074387592*(-1)</f>
        <v>-7.4387592000000002E-2</v>
      </c>
      <c r="V17">
        <f>-0.044635483*(-1)</f>
        <v>4.4635482999999997E-2</v>
      </c>
      <c r="W17">
        <f>0.037701232*(-1)</f>
        <v>-3.7701232000000001E-2</v>
      </c>
      <c r="X17">
        <f>(0.053242098*(-1))*(-1)</f>
        <v>5.3242098000000002E-2</v>
      </c>
      <c r="Y17">
        <f>(0.077170606*(-1))*(-1)</f>
        <v>7.7170606000000003E-2</v>
      </c>
      <c r="Z17">
        <f>(-0.055831253*(-1))*(-1)</f>
        <v>-5.5831252999999997E-2</v>
      </c>
      <c r="AA17">
        <f>(-0.053242098*(-1))*(-1)</f>
        <v>-5.3242098000000002E-2</v>
      </c>
      <c r="AB17">
        <f>(-0.077170606*(-1))*(-1)</f>
        <v>-7.7170606000000003E-2</v>
      </c>
      <c r="AC17">
        <f>(0.055831253*(-1))*(-1)</f>
        <v>5.5831252999999997E-2</v>
      </c>
      <c r="AD17">
        <v>-4.2177969999999997E-3</v>
      </c>
      <c r="AE17">
        <v>0.17004095999999999</v>
      </c>
      <c r="AF17">
        <v>8.2911581499999998E-2</v>
      </c>
      <c r="AG17">
        <v>-8.2911581499999998E-2</v>
      </c>
      <c r="AH17">
        <v>7.5149999999999995E-2</v>
      </c>
      <c r="AI17">
        <v>0.1153</v>
      </c>
      <c r="AJ17">
        <v>1</v>
      </c>
      <c r="AK17">
        <v>0.52631578947400004</v>
      </c>
      <c r="AL17">
        <v>5.4910680000000003E-2</v>
      </c>
    </row>
    <row r="18" spans="1:38" x14ac:dyDescent="0.25">
      <c r="A18">
        <v>4239</v>
      </c>
      <c r="B18">
        <v>21</v>
      </c>
      <c r="C18">
        <v>21</v>
      </c>
      <c r="D18">
        <v>1</v>
      </c>
      <c r="E18">
        <f>-0.116846828*(-1)</f>
        <v>0.116846828</v>
      </c>
      <c r="F18">
        <f>0.229611228*(-1)</f>
        <v>-0.229611228</v>
      </c>
      <c r="G18">
        <f>0.194192218*(-1)</f>
        <v>-0.194192218</v>
      </c>
      <c r="H18">
        <f>-0.194192218*(-1)</f>
        <v>0.194192218</v>
      </c>
      <c r="I18">
        <f>-0.13401885*(-1)</f>
        <v>0.13401884999999999</v>
      </c>
      <c r="J18">
        <f>0.24586649*(-1)</f>
        <v>-0.24586648999999999</v>
      </c>
      <c r="K18">
        <f>0.008801086*(-1)</f>
        <v>-8.8010859999999996E-3</v>
      </c>
      <c r="L18">
        <f>-0.048943048*(-1)</f>
        <v>4.8943048000000003E-2</v>
      </c>
      <c r="M18">
        <f>0.115414703*(-1)</f>
        <v>-0.11541470299999999</v>
      </c>
      <c r="N18">
        <f>0.294754331*(-1)</f>
        <v>-0.29475433099999998</v>
      </c>
      <c r="O18">
        <f>-0.025814621*(-1)</f>
        <v>2.5814620999999999E-2</v>
      </c>
      <c r="P18">
        <f>-0.163481668*(-1)</f>
        <v>0.163481668</v>
      </c>
      <c r="Q18">
        <f>0.358925342*(-1)</f>
        <v>-0.35892534199999998</v>
      </c>
      <c r="R18">
        <f>0.055606616*(-1)</f>
        <v>-5.5606615999999998E-2</v>
      </c>
      <c r="S18">
        <f>-0.138312113*(-1)</f>
        <v>0.13831211299999999</v>
      </c>
      <c r="T18">
        <f>0.187265822*(-1)</f>
        <v>-0.187265822</v>
      </c>
      <c r="U18">
        <f>-0.011695049*(-1)</f>
        <v>1.1695049000000001E-2</v>
      </c>
      <c r="V18">
        <f>-0.098450091*(-1)</f>
        <v>9.8450091000000003E-2</v>
      </c>
      <c r="W18">
        <f>0.261721369*(-1)</f>
        <v>-0.26172136899999998</v>
      </c>
      <c r="X18">
        <f>(0.017964355*(-1))*(-1)</f>
        <v>1.7964355000000001E-2</v>
      </c>
      <c r="Y18">
        <f>(0.094909088*(-1))*(-1)</f>
        <v>9.4909088000000003E-2</v>
      </c>
      <c r="Z18">
        <f>(-0.155811667*(-1))*(-1)</f>
        <v>-0.15581166699999999</v>
      </c>
      <c r="AA18">
        <f>(-0.017964355*(-1))*(-1)</f>
        <v>-1.7964355000000001E-2</v>
      </c>
      <c r="AB18">
        <f>(-0.094909088*(-1))*(-1)</f>
        <v>-9.4909088000000003E-2</v>
      </c>
      <c r="AC18">
        <f>(0.155811667*(-1))*(-1)</f>
        <v>0.15581166699999999</v>
      </c>
      <c r="AD18">
        <v>-8.7115428999999994E-2</v>
      </c>
      <c r="AE18">
        <v>0.276685185</v>
      </c>
      <c r="AF18">
        <v>9.4784878000000003E-2</v>
      </c>
      <c r="AG18">
        <v>-9.4784878000000003E-2</v>
      </c>
      <c r="AH18">
        <v>0.13600000000000001</v>
      </c>
      <c r="AI18">
        <v>-0.1903</v>
      </c>
      <c r="AJ18">
        <v>1</v>
      </c>
      <c r="AK18">
        <v>0.94117647058800002</v>
      </c>
      <c r="AL18">
        <v>4.7986010000000003E-2</v>
      </c>
    </row>
    <row r="19" spans="1:38" x14ac:dyDescent="0.25">
      <c r="A19">
        <v>3557</v>
      </c>
      <c r="B19">
        <v>22</v>
      </c>
      <c r="C19">
        <v>25</v>
      </c>
      <c r="D19">
        <v>0</v>
      </c>
      <c r="E19">
        <f>0.033782218*(-1)</f>
        <v>-3.3782218000000003E-2</v>
      </c>
      <c r="F19">
        <f>0.153966124*(-1)</f>
        <v>-0.15396612400000001</v>
      </c>
      <c r="G19">
        <f>0.338447369*(-1)</f>
        <v>-0.338447369</v>
      </c>
      <c r="H19">
        <f>-0.338447369*(-1)</f>
        <v>0.338447369</v>
      </c>
      <c r="I19">
        <f>0.02882841*(-1)</f>
        <v>-2.8828409999999999E-2</v>
      </c>
      <c r="J19">
        <f>0.049224694*(-1)</f>
        <v>-4.9224693999999999E-2</v>
      </c>
      <c r="K19">
        <f>0.247140725*(-1)</f>
        <v>-0.24714072500000001</v>
      </c>
      <c r="L19">
        <f>0.011746361*(-1)</f>
        <v>-1.1746361E-2</v>
      </c>
      <c r="M19">
        <f>0.159192902*(-1)</f>
        <v>-0.159192902</v>
      </c>
      <c r="N19">
        <f>0.275715892*(-1)</f>
        <v>-0.27571589200000002</v>
      </c>
      <c r="O19">
        <f>-0.033238238*(-1)</f>
        <v>3.3238238000000003E-2</v>
      </c>
      <c r="P19">
        <f>-0.072181901*(-1)</f>
        <v>7.2181901000000007E-2</v>
      </c>
      <c r="Q19">
        <f>-0.108237486*(-1)</f>
        <v>0.10823748599999999</v>
      </c>
      <c r="R19">
        <f>0.032461687*(-1)</f>
        <v>-3.2461687000000003E-2</v>
      </c>
      <c r="S19">
        <f>-0.014825837*(-1)</f>
        <v>1.4825837E-2</v>
      </c>
      <c r="T19">
        <f>-0.128635758*(-1)</f>
        <v>0.12863575799999999</v>
      </c>
      <c r="U19">
        <f>-0.024191448*(-1)</f>
        <v>2.4191448000000001E-2</v>
      </c>
      <c r="V19">
        <f>-0.059819964*(-1)</f>
        <v>5.9819964000000003E-2</v>
      </c>
      <c r="W19">
        <f>0.016803484*(-1)</f>
        <v>-1.6803484E-2</v>
      </c>
      <c r="X19">
        <f>(0.084116255*(-1))*(-1)</f>
        <v>8.4116255000000001E-2</v>
      </c>
      <c r="Y19">
        <f>(0.245604305*(-1))*(-1)</f>
        <v>0.24560430499999999</v>
      </c>
      <c r="Z19">
        <f>(-0.178674617*(-1))*(-1)</f>
        <v>-0.17867461700000001</v>
      </c>
      <c r="AA19">
        <f>(-0.084116255*(-1))*(-1)</f>
        <v>-8.4116255000000001E-2</v>
      </c>
      <c r="AB19">
        <f>(-0.245604305*(-1))*(-1)</f>
        <v>-0.24560430499999999</v>
      </c>
      <c r="AC19">
        <f>(0.178674617*(-1))*(-1)</f>
        <v>0.17867461700000001</v>
      </c>
      <c r="AD19">
        <v>-0.445624415</v>
      </c>
      <c r="AE19">
        <v>0.37935354300000002</v>
      </c>
      <c r="AF19">
        <v>-3.3135435999999997E-2</v>
      </c>
      <c r="AG19">
        <v>3.3135435999999997E-2</v>
      </c>
      <c r="AH19">
        <v>0.11210000000000001</v>
      </c>
      <c r="AI19">
        <v>0.39279999999999998</v>
      </c>
      <c r="AJ19">
        <v>0.95</v>
      </c>
      <c r="AK19">
        <v>0.8125</v>
      </c>
      <c r="AL19">
        <v>5.2569600000000001E-2</v>
      </c>
    </row>
    <row r="20" spans="1:38" x14ac:dyDescent="0.25">
      <c r="A20">
        <v>3111</v>
      </c>
      <c r="B20">
        <v>23</v>
      </c>
      <c r="C20">
        <v>22</v>
      </c>
      <c r="D20">
        <v>1</v>
      </c>
      <c r="E20">
        <f>-0.024737022*(-1)</f>
        <v>2.4737022000000001E-2</v>
      </c>
      <c r="F20">
        <f>0.273765921*(-1)</f>
        <v>-0.27376592100000002</v>
      </c>
      <c r="G20">
        <f>-0.141869689*(-1)</f>
        <v>0.14186968899999999</v>
      </c>
      <c r="H20">
        <f>0.141869689*(-1)</f>
        <v>-0.14186968899999999</v>
      </c>
      <c r="I20">
        <f>0.038993145*(-1)</f>
        <v>-3.8993145E-2</v>
      </c>
      <c r="J20">
        <f>0.137845605*(-1)</f>
        <v>-0.13784560500000001</v>
      </c>
      <c r="K20">
        <f>-0.253497212*(-1)</f>
        <v>0.25349721200000003</v>
      </c>
      <c r="L20">
        <f>-0.079446148*(-1)</f>
        <v>7.9446147999999994E-2</v>
      </c>
      <c r="M20">
        <f>0.207684367*(-1)</f>
        <v>-0.20768436700000001</v>
      </c>
      <c r="N20">
        <f>0.083437874*(-1)</f>
        <v>-8.3437873999999995E-2</v>
      </c>
      <c r="O20">
        <f>-0.006888009*(-1)</f>
        <v>6.8880089999999996E-3</v>
      </c>
      <c r="P20">
        <f>-0.052271009*(-1)</f>
        <v>5.2271009E-2</v>
      </c>
      <c r="Q20">
        <f>0.018209113*(-1)</f>
        <v>-1.8209112999999999E-2</v>
      </c>
      <c r="R20">
        <f>-0.065031742*(-1)</f>
        <v>6.5031742000000003E-2</v>
      </c>
      <c r="S20">
        <f>-0.071108222*(-1)</f>
        <v>7.1108221999999999E-2</v>
      </c>
      <c r="T20">
        <f>-0.037409917*(-1)</f>
        <v>3.7409917000000001E-2</v>
      </c>
      <c r="U20">
        <f>0.065965949*(-1)</f>
        <v>-6.5965948999999996E-2</v>
      </c>
      <c r="V20">
        <f>-0.019708318*(-1)</f>
        <v>1.9708317999999999E-2</v>
      </c>
      <c r="W20">
        <f>0.142843197*(-1)</f>
        <v>-0.14284319700000001</v>
      </c>
      <c r="X20">
        <f>(-0.040904291*(-1))*(-1)</f>
        <v>-4.0904291000000002E-2</v>
      </c>
      <c r="Y20">
        <f>(-0.015535184*(-1))*(-1)</f>
        <v>-1.5535184E-2</v>
      </c>
      <c r="Z20">
        <f>(-0.038163416*(-1))*(-1)</f>
        <v>-3.8163415999999999E-2</v>
      </c>
      <c r="AA20">
        <f>(0.040904291*(-1))*(-1)</f>
        <v>4.0904291000000002E-2</v>
      </c>
      <c r="AB20">
        <f>(0.015535184*(-1))*(-1)</f>
        <v>1.5535184E-2</v>
      </c>
      <c r="AC20">
        <f>(0.038163416*(-1))*(-1)</f>
        <v>3.8163415999999999E-2</v>
      </c>
      <c r="AD20">
        <v>0.82703707999999998</v>
      </c>
      <c r="AE20">
        <v>-9.9950581999999996E-2</v>
      </c>
      <c r="AF20">
        <v>0.36354324900000001</v>
      </c>
      <c r="AG20">
        <v>-0.36354324900000001</v>
      </c>
      <c r="AH20">
        <v>0.18</v>
      </c>
      <c r="AI20">
        <v>0.43909999999999999</v>
      </c>
      <c r="AJ20">
        <v>0.55000000000000004</v>
      </c>
      <c r="AK20">
        <v>0.5625</v>
      </c>
      <c r="AL20">
        <v>8.6188020000000004E-2</v>
      </c>
    </row>
    <row r="21" spans="1:38" x14ac:dyDescent="0.25">
      <c r="A21">
        <v>4236</v>
      </c>
      <c r="B21">
        <v>24</v>
      </c>
      <c r="C21">
        <v>18</v>
      </c>
      <c r="D21">
        <v>0</v>
      </c>
      <c r="E21">
        <f>-0.011927494*(-1)</f>
        <v>1.1927494E-2</v>
      </c>
      <c r="F21">
        <f>0.057674633*(-1)</f>
        <v>-5.7674633000000003E-2</v>
      </c>
      <c r="G21">
        <f>0.082865317*(-1)</f>
        <v>-8.2865316999999994E-2</v>
      </c>
      <c r="H21">
        <f>-0.082865317*(-1)</f>
        <v>8.2865316999999994E-2</v>
      </c>
      <c r="I21">
        <f>-0.021421007*(-1)</f>
        <v>2.1421006999999999E-2</v>
      </c>
      <c r="J21">
        <f>0.082272891*(-1)</f>
        <v>-8.2272891000000001E-2</v>
      </c>
      <c r="K21">
        <f>0.025549557*(-1)</f>
        <v>-2.5549557000000001E-2</v>
      </c>
      <c r="L21">
        <f>0.050018302*(-1)</f>
        <v>-5.0018302000000001E-2</v>
      </c>
      <c r="M21">
        <f>0.035209414*(-1)</f>
        <v>-3.5209414000000001E-2</v>
      </c>
      <c r="N21">
        <f>0.094154645*(-1)</f>
        <v>-9.4154644999999995E-2</v>
      </c>
      <c r="O21">
        <f>-0.029208685*(-1)</f>
        <v>2.9208685000000002E-2</v>
      </c>
      <c r="P21">
        <f>0.214620289*(-1)</f>
        <v>-0.21462028899999999</v>
      </c>
      <c r="Q21">
        <f>0.121780763*(-1)</f>
        <v>-0.121780763</v>
      </c>
      <c r="R21">
        <f>-0.003870523*(-1)</f>
        <v>3.8705229999999998E-3</v>
      </c>
      <c r="S21">
        <f>0.184073476*(-1)</f>
        <v>-0.18407347600000001</v>
      </c>
      <c r="T21">
        <f>0.116361884*(-1)</f>
        <v>-0.116361884</v>
      </c>
      <c r="U21">
        <f>-0.029171206*(-1)</f>
        <v>2.9171206000000002E-2</v>
      </c>
      <c r="V21">
        <f>0.111614894*(-1)</f>
        <v>-0.11161489400000001</v>
      </c>
      <c r="W21">
        <f>0.027637478*(-1)</f>
        <v>-2.7637478E-2</v>
      </c>
      <c r="X21">
        <f>(0.050555315*(-1))*(-1)</f>
        <v>5.0555315000000003E-2</v>
      </c>
      <c r="Y21">
        <f>(0.06626163*(-1))*(-1)</f>
        <v>6.6261630000000002E-2</v>
      </c>
      <c r="Z21">
        <f>(-0.062528379*(-1))*(-1)</f>
        <v>-6.2528378999999995E-2</v>
      </c>
      <c r="AA21">
        <f>(-0.050555315*(-1))*(-1)</f>
        <v>-5.0555315000000003E-2</v>
      </c>
      <c r="AB21">
        <f>(-0.06626163*(-1))*(-1)</f>
        <v>-6.6261630000000002E-2</v>
      </c>
      <c r="AC21">
        <f>(0.062528379*(-1))*(-1)</f>
        <v>6.2528378999999995E-2</v>
      </c>
      <c r="AD21">
        <v>-0.329138072</v>
      </c>
      <c r="AE21">
        <v>-6.2865850000000001E-2</v>
      </c>
      <c r="AF21">
        <v>-0.196001961</v>
      </c>
      <c r="AG21">
        <v>0.196001961</v>
      </c>
      <c r="AH21">
        <v>0.19819999999999999</v>
      </c>
      <c r="AI21">
        <v>0.31359999999999999</v>
      </c>
      <c r="AJ21">
        <v>1</v>
      </c>
      <c r="AK21">
        <v>1</v>
      </c>
      <c r="AL21">
        <v>9.5350710000000005E-2</v>
      </c>
    </row>
    <row r="22" spans="1:38" x14ac:dyDescent="0.25">
      <c r="A22">
        <v>4088</v>
      </c>
      <c r="B22">
        <v>25</v>
      </c>
      <c r="C22">
        <v>18</v>
      </c>
      <c r="D22">
        <v>0</v>
      </c>
      <c r="E22">
        <f>0.01559675*(-1)</f>
        <v>-1.559675E-2</v>
      </c>
      <c r="F22">
        <f>0.112478605*(-1)</f>
        <v>-0.112478605</v>
      </c>
      <c r="G22">
        <f>0.293300194*(-1)</f>
        <v>-0.29330019400000001</v>
      </c>
      <c r="H22">
        <f>-0.293300194*(-1)</f>
        <v>0.29330019400000001</v>
      </c>
      <c r="I22">
        <f>0.035398942*(-1)</f>
        <v>-3.5398942000000003E-2</v>
      </c>
      <c r="J22">
        <f>0.081088843*(-1)</f>
        <v>-8.1088842999999994E-2</v>
      </c>
      <c r="K22">
        <f>0.208285758*(-1)</f>
        <v>-0.20828575799999999</v>
      </c>
      <c r="L22">
        <f>-0.009886046*(-1)</f>
        <v>9.8860460000000008E-3</v>
      </c>
      <c r="M22">
        <f>0.006505203*(-1)</f>
        <v>-6.5052030000000002E-3</v>
      </c>
      <c r="N22">
        <f>0.170096305*(-1)</f>
        <v>-0.170096305</v>
      </c>
      <c r="O22">
        <f>0.021803058*(-1)</f>
        <v>-2.1803058E-2</v>
      </c>
      <c r="P22">
        <f>-0.025695648*(-1)</f>
        <v>2.5695648000000001E-2</v>
      </c>
      <c r="Q22">
        <f>-0.045962437*(-1)</f>
        <v>4.5962437000000002E-2</v>
      </c>
      <c r="R22">
        <f>0.09706734*(-1)</f>
        <v>-9.7067340000000002E-2</v>
      </c>
      <c r="S22">
        <f>0.036230181*(-1)</f>
        <v>-3.6230181E-2</v>
      </c>
      <c r="T22">
        <f>-0.184847534*(-1)</f>
        <v>0.18484753400000001</v>
      </c>
      <c r="U22">
        <f>-0.01600517*(-1)</f>
        <v>1.6005169999999999E-2</v>
      </c>
      <c r="V22">
        <f>-0.0549218*(-1)</f>
        <v>5.49218E-2</v>
      </c>
      <c r="W22">
        <f>-0.055913578*(-1)</f>
        <v>5.5913577999999999E-2</v>
      </c>
      <c r="X22">
        <f>(-0.001493364*(-1))*(-1)</f>
        <v>-1.4933640000000001E-3</v>
      </c>
      <c r="Y22">
        <f>(0.037200145*(-1))*(-1)</f>
        <v>3.7200144999999997E-2</v>
      </c>
      <c r="Z22">
        <f>(-0.019604138*(-1))*(-1)</f>
        <v>-1.9604138E-2</v>
      </c>
      <c r="AA22">
        <f>(0.001493364*(-1))*(-1)</f>
        <v>1.4933640000000001E-3</v>
      </c>
      <c r="AB22">
        <f>(-0.037200145*(-1))*(-1)</f>
        <v>-3.7200144999999997E-2</v>
      </c>
      <c r="AC22">
        <f>(0.019604138*(-1))*(-1)</f>
        <v>1.9604138E-2</v>
      </c>
      <c r="AD22">
        <v>0.39372869199999999</v>
      </c>
      <c r="AE22">
        <v>-0.41131156899999999</v>
      </c>
      <c r="AF22">
        <v>-8.7914385000000001E-3</v>
      </c>
      <c r="AG22">
        <v>8.7914385000000001E-3</v>
      </c>
      <c r="AH22">
        <v>0.1913</v>
      </c>
      <c r="AI22">
        <v>-9.7449999999999995E-2</v>
      </c>
      <c r="AJ22">
        <v>0.95</v>
      </c>
      <c r="AK22">
        <v>0.8125</v>
      </c>
      <c r="AL22">
        <v>8.1908880000000003E-2</v>
      </c>
    </row>
    <row r="23" spans="1:38" x14ac:dyDescent="0.25">
      <c r="A23">
        <v>4204</v>
      </c>
      <c r="B23">
        <v>26</v>
      </c>
      <c r="C23">
        <v>19</v>
      </c>
      <c r="D23">
        <v>0</v>
      </c>
      <c r="E23">
        <f>-0.093787955*(-1)</f>
        <v>9.3787955000000006E-2</v>
      </c>
      <c r="F23">
        <f>-0.047517829*(-1)</f>
        <v>4.7517828999999998E-2</v>
      </c>
      <c r="G23">
        <f>0.152497416*(-1)</f>
        <v>-0.152497416</v>
      </c>
      <c r="H23">
        <f>-0.152497416*(-1)</f>
        <v>0.152497416</v>
      </c>
      <c r="I23">
        <f>-0.136985519*(-1)</f>
        <v>0.136985519</v>
      </c>
      <c r="J23">
        <f>-0.139851306*(-1)</f>
        <v>0.13985130600000001</v>
      </c>
      <c r="K23">
        <f>0.141946893*(-1)</f>
        <v>-0.14194689299999999</v>
      </c>
      <c r="L23">
        <f>-0.019085095*(-1)</f>
        <v>1.9085095E-2</v>
      </c>
      <c r="M23">
        <f>0.01001317*(-1)</f>
        <v>-1.001317E-2</v>
      </c>
      <c r="N23">
        <f>0.087544382*(-1)</f>
        <v>-8.7544382000000004E-2</v>
      </c>
      <c r="O23">
        <f>-0.052273283*(-1)</f>
        <v>5.2273282999999997E-2</v>
      </c>
      <c r="P23">
        <f>0.078093583*(-1)</f>
        <v>-7.8093582999999994E-2</v>
      </c>
      <c r="Q23">
        <f>0.082050494*(-1)</f>
        <v>-8.2050494000000002E-2</v>
      </c>
      <c r="R23">
        <f>-0.084305466*(-1)</f>
        <v>8.4305465999999996E-2</v>
      </c>
      <c r="S23">
        <f>0.005241178*(-1)</f>
        <v>-5.241178E-3</v>
      </c>
      <c r="T23">
        <f>0.046063374*(-1)</f>
        <v>-4.6063373999999997E-2</v>
      </c>
      <c r="U23">
        <f>-0.008397872*(-1)</f>
        <v>8.3978720000000007E-3</v>
      </c>
      <c r="V23">
        <f>0.09725892*(-1)</f>
        <v>-9.7258919999999999E-2</v>
      </c>
      <c r="W23">
        <f>0.0746452*(-1)</f>
        <v>-7.4645199999999995E-2</v>
      </c>
      <c r="X23">
        <f>(-0.056843597*(-1))*(-1)</f>
        <v>-5.6843597000000003E-2</v>
      </c>
      <c r="Y23">
        <f>(0.039775882*(-1))*(-1)</f>
        <v>3.9775881999999999E-2</v>
      </c>
      <c r="Z23">
        <f>(-0.12646326*(-1))*(-1)</f>
        <v>-0.12646325999999999</v>
      </c>
      <c r="AA23">
        <f>(0.056843597*(-1))*(-1)</f>
        <v>5.6843597000000003E-2</v>
      </c>
      <c r="AB23">
        <f>(-0.039775882*(-1))*(-1)</f>
        <v>-3.9775881999999999E-2</v>
      </c>
      <c r="AC23">
        <f>(0.12646326*(-1))*(-1)</f>
        <v>0.12646325999999999</v>
      </c>
      <c r="AD23">
        <v>5.1904939999999997E-2</v>
      </c>
      <c r="AE23">
        <v>-0.26966232699999998</v>
      </c>
      <c r="AF23">
        <v>-0.1088786935</v>
      </c>
      <c r="AG23">
        <v>0.1088786935</v>
      </c>
      <c r="AH23">
        <v>0.30580000000000002</v>
      </c>
      <c r="AI23">
        <v>-2.9749999999999999E-2</v>
      </c>
      <c r="AJ23">
        <v>1</v>
      </c>
      <c r="AK23">
        <v>1</v>
      </c>
      <c r="AL23">
        <v>0.18262824</v>
      </c>
    </row>
    <row r="24" spans="1:38" x14ac:dyDescent="0.25">
      <c r="A24">
        <v>4065</v>
      </c>
      <c r="B24">
        <v>27</v>
      </c>
      <c r="C24">
        <v>22</v>
      </c>
      <c r="D24">
        <v>0</v>
      </c>
      <c r="E24">
        <f>0.036960713*(-1)</f>
        <v>-3.6960712999999999E-2</v>
      </c>
      <c r="F24">
        <f>0.172070608*(-1)</f>
        <v>-0.17207060800000001</v>
      </c>
      <c r="G24">
        <f>0.106677128*(-1)</f>
        <v>-0.106677128</v>
      </c>
      <c r="H24">
        <f>-0.106677128*(-1)</f>
        <v>0.106677128</v>
      </c>
      <c r="I24">
        <f>-0.010659504*(-1)</f>
        <v>1.0659504E-2</v>
      </c>
      <c r="J24">
        <f>0.151468538*(-1)</f>
        <v>-0.15146853800000001</v>
      </c>
      <c r="K24">
        <f>0.042321101*(-1)</f>
        <v>-4.2321101E-2</v>
      </c>
      <c r="L24">
        <f>0.08560487*(-1)</f>
        <v>-8.560487E-2</v>
      </c>
      <c r="M24">
        <f>0.111125647*(-1)</f>
        <v>-0.11112564699999999</v>
      </c>
      <c r="N24">
        <f>-0.030046757*(-1)</f>
        <v>3.0046757E-2</v>
      </c>
      <c r="O24">
        <f>0.112807334*(-1)</f>
        <v>-0.112807334</v>
      </c>
      <c r="P24">
        <f>-0.169698928*(-1)</f>
        <v>0.169698928</v>
      </c>
      <c r="Q24">
        <f>-0.040700974*(-1)</f>
        <v>4.0700974000000001E-2</v>
      </c>
      <c r="R24">
        <f>0.149294992*(-1)</f>
        <v>-0.14929499199999999</v>
      </c>
      <c r="S24">
        <f>-0.243863699*(-1)</f>
        <v>0.24386369899999999</v>
      </c>
      <c r="T24">
        <f>-0.124089654*(-1)</f>
        <v>0.12408965399999999</v>
      </c>
      <c r="U24">
        <f>-0.025116198*(-1)</f>
        <v>2.5116197999999999E-2</v>
      </c>
      <c r="V24">
        <f>-0.080742236*(-1)</f>
        <v>8.0742235999999995E-2</v>
      </c>
      <c r="W24">
        <f>0.228217874*(-1)</f>
        <v>-0.22821787399999999</v>
      </c>
      <c r="X24">
        <f>(0.021234378*(-1))*(-1)</f>
        <v>2.1234378000000002E-2</v>
      </c>
      <c r="Y24">
        <f>(-0.217731558*(-1))*(-1)</f>
        <v>-0.21773155799999999</v>
      </c>
      <c r="Z24">
        <f>(-0.011624827*(-1))*(-1)</f>
        <v>-1.1624827000000001E-2</v>
      </c>
      <c r="AA24">
        <f>(-0.021234378*(-1))*(-1)</f>
        <v>-2.1234378000000002E-2</v>
      </c>
      <c r="AB24">
        <f>(0.217731558*(-1))*(-1)</f>
        <v>0.21773155799999999</v>
      </c>
      <c r="AC24">
        <f>(0.011624827*(-1))*(-1)</f>
        <v>1.1624827000000001E-2</v>
      </c>
      <c r="AD24">
        <v>3.9796935999999998E-2</v>
      </c>
      <c r="AE24">
        <v>-8.6797721999999994E-2</v>
      </c>
      <c r="AF24">
        <v>-2.3500393000000001E-2</v>
      </c>
      <c r="AG24">
        <v>2.3500393000000001E-2</v>
      </c>
      <c r="AH24">
        <v>0.25230000000000002</v>
      </c>
      <c r="AI24">
        <v>0.21560000000000001</v>
      </c>
      <c r="AJ24">
        <v>0.94117647058800002</v>
      </c>
      <c r="AK24">
        <v>0.94736842105300001</v>
      </c>
      <c r="AL24">
        <v>7.8182500000000002E-2</v>
      </c>
    </row>
    <row r="25" spans="1:38" x14ac:dyDescent="0.25">
      <c r="A25">
        <v>4131</v>
      </c>
      <c r="B25">
        <v>28</v>
      </c>
      <c r="C25">
        <v>19</v>
      </c>
      <c r="D25">
        <v>0</v>
      </c>
      <c r="E25">
        <f>0.015564115*(-1)</f>
        <v>-1.5564115E-2</v>
      </c>
      <c r="F25">
        <f>0.090861889*(-1)</f>
        <v>-9.0861889000000001E-2</v>
      </c>
      <c r="G25">
        <f>-0.01835819*(-1)</f>
        <v>1.835819E-2</v>
      </c>
      <c r="H25">
        <f>0.01835819*(-1)</f>
        <v>-1.835819E-2</v>
      </c>
      <c r="I25">
        <f>0.021476611*(-1)</f>
        <v>-2.1476611E-2</v>
      </c>
      <c r="J25">
        <f>-0.045792964*(-1)</f>
        <v>4.5792963999999999E-2</v>
      </c>
      <c r="K25">
        <f>-0.00983766*(-1)</f>
        <v>9.8376599999999998E-3</v>
      </c>
      <c r="L25">
        <f>-0.01049255*(-1)</f>
        <v>1.049255E-2</v>
      </c>
      <c r="M25">
        <f>0.118304391*(-1)</f>
        <v>-0.11830439099999999</v>
      </c>
      <c r="N25">
        <f>-0.028922921*(-1)</f>
        <v>2.8922921000000001E-2</v>
      </c>
      <c r="O25">
        <f>0.044679824*(-1)</f>
        <v>-4.4679824E-2</v>
      </c>
      <c r="P25">
        <f>-0.050005819*(-1)</f>
        <v>5.0005819E-2</v>
      </c>
      <c r="Q25">
        <f>-0.102546981*(-1)</f>
        <v>0.102546981</v>
      </c>
      <c r="R25">
        <f>0.0163827*(-1)</f>
        <v>-1.63827E-2</v>
      </c>
      <c r="S25">
        <f>-0.031636233*(-1)</f>
        <v>3.1636233E-2</v>
      </c>
      <c r="T25">
        <f>0.109053992*(-1)</f>
        <v>-0.109053992</v>
      </c>
      <c r="U25">
        <f>0.034162662*(-1)</f>
        <v>-3.4162662000000003E-2</v>
      </c>
      <c r="V25">
        <f>-0.058146139*(-1)</f>
        <v>5.8146138999999999E-2</v>
      </c>
      <c r="W25">
        <f>-0.054277806*(-1)</f>
        <v>5.4277805999999998E-2</v>
      </c>
      <c r="X25">
        <f>(-0.019083827*(-1))*(-1)</f>
        <v>-1.9083827000000001E-2</v>
      </c>
      <c r="Y25">
        <f>(0.0233464*(-1))*(-1)</f>
        <v>2.33464E-2</v>
      </c>
      <c r="Z25">
        <f>(-0.100073035*(-1))*(-1)</f>
        <v>-0.100073035</v>
      </c>
      <c r="AA25">
        <f>(0.019083827*(-1))*(-1)</f>
        <v>1.9083827000000001E-2</v>
      </c>
      <c r="AB25">
        <f>(-0.0233464*(-1))*(-1)</f>
        <v>-2.33464E-2</v>
      </c>
      <c r="AC25">
        <f>(0.100073035*(-1))*(-1)</f>
        <v>0.100073035</v>
      </c>
      <c r="AD25">
        <v>0.597382195</v>
      </c>
      <c r="AE25">
        <v>0.19196005699999999</v>
      </c>
      <c r="AF25">
        <v>0.39467112599999998</v>
      </c>
      <c r="AG25">
        <v>-0.39467112599999998</v>
      </c>
      <c r="AH25">
        <v>0.50570000000000004</v>
      </c>
      <c r="AI25">
        <v>-6.3049999999999995E-2</v>
      </c>
      <c r="AJ25">
        <v>0.944444444444</v>
      </c>
      <c r="AK25">
        <v>0.88888888888899997</v>
      </c>
      <c r="AL25">
        <v>0.12673002999999999</v>
      </c>
    </row>
    <row r="26" spans="1:38" x14ac:dyDescent="0.25">
      <c r="A26">
        <v>4222</v>
      </c>
      <c r="B26">
        <v>30</v>
      </c>
      <c r="C26">
        <v>18</v>
      </c>
      <c r="D26">
        <v>1</v>
      </c>
      <c r="E26">
        <f>0.033938648*(-1)</f>
        <v>-3.3938648000000002E-2</v>
      </c>
      <c r="F26">
        <f>0.124734372*(-1)</f>
        <v>-0.124734372</v>
      </c>
      <c r="G26">
        <f>-0.007352547*(-1)</f>
        <v>7.3525470000000001E-3</v>
      </c>
      <c r="H26">
        <f>0.007352547*(-1)</f>
        <v>-7.3525470000000001E-3</v>
      </c>
      <c r="I26">
        <f>0.069291465*(-1)</f>
        <v>-6.9291464999999997E-2</v>
      </c>
      <c r="J26">
        <f>0.021410444*(-1)</f>
        <v>-2.1410444000000001E-2</v>
      </c>
      <c r="K26">
        <f>-0.076123033*(-1)</f>
        <v>7.6123033000000007E-2</v>
      </c>
      <c r="L26">
        <f>0.016366134*(-1)</f>
        <v>-1.6366134000000001E-2</v>
      </c>
      <c r="M26">
        <f>0.097656397*(-1)</f>
        <v>-9.7656397000000006E-2</v>
      </c>
      <c r="N26">
        <f>0.042951407*(-1)</f>
        <v>-4.2951406999999997E-2</v>
      </c>
      <c r="O26">
        <f>0.078975931*(-1)</f>
        <v>-7.8975930999999999E-2</v>
      </c>
      <c r="P26">
        <f>-0.072290276*(-1)</f>
        <v>7.2290276000000001E-2</v>
      </c>
      <c r="Q26">
        <f>-0.166521255*(-1)</f>
        <v>0.16652125500000001</v>
      </c>
      <c r="R26">
        <f>0.061530919*(-1)</f>
        <v>-6.1530919000000003E-2</v>
      </c>
      <c r="S26">
        <f>0.031328333*(-1)</f>
        <v>-3.1328333E-2</v>
      </c>
      <c r="T26">
        <f>-0.171692682*(-1)</f>
        <v>0.17169268200000001</v>
      </c>
      <c r="U26">
        <f>0.046747139*(-1)</f>
        <v>-4.6747139E-2</v>
      </c>
      <c r="V26">
        <f>-0.078881279*(-1)</f>
        <v>7.8881278999999999E-2</v>
      </c>
      <c r="W26">
        <f>-0.119165357*(-1)</f>
        <v>0.119165357</v>
      </c>
      <c r="X26">
        <f>(0.071751809*(-1))*(-1)</f>
        <v>7.1751809E-2</v>
      </c>
      <c r="Y26">
        <f>(0.053119529*(-1))*(-1)</f>
        <v>5.3119528999999999E-2</v>
      </c>
      <c r="Z26">
        <f>(-0.046608928*(-1))*(-1)</f>
        <v>-4.6608928000000001E-2</v>
      </c>
      <c r="AA26">
        <f>(-0.071751809*(-1))*(-1)</f>
        <v>-7.1751809E-2</v>
      </c>
      <c r="AB26">
        <f>(-0.053119529*(-1))*(-1)</f>
        <v>-5.3119528999999999E-2</v>
      </c>
      <c r="AC26">
        <f>(0.046608928*(-1))*(-1)</f>
        <v>4.6608928000000001E-2</v>
      </c>
      <c r="AD26">
        <v>-3.8340106999999998E-2</v>
      </c>
      <c r="AE26">
        <v>-0.34109018400000002</v>
      </c>
      <c r="AF26">
        <v>-0.18971514549999999</v>
      </c>
      <c r="AG26">
        <v>0.18971514549999999</v>
      </c>
      <c r="AH26">
        <v>7.9719999999999999E-2</v>
      </c>
      <c r="AI26">
        <v>0.4415</v>
      </c>
      <c r="AJ26">
        <v>1</v>
      </c>
      <c r="AK26">
        <v>0.97368421052599996</v>
      </c>
      <c r="AL26">
        <v>6.7799310000000002E-2</v>
      </c>
    </row>
    <row r="27" spans="1:38" x14ac:dyDescent="0.25">
      <c r="A27">
        <v>4165</v>
      </c>
      <c r="B27">
        <v>31</v>
      </c>
      <c r="C27">
        <v>20</v>
      </c>
      <c r="D27">
        <v>1</v>
      </c>
      <c r="E27">
        <f>-0.024899409*(-1)</f>
        <v>2.4899409000000001E-2</v>
      </c>
      <c r="F27">
        <f>0.129942529*(-1)</f>
        <v>-0.129942529</v>
      </c>
      <c r="G27">
        <f>-0.115559454*(-1)</f>
        <v>0.11555945400000001</v>
      </c>
      <c r="H27">
        <f>0.115559454*(-1)</f>
        <v>-0.11555945400000001</v>
      </c>
      <c r="I27">
        <f>-0.024114533*(-1)</f>
        <v>2.4114533E-2</v>
      </c>
      <c r="J27">
        <f>0.15942641*(-1)</f>
        <v>-0.15942640999999999</v>
      </c>
      <c r="K27">
        <f>-0.030519945*(-1)</f>
        <v>3.0519945E-2</v>
      </c>
      <c r="L27">
        <f>-0.043576723*(-1)</f>
        <v>4.3576722999999998E-2</v>
      </c>
      <c r="M27">
        <f>0.018814255*(-1)</f>
        <v>-1.8814254999999998E-2</v>
      </c>
      <c r="N27">
        <f>-0.01771464*(-1)</f>
        <v>1.771464E-2</v>
      </c>
      <c r="O27">
        <f>-0.03241614*(-1)</f>
        <v>3.2416140000000003E-2</v>
      </c>
      <c r="P27">
        <f>-0.097446851*(-1)</f>
        <v>9.7446851000000001E-2</v>
      </c>
      <c r="Q27">
        <f>-0.029852864*(-1)</f>
        <v>2.9852864E-2</v>
      </c>
      <c r="R27">
        <f>-0.024245175*(-1)</f>
        <v>2.4245175000000001E-2</v>
      </c>
      <c r="S27">
        <f>-0.105418728*(-1)</f>
        <v>0.105418728</v>
      </c>
      <c r="T27">
        <f>-0.142561044*(-1)</f>
        <v>0.142561044</v>
      </c>
      <c r="U27">
        <f>-0.013248884*(-1)</f>
        <v>1.3248884000000001E-2</v>
      </c>
      <c r="V27">
        <f>-0.046654304*(-1)</f>
        <v>4.6654304000000001E-2</v>
      </c>
      <c r="W27">
        <f>0.230248993*(-1)</f>
        <v>-0.23024899300000001</v>
      </c>
      <c r="X27">
        <f>(-0.040973576*(-1))*(-1)</f>
        <v>-4.0973575999999998E-2</v>
      </c>
      <c r="Y27">
        <f>(0.038222014*(-1))*(-1)</f>
        <v>3.8222013999999999E-2</v>
      </c>
      <c r="Z27">
        <f>(-0.077226419*(-1))*(-1)</f>
        <v>-7.7226419000000004E-2</v>
      </c>
      <c r="AA27">
        <f>(0.040973576*(-1))*(-1)</f>
        <v>4.0973575999999998E-2</v>
      </c>
      <c r="AB27">
        <f>(-0.038222014*(-1))*(-1)</f>
        <v>-3.8222013999999999E-2</v>
      </c>
      <c r="AC27">
        <f>(0.077226419*(-1))*(-1)</f>
        <v>7.7226419000000004E-2</v>
      </c>
      <c r="AD27">
        <v>-0.17486494799999999</v>
      </c>
      <c r="AE27">
        <v>-5.7090440999999999E-2</v>
      </c>
      <c r="AF27">
        <v>-0.11597769450000001</v>
      </c>
      <c r="AG27">
        <v>0.11597769450000001</v>
      </c>
      <c r="AH27">
        <v>0.1651</v>
      </c>
      <c r="AI27">
        <v>0.2848</v>
      </c>
      <c r="AJ27">
        <v>0.944444444444</v>
      </c>
      <c r="AK27">
        <v>1</v>
      </c>
      <c r="AL27">
        <v>0.14445895</v>
      </c>
    </row>
    <row r="28" spans="1:38" x14ac:dyDescent="0.25">
      <c r="A28">
        <v>4315</v>
      </c>
      <c r="B28">
        <v>32</v>
      </c>
      <c r="C28">
        <v>19</v>
      </c>
      <c r="D28">
        <v>1</v>
      </c>
      <c r="E28">
        <f>0.0182686*(-1)</f>
        <v>-1.8268599999999999E-2</v>
      </c>
      <c r="F28">
        <f>0.171750827*(-1)</f>
        <v>-0.17175082699999999</v>
      </c>
      <c r="G28">
        <f>-0.087041989*(-1)</f>
        <v>8.7041989E-2</v>
      </c>
      <c r="H28">
        <f>0.087041989*(-1)</f>
        <v>-8.7041989E-2</v>
      </c>
      <c r="I28">
        <f>0.034451269*(-1)</f>
        <v>-3.4451269E-2</v>
      </c>
      <c r="J28">
        <f>0.154989306*(-1)</f>
        <v>-0.15498930599999999</v>
      </c>
      <c r="K28">
        <f>-0.187333613*(-1)</f>
        <v>0.18733361300000001</v>
      </c>
      <c r="L28">
        <f>-0.028276359*(-1)</f>
        <v>2.8276359000000001E-2</v>
      </c>
      <c r="M28">
        <f>0.184630935*(-1)</f>
        <v>-0.184630935</v>
      </c>
      <c r="N28">
        <f>0.020571214*(-1)</f>
        <v>-2.0571214000000001E-2</v>
      </c>
      <c r="O28">
        <f>0.074053412*(-1)</f>
        <v>-7.4053411999999999E-2</v>
      </c>
      <c r="P28">
        <f>-0.06360417*(-1)</f>
        <v>6.3604170000000002E-2</v>
      </c>
      <c r="Q28">
        <f>0.103080642*(-1)</f>
        <v>-0.103080642</v>
      </c>
      <c r="R28">
        <f>0.027672764*(-1)</f>
        <v>-2.7672763999999999E-2</v>
      </c>
      <c r="S28">
        <f>-0.069414055*(-1)</f>
        <v>6.9414055000000002E-2</v>
      </c>
      <c r="T28">
        <f>0.08317132*(-1)</f>
        <v>-8.3171320000000007E-2</v>
      </c>
      <c r="U28">
        <f>0.054979612*(-1)</f>
        <v>-5.4979611999999997E-2</v>
      </c>
      <c r="V28">
        <f>-0.007623496*(-1)</f>
        <v>7.6234959999999996E-3</v>
      </c>
      <c r="W28">
        <f>0.226701237*(-1)</f>
        <v>-0.226701237</v>
      </c>
      <c r="X28">
        <f>(0.080305202*(-1))*(-1)</f>
        <v>8.0305202000000006E-2</v>
      </c>
      <c r="Y28">
        <f>(-0.073016544*(-1))*(-1)</f>
        <v>-7.3016544000000003E-2</v>
      </c>
      <c r="Z28">
        <f>(-0.175471202*(-1))*(-1)</f>
        <v>-0.17547120199999999</v>
      </c>
      <c r="AA28">
        <f>(-0.080305202*(-1))*(-1)</f>
        <v>-8.0305202000000006E-2</v>
      </c>
      <c r="AB28">
        <f>(0.073016544*(-1))*(-1)</f>
        <v>7.3016544000000003E-2</v>
      </c>
      <c r="AC28">
        <f>(0.175471202*(-1))*(-1)</f>
        <v>0.17547120199999999</v>
      </c>
      <c r="AD28">
        <v>0.120647395</v>
      </c>
      <c r="AE28">
        <v>-0.32571658999999997</v>
      </c>
      <c r="AF28">
        <v>-0.1025345975</v>
      </c>
      <c r="AG28">
        <v>0.1025345975</v>
      </c>
      <c r="AH28">
        <v>0.3019</v>
      </c>
      <c r="AI28">
        <v>6.7309999999999995E-2</v>
      </c>
      <c r="AJ28">
        <v>1</v>
      </c>
      <c r="AK28">
        <v>1</v>
      </c>
      <c r="AL28">
        <v>0.13514545</v>
      </c>
    </row>
    <row r="29" spans="1:38" x14ac:dyDescent="0.25">
      <c r="A29">
        <v>3380</v>
      </c>
      <c r="B29">
        <v>33</v>
      </c>
      <c r="C29">
        <v>21</v>
      </c>
      <c r="D29">
        <v>0</v>
      </c>
      <c r="E29">
        <f>-0.083203979*(-1)</f>
        <v>8.3203978999999997E-2</v>
      </c>
      <c r="F29">
        <f>-0.116782825*(-1)</f>
        <v>0.11678282500000001</v>
      </c>
      <c r="G29">
        <f>0.569906358*(-1)</f>
        <v>-0.569906358</v>
      </c>
      <c r="H29">
        <f>-0.569906358*(-1)</f>
        <v>0.569906358</v>
      </c>
      <c r="I29">
        <f>-0.079576474*(-1)</f>
        <v>7.9576473999999994E-2</v>
      </c>
      <c r="J29">
        <f>-0.129857753*(-1)</f>
        <v>0.12985775299999999</v>
      </c>
      <c r="K29">
        <f>0.447345552*(-1)</f>
        <v>-0.44734555199999998</v>
      </c>
      <c r="L29">
        <f>-0.063278167*(-1)</f>
        <v>6.3278166999999996E-2</v>
      </c>
      <c r="M29">
        <f>0.042733186*(-1)</f>
        <v>-4.2733185999999999E-2</v>
      </c>
      <c r="N29">
        <f>0.339215201*(-1)</f>
        <v>-0.33921520100000002</v>
      </c>
      <c r="O29">
        <f>0.043554025*(-1)</f>
        <v>-4.3554025000000003E-2</v>
      </c>
      <c r="P29">
        <f>0.176211475*(-1)</f>
        <v>-0.17621147500000001</v>
      </c>
      <c r="Q29">
        <f>-0.152389555*(-1)</f>
        <v>0.15238955500000001</v>
      </c>
      <c r="R29">
        <f>0.040105162*(-1)</f>
        <v>-4.0105162E-2</v>
      </c>
      <c r="S29">
        <f>0.13035719*(-1)</f>
        <v>-0.13035719000000001</v>
      </c>
      <c r="T29">
        <f>-0.089443289*(-1)</f>
        <v>8.9443288999999995E-2</v>
      </c>
      <c r="U29">
        <f>0.038351332*(-1)</f>
        <v>-3.8351332000000002E-2</v>
      </c>
      <c r="V29">
        <f>0.130914508*(-1)</f>
        <v>-0.13091450800000001</v>
      </c>
      <c r="W29">
        <f>-0.092546223*(-1)</f>
        <v>9.2546222999999997E-2</v>
      </c>
      <c r="X29">
        <f>(-0.003598501*(-1))*(-1)</f>
        <v>-3.598501E-3</v>
      </c>
      <c r="Y29">
        <f>(-0.228367861*(-1))*(-1)</f>
        <v>-0.22836786100000001</v>
      </c>
      <c r="Z29">
        <f>(0.262918576*(-1))*(-1)</f>
        <v>0.26291857600000001</v>
      </c>
      <c r="AA29">
        <f>(0.003598501*(-1))*(-1)</f>
        <v>3.598501E-3</v>
      </c>
      <c r="AB29">
        <f>(0.228367861*(-1))*(-1)</f>
        <v>0.22836786100000001</v>
      </c>
      <c r="AC29">
        <f>(-0.262918576*(-1))*(-1)</f>
        <v>-0.26291857600000001</v>
      </c>
      <c r="AD29">
        <v>-0.372171217</v>
      </c>
      <c r="AE29">
        <v>-0.56530337100000005</v>
      </c>
      <c r="AF29">
        <v>-0.46873729400000003</v>
      </c>
      <c r="AG29">
        <v>0.46873729400000003</v>
      </c>
      <c r="AH29">
        <v>5.7919999999999999E-2</v>
      </c>
      <c r="AI29">
        <v>0.22639999999999999</v>
      </c>
      <c r="AJ29">
        <v>0.94117647058800002</v>
      </c>
      <c r="AK29">
        <v>1</v>
      </c>
      <c r="AL29">
        <v>3.8604890000000003E-2</v>
      </c>
    </row>
    <row r="30" spans="1:38" x14ac:dyDescent="0.25">
      <c r="A30">
        <v>3385</v>
      </c>
      <c r="B30">
        <v>34</v>
      </c>
      <c r="C30">
        <v>21</v>
      </c>
      <c r="D30">
        <v>0</v>
      </c>
      <c r="E30">
        <f>-0.068105074*(-1)</f>
        <v>6.8105074000000002E-2</v>
      </c>
      <c r="F30">
        <f>0.228008939*(-1)</f>
        <v>-0.22800893899999999</v>
      </c>
      <c r="G30">
        <f>0.209866325*(-1)</f>
        <v>-0.20986632499999999</v>
      </c>
      <c r="H30">
        <f>-0.209866325*(-1)</f>
        <v>0.20986632499999999</v>
      </c>
      <c r="I30">
        <f>-0.01510927*(-1)</f>
        <v>1.5109269999999999E-2</v>
      </c>
      <c r="J30">
        <f>0.15528541*(-1)</f>
        <v>-0.15528541000000001</v>
      </c>
      <c r="K30">
        <f>0.280795045*(-1)</f>
        <v>-0.28079504500000002</v>
      </c>
      <c r="L30">
        <f>-0.084746374*(-1)</f>
        <v>8.4746373999999999E-2</v>
      </c>
      <c r="M30">
        <f>0.183079497*(-1)</f>
        <v>-0.18307949700000001</v>
      </c>
      <c r="N30">
        <f>0.054684438*(-1)</f>
        <v>-5.4684438000000002E-2</v>
      </c>
      <c r="O30">
        <f>0.020672565*(-1)</f>
        <v>-2.0672565E-2</v>
      </c>
      <c r="P30">
        <f>0.024365596*(-1)</f>
        <v>-2.4365596E-2</v>
      </c>
      <c r="Q30">
        <f>0.055823643*(-1)</f>
        <v>-5.5823642999999999E-2</v>
      </c>
      <c r="R30">
        <f>-0.02679583*(-1)</f>
        <v>2.679583E-2</v>
      </c>
      <c r="S30">
        <f>-0.091890722*(-1)</f>
        <v>9.1890721999999994E-2</v>
      </c>
      <c r="T30">
        <f>0.14365859*(-1)</f>
        <v>-0.14365859</v>
      </c>
      <c r="U30">
        <f>0.015542005*(-1)</f>
        <v>-1.5542004999999999E-2</v>
      </c>
      <c r="V30">
        <f>0.072449055*(-1)</f>
        <v>-7.2449054999999998E-2</v>
      </c>
      <c r="W30">
        <f>-0.033924045*(-1)</f>
        <v>3.3924045E-2</v>
      </c>
      <c r="X30">
        <f>(0.043441397*(-1))*(-1)</f>
        <v>4.3441397E-2</v>
      </c>
      <c r="Y30">
        <f>(0.014656212*(-1))*(-1)</f>
        <v>1.4656212E-2</v>
      </c>
      <c r="Z30">
        <f>(-0.215420574*(-1))*(-1)</f>
        <v>-0.215420574</v>
      </c>
      <c r="AA30">
        <f>(-0.043441397*(-1))*(-1)</f>
        <v>-4.3441397E-2</v>
      </c>
      <c r="AB30">
        <f>(-0.014656212*(-1))*(-1)</f>
        <v>-1.4656212E-2</v>
      </c>
      <c r="AC30">
        <f>(0.215420574*(-1))*(-1)</f>
        <v>0.215420574</v>
      </c>
      <c r="AD30">
        <v>-0.47934508799999997</v>
      </c>
      <c r="AE30">
        <v>0.25919112599999999</v>
      </c>
      <c r="AF30">
        <v>-0.110076981</v>
      </c>
      <c r="AG30">
        <v>0.110076981</v>
      </c>
      <c r="AH30">
        <v>8.165E-2</v>
      </c>
      <c r="AI30">
        <v>8.9130000000000001E-2</v>
      </c>
      <c r="AJ30">
        <v>0.86666666666699999</v>
      </c>
      <c r="AK30">
        <v>1</v>
      </c>
      <c r="AL30">
        <v>5.6510070000000003E-2</v>
      </c>
    </row>
    <row r="31" spans="1:38" x14ac:dyDescent="0.25">
      <c r="A31">
        <v>4505</v>
      </c>
      <c r="B31">
        <v>35</v>
      </c>
      <c r="C31">
        <v>19</v>
      </c>
      <c r="D31">
        <v>1</v>
      </c>
      <c r="E31">
        <f>0.013297412*(-1)</f>
        <v>-1.3297412E-2</v>
      </c>
      <c r="F31">
        <f>-0.000867818*(-1)</f>
        <v>8.6781800000000002E-4</v>
      </c>
      <c r="G31">
        <f>-0.031403105*(-1)</f>
        <v>3.1403105000000001E-2</v>
      </c>
      <c r="H31">
        <f>0.031403105*(-1)</f>
        <v>-3.1403105000000001E-2</v>
      </c>
      <c r="I31">
        <f>0.058996209*(-1)</f>
        <v>-5.8996209000000001E-2</v>
      </c>
      <c r="J31">
        <f>-0.022457705*(-1)</f>
        <v>2.2457705000000001E-2</v>
      </c>
      <c r="K31">
        <f>-0.002768778*(-1)</f>
        <v>2.768778E-3</v>
      </c>
      <c r="L31">
        <f>-0.046577689*(-1)</f>
        <v>4.6577688999999999E-2</v>
      </c>
      <c r="M31">
        <f>0.056897679*(-1)</f>
        <v>-5.6897679E-2</v>
      </c>
      <c r="N31">
        <f>-0.00048762*(-1)</f>
        <v>4.8762000000000002E-4</v>
      </c>
      <c r="O31">
        <f>-0.058146746*(-1)</f>
        <v>5.8146745999999999E-2</v>
      </c>
      <c r="P31">
        <f>0.119104892*(-1)</f>
        <v>-0.119104892</v>
      </c>
      <c r="Q31">
        <f>-0.056676964*(-1)</f>
        <v>5.6676964000000003E-2</v>
      </c>
      <c r="R31">
        <f>-0.056981186*(-1)</f>
        <v>5.6981186000000003E-2</v>
      </c>
      <c r="S31">
        <f>0.196412538*(-1)</f>
        <v>-0.196412538</v>
      </c>
      <c r="T31">
        <f>-0.0700011*(-1)</f>
        <v>7.0001099999999997E-2</v>
      </c>
      <c r="U31">
        <f>-0.030972*(-1)</f>
        <v>3.0972E-2</v>
      </c>
      <c r="V31">
        <f>0.001836747*(-1)</f>
        <v>-1.8367469999999999E-3</v>
      </c>
      <c r="W31">
        <f>-0.0739391*(-1)</f>
        <v>7.3939099999999994E-2</v>
      </c>
      <c r="X31">
        <f>(0.010011097*(-1))*(-1)</f>
        <v>1.0011097E-2</v>
      </c>
      <c r="Y31">
        <f>(0.002633381*(-1))*(-1)</f>
        <v>2.6333810000000002E-3</v>
      </c>
      <c r="Z31">
        <f>(-0.171458583*(-1))*(-1)</f>
        <v>-0.171458583</v>
      </c>
      <c r="AA31">
        <f>(-0.010011097*(-1))*(-1)</f>
        <v>-1.0011097E-2</v>
      </c>
      <c r="AB31">
        <f>(-0.002633381*(-1))*(-1)</f>
        <v>-2.6333810000000002E-3</v>
      </c>
      <c r="AC31">
        <f>(0.171458583*(-1))*(-1)</f>
        <v>0.171458583</v>
      </c>
      <c r="AD31">
        <v>0.12840077</v>
      </c>
      <c r="AE31">
        <v>0.46021406100000001</v>
      </c>
      <c r="AF31">
        <v>0.2943074155</v>
      </c>
      <c r="AG31">
        <v>-0.2943074155</v>
      </c>
      <c r="AH31">
        <v>2.2929999999999999E-2</v>
      </c>
      <c r="AI31">
        <v>0.438</v>
      </c>
      <c r="AJ31">
        <v>0.93333333333299995</v>
      </c>
      <c r="AK31">
        <v>0.95238095238099996</v>
      </c>
      <c r="AL31">
        <v>0.39674698000000003</v>
      </c>
    </row>
    <row r="32" spans="1:38" x14ac:dyDescent="0.25">
      <c r="A32">
        <v>4482</v>
      </c>
      <c r="B32">
        <v>36</v>
      </c>
      <c r="C32">
        <v>20</v>
      </c>
      <c r="D32">
        <v>1</v>
      </c>
      <c r="E32">
        <f>-0.009842776*(-1)</f>
        <v>9.8427759999999993E-3</v>
      </c>
      <c r="F32">
        <f>0.050402949*(-1)</f>
        <v>-5.0402949000000002E-2</v>
      </c>
      <c r="G32">
        <f>-0.108779981*(-1)</f>
        <v>0.108779981</v>
      </c>
      <c r="H32">
        <f>0.108779981*(-1)</f>
        <v>-0.108779981</v>
      </c>
      <c r="I32">
        <f>-0.00501857*(-1)</f>
        <v>5.01857E-3</v>
      </c>
      <c r="J32">
        <f>0.018954692*(-1)</f>
        <v>-1.8954691999999999E-2</v>
      </c>
      <c r="K32">
        <f>-0.057155468*(-1)</f>
        <v>5.7155468000000001E-2</v>
      </c>
      <c r="L32">
        <f>-0.021179797*(-1)</f>
        <v>2.1179797E-2</v>
      </c>
      <c r="M32">
        <f>0.08323415*(-1)</f>
        <v>-8.3234150000000007E-2</v>
      </c>
      <c r="N32">
        <f>-0.067522581*(-1)</f>
        <v>6.7522580999999998E-2</v>
      </c>
      <c r="O32">
        <f>0.047092274*(-1)</f>
        <v>-4.7092274000000003E-2</v>
      </c>
      <c r="P32">
        <f>0.011648036*(-1)</f>
        <v>-1.1648036000000001E-2</v>
      </c>
      <c r="Q32">
        <f>-0.018062575*(-1)</f>
        <v>1.8062575000000001E-2</v>
      </c>
      <c r="R32">
        <f>0.047323675*(-1)</f>
        <v>-4.7323675000000003E-2</v>
      </c>
      <c r="S32">
        <f>0.091991118*(-1)</f>
        <v>-9.1991117999999997E-2</v>
      </c>
      <c r="T32">
        <f>0.009340018*(-1)</f>
        <v>-9.3400180000000003E-3</v>
      </c>
      <c r="U32">
        <f>0.00732727*(-1)</f>
        <v>-7.3272700000000003E-3</v>
      </c>
      <c r="V32">
        <f>-0.09318674*(-1)</f>
        <v>9.3186740000000004E-2</v>
      </c>
      <c r="W32">
        <f>-0.032229738*(-1)</f>
        <v>3.2229738000000001E-2</v>
      </c>
      <c r="X32">
        <f>(-0.08151565*(-1))*(-1)</f>
        <v>-8.1515649999999995E-2</v>
      </c>
      <c r="Y32">
        <f>(-0.165379673*(-1))*(-1)</f>
        <v>-0.165379673</v>
      </c>
      <c r="Z32">
        <f>(0.010730357*(-1))*(-1)</f>
        <v>1.0730356999999999E-2</v>
      </c>
      <c r="AA32">
        <f>(0.08151565*(-1))*(-1)</f>
        <v>8.1515649999999995E-2</v>
      </c>
      <c r="AB32">
        <f>(0.165379673*(-1))*(-1)</f>
        <v>0.165379673</v>
      </c>
      <c r="AC32">
        <f>(-0.010730357*(-1))*(-1)</f>
        <v>-1.0730356999999999E-2</v>
      </c>
      <c r="AD32">
        <v>8.9512043999999999E-2</v>
      </c>
      <c r="AE32">
        <v>-0.121107273</v>
      </c>
      <c r="AF32">
        <v>-1.5797614500000001E-2</v>
      </c>
      <c r="AG32">
        <v>1.5797614500000001E-2</v>
      </c>
      <c r="AH32">
        <v>0.17249999999999999</v>
      </c>
      <c r="AI32">
        <v>-0.14249999999999999</v>
      </c>
      <c r="AJ32">
        <v>0.94117647058800002</v>
      </c>
      <c r="AK32">
        <v>0.94736842105300001</v>
      </c>
      <c r="AL32">
        <v>0.1192212</v>
      </c>
    </row>
    <row r="33" spans="1:38" x14ac:dyDescent="0.25">
      <c r="A33">
        <v>4507</v>
      </c>
      <c r="B33">
        <v>37</v>
      </c>
      <c r="C33">
        <v>19</v>
      </c>
      <c r="D33">
        <v>1</v>
      </c>
      <c r="E33">
        <f>-0.075145719*(-1)</f>
        <v>7.5145719E-2</v>
      </c>
      <c r="F33">
        <f>-0.102732963*(-1)</f>
        <v>0.102732963</v>
      </c>
      <c r="G33">
        <f>0.032623447*(-1)</f>
        <v>-3.2623447E-2</v>
      </c>
      <c r="H33">
        <f>-0.032623447*(-1)</f>
        <v>3.2623447E-2</v>
      </c>
      <c r="I33">
        <f>-0.068497503*(-1)</f>
        <v>6.8497503000000001E-2</v>
      </c>
      <c r="J33">
        <f>-0.076785563*(-1)</f>
        <v>7.6785563000000001E-2</v>
      </c>
      <c r="K33">
        <f>0.080854098*(-1)</f>
        <v>-8.0854097999999999E-2</v>
      </c>
      <c r="L33">
        <f>-0.046945503*(-1)</f>
        <v>4.6945503E-2</v>
      </c>
      <c r="M33">
        <f>-0.050217535*(-1)</f>
        <v>5.0217535000000001E-2</v>
      </c>
      <c r="N33">
        <f>0.087376393*(-1)</f>
        <v>-8.7376392999999997E-2</v>
      </c>
      <c r="O33">
        <f>0.082043352*(-1)</f>
        <v>-8.2043352E-2</v>
      </c>
      <c r="P33">
        <f>0.124357442*(-1)</f>
        <v>-0.124357442</v>
      </c>
      <c r="Q33">
        <f>0.024088696*(-1)</f>
        <v>-2.4088696E-2</v>
      </c>
      <c r="R33">
        <f>0.044354381*(-1)</f>
        <v>-4.4354380999999998E-2</v>
      </c>
      <c r="S33">
        <f>0.046382824*(-1)</f>
        <v>-4.6382824000000003E-2</v>
      </c>
      <c r="T33">
        <f>0.103637057*(-1)</f>
        <v>-0.103637057</v>
      </c>
      <c r="U33">
        <f>0.094989464*(-1)</f>
        <v>-9.4989463999999996E-2</v>
      </c>
      <c r="V33">
        <f>0.158825799*(-1)</f>
        <v>-0.15882579899999999</v>
      </c>
      <c r="W33">
        <f>-0.030796123*(-1)</f>
        <v>3.0796123000000002E-2</v>
      </c>
      <c r="X33">
        <f>(0.004757727*(-1))*(-1)</f>
        <v>4.7577269999999998E-3</v>
      </c>
      <c r="Y33">
        <f>(-0.0797103*(-1))*(-1)</f>
        <v>-7.9710299999999998E-2</v>
      </c>
      <c r="Z33">
        <f>(-0.050810074*(-1))*(-1)</f>
        <v>-5.0810073999999997E-2</v>
      </c>
      <c r="AA33">
        <f>(-0.004757727*(-1))*(-1)</f>
        <v>-4.7577269999999998E-3</v>
      </c>
      <c r="AB33">
        <f>(0.0797103*(-1))*(-1)</f>
        <v>7.9710299999999998E-2</v>
      </c>
      <c r="AC33">
        <f>(0.050810074*(-1))*(-1)</f>
        <v>5.0810073999999997E-2</v>
      </c>
      <c r="AD33">
        <v>-0.19792252499999999</v>
      </c>
      <c r="AE33">
        <v>1.0484558E-2</v>
      </c>
      <c r="AF33">
        <v>-9.3718983500000005E-2</v>
      </c>
      <c r="AG33">
        <v>9.3718983500000005E-2</v>
      </c>
      <c r="AH33">
        <v>0.1132</v>
      </c>
      <c r="AI33">
        <v>0.1026</v>
      </c>
      <c r="AJ33">
        <v>1</v>
      </c>
      <c r="AK33">
        <v>1</v>
      </c>
      <c r="AL33">
        <v>5.4962860000000002E-2</v>
      </c>
    </row>
    <row r="34" spans="1:38" x14ac:dyDescent="0.25">
      <c r="A34">
        <v>4508</v>
      </c>
      <c r="B34">
        <v>38</v>
      </c>
      <c r="C34">
        <v>19</v>
      </c>
      <c r="D34">
        <v>0</v>
      </c>
      <c r="E34">
        <f>0.021522937*(-1)</f>
        <v>-2.1522936999999999E-2</v>
      </c>
      <c r="F34">
        <f>0.186001342*(-1)</f>
        <v>-0.18600134199999999</v>
      </c>
      <c r="G34">
        <f>0.06917251*(-1)</f>
        <v>-6.9172510000000006E-2</v>
      </c>
      <c r="H34">
        <f>-0.06917251*(-1)</f>
        <v>6.9172510000000006E-2</v>
      </c>
      <c r="I34">
        <f>0.023221173*(-1)</f>
        <v>-2.3221173000000001E-2</v>
      </c>
      <c r="J34">
        <f>0.193435825*(-1)</f>
        <v>-0.19343582500000001</v>
      </c>
      <c r="K34">
        <f>0.135828167*(-1)</f>
        <v>-0.135828167</v>
      </c>
      <c r="L34">
        <f>0.01627859*(-1)</f>
        <v>-1.6278589999999999E-2</v>
      </c>
      <c r="M34">
        <f>0.080410557*(-1)</f>
        <v>-8.0410556999999994E-2</v>
      </c>
      <c r="N34">
        <f>-0.025335742*(-1)</f>
        <v>2.5335742000000001E-2</v>
      </c>
      <c r="O34">
        <f>-0.021747887*(-1)</f>
        <v>2.1747887E-2</v>
      </c>
      <c r="P34">
        <f>0.044456481*(-1)</f>
        <v>-4.4456480999999999E-2</v>
      </c>
      <c r="Q34">
        <f>-0.083839626*(-1)</f>
        <v>8.3839626E-2</v>
      </c>
      <c r="R34">
        <f>0.045211051*(-1)</f>
        <v>-4.5211051000000002E-2</v>
      </c>
      <c r="S34">
        <f>0.09302693*(-1)</f>
        <v>-9.3026929999999994E-2</v>
      </c>
      <c r="T34">
        <f>-0.102202248*(-1)</f>
        <v>0.102202248</v>
      </c>
      <c r="U34">
        <f>-0.031174021*(-1)</f>
        <v>3.1174021E-2</v>
      </c>
      <c r="V34">
        <f>-0.014546025*(-1)</f>
        <v>1.4546025000000001E-2</v>
      </c>
      <c r="W34">
        <f>-0.100716652*(-1)</f>
        <v>0.100716652</v>
      </c>
      <c r="X34">
        <f>(-0.02217332*(-1))*(-1)</f>
        <v>-2.217332E-2</v>
      </c>
      <c r="Y34">
        <f>(-0.020413296*(-1))*(-1)</f>
        <v>-2.0413296000000001E-2</v>
      </c>
      <c r="Z34">
        <f>(0.111190579*(-1))*(-1)</f>
        <v>0.111190579</v>
      </c>
      <c r="AA34">
        <f>(0.02217332*(-1))*(-1)</f>
        <v>2.217332E-2</v>
      </c>
      <c r="AB34">
        <f>(0.020413296*(-1))*(-1)</f>
        <v>2.0413296000000001E-2</v>
      </c>
      <c r="AC34">
        <f>(-0.111190579*(-1))*(-1)</f>
        <v>-0.111190579</v>
      </c>
      <c r="AD34">
        <v>3.4345974000000001E-2</v>
      </c>
      <c r="AE34">
        <v>0.22983247300000001</v>
      </c>
      <c r="AF34">
        <v>0.13208922349999999</v>
      </c>
      <c r="AG34">
        <v>-0.13208922349999999</v>
      </c>
      <c r="AH34">
        <v>-2.0619999999999999E-2</v>
      </c>
      <c r="AI34">
        <v>-5.373E-2</v>
      </c>
      <c r="AJ34">
        <v>0.9375</v>
      </c>
      <c r="AK34">
        <v>1</v>
      </c>
      <c r="AL34">
        <v>0.11007306</v>
      </c>
    </row>
    <row r="35" spans="1:38" x14ac:dyDescent="0.25">
      <c r="A35">
        <v>4211</v>
      </c>
      <c r="B35">
        <v>39</v>
      </c>
      <c r="C35">
        <v>19</v>
      </c>
      <c r="D35">
        <v>1</v>
      </c>
      <c r="E35">
        <f>0.000435616*(-1)</f>
        <v>-4.35616E-4</v>
      </c>
      <c r="F35">
        <f>0.06550619*(-1)</f>
        <v>-6.5506190000000006E-2</v>
      </c>
      <c r="G35">
        <f>0.033615172*(-1)</f>
        <v>-3.3615171999999999E-2</v>
      </c>
      <c r="H35">
        <f>-0.033615172*(-1)</f>
        <v>3.3615171999999999E-2</v>
      </c>
      <c r="I35">
        <f>0.039477385*(-1)</f>
        <v>-3.9477384999999997E-2</v>
      </c>
      <c r="J35">
        <f>0.017302202*(-1)</f>
        <v>-1.7302201999999999E-2</v>
      </c>
      <c r="K35">
        <f>-0.019245008*(-1)</f>
        <v>1.9245008000000001E-2</v>
      </c>
      <c r="L35">
        <f>-0.066338107*(-1)</f>
        <v>6.6338106999999993E-2</v>
      </c>
      <c r="M35">
        <f>0.08430732*(-1)</f>
        <v>-8.4307320000000005E-2</v>
      </c>
      <c r="N35">
        <f>0.146486251*(-1)</f>
        <v>-0.14648625100000001</v>
      </c>
      <c r="O35">
        <f>-0.044674125*(-1)</f>
        <v>4.4674125000000002E-2</v>
      </c>
      <c r="P35">
        <f>-0.135250995*(-1)</f>
        <v>0.13525099500000001</v>
      </c>
      <c r="Q35">
        <f>0.025025633*(-1)</f>
        <v>-2.5025632999999999E-2</v>
      </c>
      <c r="R35">
        <f>-0.015831204*(-1)</f>
        <v>1.5831204000000001E-2</v>
      </c>
      <c r="S35">
        <f>-0.04669946*(-1)</f>
        <v>4.6699459999999998E-2</v>
      </c>
      <c r="T35">
        <f>-0.016981057*(-1)</f>
        <v>1.6981057000000001E-2</v>
      </c>
      <c r="U35">
        <f>-0.065343589*(-1)</f>
        <v>6.5343588999999994E-2</v>
      </c>
      <c r="V35">
        <f>-0.211229704*(-1)</f>
        <v>0.21122970399999999</v>
      </c>
      <c r="W35">
        <f>0.044274036*(-1)</f>
        <v>-4.4274036000000003E-2</v>
      </c>
      <c r="X35">
        <f>(-0.052192931*(-1))*(-1)</f>
        <v>-5.2192930999999998E-2</v>
      </c>
      <c r="Y35">
        <f>(-0.154189285*(-1))*(-1)</f>
        <v>-0.15418928500000001</v>
      </c>
      <c r="Z35">
        <f>(-0.020496566*(-1))*(-1)</f>
        <v>-2.0496566000000001E-2</v>
      </c>
      <c r="AA35">
        <f>(0.052192931*(-1))*(-1)</f>
        <v>5.2192930999999998E-2</v>
      </c>
      <c r="AB35">
        <f>(0.154189285*(-1))*(-1)</f>
        <v>0.15418928500000001</v>
      </c>
      <c r="AC35">
        <f>(0.020496566*(-1))*(-1)</f>
        <v>2.0496566000000001E-2</v>
      </c>
      <c r="AD35">
        <v>-5.7282000000000001E-3</v>
      </c>
      <c r="AE35">
        <v>0.124953012</v>
      </c>
      <c r="AF35">
        <v>5.9612406E-2</v>
      </c>
      <c r="AG35">
        <v>-5.9612406E-2</v>
      </c>
      <c r="AH35">
        <v>0.23319999999999999</v>
      </c>
      <c r="AI35">
        <v>0.183</v>
      </c>
      <c r="AJ35">
        <v>0.94117647058800002</v>
      </c>
      <c r="AK35">
        <v>0.78947368421099995</v>
      </c>
      <c r="AL35">
        <v>0.22173461999999999</v>
      </c>
    </row>
    <row r="36" spans="1:38" x14ac:dyDescent="0.25">
      <c r="A36">
        <v>4087</v>
      </c>
      <c r="B36">
        <v>40</v>
      </c>
      <c r="C36">
        <v>18</v>
      </c>
      <c r="D36">
        <v>1</v>
      </c>
      <c r="E36">
        <f>-0.008656698*(-1)</f>
        <v>8.6566980000000009E-3</v>
      </c>
      <c r="F36">
        <f>0.062494549*(-1)</f>
        <v>-6.2494549000000003E-2</v>
      </c>
      <c r="G36">
        <f>-0.09576303*(-1)</f>
        <v>9.5763029999999999E-2</v>
      </c>
      <c r="H36">
        <f>0.09576303*(-1)</f>
        <v>-9.5763029999999999E-2</v>
      </c>
      <c r="I36">
        <f>0.006237026*(-1)</f>
        <v>-6.2370259999999997E-3</v>
      </c>
      <c r="J36">
        <f>0.109315351*(-1)</f>
        <v>-0.10931535100000001</v>
      </c>
      <c r="K36">
        <f>-0.087867329*(-1)</f>
        <v>8.7867328999999994E-2</v>
      </c>
      <c r="L36">
        <f>-0.044733706*(-1)</f>
        <v>4.4733705999999998E-2</v>
      </c>
      <c r="M36">
        <f>0.002608854*(-1)</f>
        <v>-2.6088539999999999E-3</v>
      </c>
      <c r="N36">
        <f>-0.024038886*(-1)</f>
        <v>2.4038885999999999E-2</v>
      </c>
      <c r="O36">
        <f>0.016741078*(-1)</f>
        <v>-1.6741078E-2</v>
      </c>
      <c r="P36">
        <f>0.079525375*(-1)</f>
        <v>-7.9525374999999995E-2</v>
      </c>
      <c r="Q36">
        <f>-0.046177959*(-1)</f>
        <v>4.6177958999999998E-2</v>
      </c>
      <c r="R36">
        <f>0.051337267*(-1)</f>
        <v>-5.1337266999999999E-2</v>
      </c>
      <c r="S36">
        <f>0.042811818*(-1)</f>
        <v>-4.2811818000000001E-2</v>
      </c>
      <c r="T36">
        <f>0.05151841*(-1)</f>
        <v>-5.1518410000000001E-2</v>
      </c>
      <c r="U36">
        <f>0.00046763*(-1)</f>
        <v>-4.6763000000000002E-4</v>
      </c>
      <c r="V36">
        <f>0.069845886*(-1)</f>
        <v>-6.9845885999999996E-2</v>
      </c>
      <c r="W36">
        <f>-0.017781706*(-1)</f>
        <v>1.7781706000000001E-2</v>
      </c>
      <c r="X36">
        <f>(-0.118643433*(-1))*(-1)</f>
        <v>-0.11864343300000001</v>
      </c>
      <c r="Y36">
        <f>(-0.085687003*(-1))*(-1)</f>
        <v>-8.5687002999999998E-2</v>
      </c>
      <c r="Z36">
        <f>(-0.308535271*(-1))*(-1)</f>
        <v>-0.308535271</v>
      </c>
      <c r="AA36">
        <f>(0.118643433*(-1))*(-1)</f>
        <v>0.11864343300000001</v>
      </c>
      <c r="AB36">
        <f>(0.085687003*(-1))*(-1)</f>
        <v>8.5687002999999998E-2</v>
      </c>
      <c r="AC36">
        <f>(0.308535271*(-1))*(-1)</f>
        <v>0.308535271</v>
      </c>
      <c r="AD36">
        <v>0.38356411600000001</v>
      </c>
      <c r="AE36">
        <v>0.233384645</v>
      </c>
      <c r="AF36">
        <v>0.30847438049999998</v>
      </c>
      <c r="AG36">
        <v>-0.30847438049999998</v>
      </c>
      <c r="AH36">
        <v>3.5009999999999999E-2</v>
      </c>
      <c r="AI36">
        <v>0.30580000000000002</v>
      </c>
      <c r="AJ36">
        <v>1</v>
      </c>
      <c r="AK36">
        <v>1</v>
      </c>
      <c r="AL36">
        <v>0.12340915</v>
      </c>
    </row>
    <row r="37" spans="1:38" x14ac:dyDescent="0.25">
      <c r="A37">
        <v>4071</v>
      </c>
      <c r="B37">
        <v>41</v>
      </c>
      <c r="C37">
        <v>19</v>
      </c>
      <c r="D37">
        <v>1</v>
      </c>
      <c r="E37">
        <f>0.02485268*(-1)</f>
        <v>-2.4852679999999999E-2</v>
      </c>
      <c r="F37">
        <f>0.076286705*(-1)</f>
        <v>-7.6286704999999996E-2</v>
      </c>
      <c r="G37">
        <f>-0.081723872*(-1)</f>
        <v>8.1723872000000003E-2</v>
      </c>
      <c r="H37">
        <f>0.081723872*(-1)</f>
        <v>-8.1723872000000003E-2</v>
      </c>
      <c r="I37">
        <f>0.003755526*(-1)</f>
        <v>-3.7555259999999999E-3</v>
      </c>
      <c r="J37">
        <f>-0.028481382*(-1)</f>
        <v>2.8481382E-2</v>
      </c>
      <c r="K37">
        <f>-0.118044201*(-1)</f>
        <v>0.118044201</v>
      </c>
      <c r="L37">
        <f>0.061477422*(-1)</f>
        <v>-6.1477421999999997E-2</v>
      </c>
      <c r="M37">
        <f>0.060944478*(-1)</f>
        <v>-6.0944478000000003E-2</v>
      </c>
      <c r="N37">
        <f>-0.067445981*(-1)</f>
        <v>6.7445981000000002E-2</v>
      </c>
      <c r="O37">
        <f>-0.008664893*(-1)</f>
        <v>8.6648929999999999E-3</v>
      </c>
      <c r="P37">
        <f>0.095193517*(-1)</f>
        <v>-9.5193517000000005E-2</v>
      </c>
      <c r="Q37">
        <f>-0.038917175*(-1)</f>
        <v>3.8917174999999998E-2</v>
      </c>
      <c r="R37">
        <f>0.030746034*(-1)</f>
        <v>-3.0746033999999998E-2</v>
      </c>
      <c r="S37">
        <f>0.035888117*(-1)</f>
        <v>-3.5888116999999997E-2</v>
      </c>
      <c r="T37">
        <f>0.105436868*(-1)</f>
        <v>-0.105436868</v>
      </c>
      <c r="U37">
        <f>-0.007374139*(-1)</f>
        <v>7.374139E-3</v>
      </c>
      <c r="V37">
        <f>0.067020906*(-1)</f>
        <v>-6.7020906000000005E-2</v>
      </c>
      <c r="W37">
        <f>-0.008067496*(-1)</f>
        <v>8.0674960000000004E-3</v>
      </c>
      <c r="X37">
        <f>(0.002074207*(-1))*(-1)</f>
        <v>2.0742069999999998E-3</v>
      </c>
      <c r="Y37">
        <f>(-0.111140161*(-1))*(-1)</f>
        <v>-0.111140161</v>
      </c>
      <c r="Z37">
        <f>(-0.053798793*(-1))*(-1)</f>
        <v>-5.3798792999999998E-2</v>
      </c>
      <c r="AA37">
        <f>(-0.002074207*(-1))*(-1)</f>
        <v>-2.0742069999999998E-3</v>
      </c>
      <c r="AB37">
        <f>(0.111140161*(-1))*(-1)</f>
        <v>0.111140161</v>
      </c>
      <c r="AC37">
        <f>(0.053798793*(-1))*(-1)</f>
        <v>5.3798792999999998E-2</v>
      </c>
      <c r="AD37">
        <v>2.8548409E-2</v>
      </c>
      <c r="AE37">
        <v>0.110624322</v>
      </c>
      <c r="AF37">
        <v>6.9586365499999997E-2</v>
      </c>
      <c r="AG37">
        <v>-6.9586365499999997E-2</v>
      </c>
      <c r="AH37">
        <v>-3.0540000000000001E-2</v>
      </c>
      <c r="AI37">
        <v>0.313</v>
      </c>
      <c r="AJ37">
        <v>1</v>
      </c>
      <c r="AK37">
        <v>1</v>
      </c>
      <c r="AL37">
        <v>8.7194049999999995E-2</v>
      </c>
    </row>
    <row r="38" spans="1:38" x14ac:dyDescent="0.25">
      <c r="A38">
        <v>4085</v>
      </c>
      <c r="B38">
        <v>42</v>
      </c>
      <c r="C38">
        <v>18</v>
      </c>
      <c r="D38">
        <v>0</v>
      </c>
      <c r="E38">
        <f>-0.06168696*(-1)</f>
        <v>6.1686959999999999E-2</v>
      </c>
      <c r="F38">
        <f>0.100439353*(-1)</f>
        <v>-0.100439353</v>
      </c>
      <c r="G38">
        <f>0.120127507*(-1)</f>
        <v>-0.12012750699999999</v>
      </c>
      <c r="H38">
        <f>-0.120127507*(-1)</f>
        <v>0.12012750699999999</v>
      </c>
      <c r="I38">
        <f>-0.041349899*(-1)</f>
        <v>4.1349899000000002E-2</v>
      </c>
      <c r="J38">
        <f>0.008405903*(-1)</f>
        <v>-8.4059029999999993E-3</v>
      </c>
      <c r="K38">
        <f>-0.022834057*(-1)</f>
        <v>2.2834057000000001E-2</v>
      </c>
      <c r="L38">
        <f>0.000759496*(-1)</f>
        <v>-7.5949600000000002E-4</v>
      </c>
      <c r="M38">
        <f>0.082196042*(-1)</f>
        <v>-8.2196041999999997E-2</v>
      </c>
      <c r="N38">
        <f>0.128686039*(-1)</f>
        <v>-0.128686039</v>
      </c>
      <c r="O38">
        <f>0.021141308*(-1)</f>
        <v>-2.1141308000000001E-2</v>
      </c>
      <c r="P38">
        <f>0.056402718*(-1)</f>
        <v>-5.6402717999999998E-2</v>
      </c>
      <c r="Q38">
        <f>0.060302983*(-1)</f>
        <v>-6.0302982999999998E-2</v>
      </c>
      <c r="R38">
        <f>-0.057566696*(-1)</f>
        <v>5.7566696000000001E-2</v>
      </c>
      <c r="S38">
        <f>0.004175165*(-1)</f>
        <v>-4.1751649999999998E-3</v>
      </c>
      <c r="T38">
        <f>0.183202613*(-1)</f>
        <v>-0.18320261299999999</v>
      </c>
      <c r="U38">
        <f>0.063219202*(-1)</f>
        <v>-6.3219202000000002E-2</v>
      </c>
      <c r="V38">
        <f>0.059991188*(-1)</f>
        <v>-5.9991188000000001E-2</v>
      </c>
      <c r="W38">
        <f>-0.082955625*(-1)</f>
        <v>8.2955625000000005E-2</v>
      </c>
      <c r="X38">
        <f>(0.092336631*(-1))*(-1)</f>
        <v>9.2336631000000002E-2</v>
      </c>
      <c r="Y38">
        <f>(0.008108285*(-1))*(-1)</f>
        <v>8.1082849999999998E-3</v>
      </c>
      <c r="Z38">
        <f>(0.049328365*(-1))*(-1)</f>
        <v>4.9328364999999999E-2</v>
      </c>
      <c r="AA38">
        <f>(-0.092336631*(-1))*(-1)</f>
        <v>-9.2336631000000002E-2</v>
      </c>
      <c r="AB38">
        <f>(-0.008108285*(-1))*(-1)</f>
        <v>-8.1082849999999998E-3</v>
      </c>
      <c r="AC38">
        <f>(-0.049328365*(-1))*(-1)</f>
        <v>-4.9328364999999999E-2</v>
      </c>
      <c r="AD38">
        <v>4.5447967999999998E-2</v>
      </c>
      <c r="AE38">
        <v>0.23510724099999999</v>
      </c>
      <c r="AF38">
        <v>0.14027760450000001</v>
      </c>
      <c r="AG38">
        <v>-0.14027760450000001</v>
      </c>
      <c r="AH38">
        <v>0.1169</v>
      </c>
      <c r="AI38">
        <v>0.29709999999999998</v>
      </c>
      <c r="AJ38">
        <v>1</v>
      </c>
      <c r="AK38">
        <v>1</v>
      </c>
      <c r="AL38">
        <v>8.2372379999999995E-2</v>
      </c>
    </row>
    <row r="39" spans="1:38" x14ac:dyDescent="0.25">
      <c r="A39">
        <v>4119</v>
      </c>
      <c r="B39">
        <v>43</v>
      </c>
      <c r="C39">
        <v>19</v>
      </c>
      <c r="D39">
        <v>0</v>
      </c>
      <c r="E39">
        <f>-0.042435697*(-1)</f>
        <v>4.2435697000000001E-2</v>
      </c>
      <c r="F39">
        <f>0.043030843*(-1)</f>
        <v>-4.3030842999999999E-2</v>
      </c>
      <c r="G39">
        <f>-0.001574341*(-1)</f>
        <v>1.5743409999999999E-3</v>
      </c>
      <c r="H39">
        <f>0.001574341*(-1)</f>
        <v>-1.5743409999999999E-3</v>
      </c>
      <c r="I39">
        <f>-0.028926109*(-1)</f>
        <v>2.8926108999999998E-2</v>
      </c>
      <c r="J39">
        <f>0.108093614*(-1)</f>
        <v>-0.108093614</v>
      </c>
      <c r="K39">
        <f>0.107403437*(-1)</f>
        <v>-0.107403437</v>
      </c>
      <c r="L39">
        <f>-0.035319*(-1)</f>
        <v>3.5319000000000003E-2</v>
      </c>
      <c r="M39">
        <f>-0.051321554*(-1)</f>
        <v>5.1321553999999998E-2</v>
      </c>
      <c r="N39">
        <f>-0.1107911*(-1)</f>
        <v>0.1107911</v>
      </c>
      <c r="O39">
        <f>0.028877382*(-1)</f>
        <v>-2.8877382E-2</v>
      </c>
      <c r="P39">
        <f>0.036329483*(-1)</f>
        <v>-3.6329483000000003E-2</v>
      </c>
      <c r="Q39">
        <f>-0.057921114*(-1)</f>
        <v>5.7921114000000003E-2</v>
      </c>
      <c r="R39">
        <f>0.040289422*(-1)</f>
        <v>-4.0289421999999998E-2</v>
      </c>
      <c r="S39">
        <f>-0.046460166*(-1)</f>
        <v>4.6460165999999997E-2</v>
      </c>
      <c r="T39">
        <f>0.029066339*(-1)</f>
        <v>-2.9066339E-2</v>
      </c>
      <c r="U39">
        <f>0.020345099*(-1)</f>
        <v>-2.0345098999999998E-2</v>
      </c>
      <c r="V39">
        <f>0.074539211*(-1)</f>
        <v>-7.4539210999999994E-2</v>
      </c>
      <c r="W39">
        <f>-0.075717255*(-1)</f>
        <v>7.5717254999999997E-2</v>
      </c>
      <c r="X39">
        <f>(0.000947007*(-1))*(-1)</f>
        <v>9.4700700000000004E-4</v>
      </c>
      <c r="Y39">
        <f>(-0.053296828*(-1))*(-1)</f>
        <v>-5.3296827999999997E-2</v>
      </c>
      <c r="Z39">
        <f>(-0.016344701*(-1))*(-1)</f>
        <v>-1.6344701E-2</v>
      </c>
      <c r="AA39">
        <f>(-0.000947007*(-1))*(-1)</f>
        <v>-9.4700700000000004E-4</v>
      </c>
      <c r="AB39">
        <f>(0.053296828*(-1))*(-1)</f>
        <v>5.3296827999999997E-2</v>
      </c>
      <c r="AC39">
        <f>(0.016344701*(-1))*(-1)</f>
        <v>1.6344701E-2</v>
      </c>
      <c r="AD39">
        <v>-0.107658662</v>
      </c>
      <c r="AE39">
        <v>-9.3070233000000002E-2</v>
      </c>
      <c r="AF39">
        <v>-0.1003644475</v>
      </c>
      <c r="AG39">
        <v>0.1003644475</v>
      </c>
      <c r="AH39">
        <v>-9.4520000000000007E-2</v>
      </c>
      <c r="AI39">
        <v>3.6760000000000001E-2</v>
      </c>
      <c r="AJ39">
        <v>1</v>
      </c>
      <c r="AK39">
        <v>0.94117647058800002</v>
      </c>
      <c r="AL39">
        <v>8.5709090000000002E-2</v>
      </c>
    </row>
    <row r="40" spans="1:38" x14ac:dyDescent="0.25">
      <c r="A40">
        <v>4662</v>
      </c>
      <c r="B40">
        <v>45</v>
      </c>
      <c r="C40">
        <v>19</v>
      </c>
      <c r="D40">
        <v>1</v>
      </c>
      <c r="E40">
        <f>0.068798659*(-1)</f>
        <v>-6.8798658999999998E-2</v>
      </c>
      <c r="F40">
        <f>0.070708923*(-1)</f>
        <v>-7.0708923000000007E-2</v>
      </c>
      <c r="G40">
        <f>0.138145603*(-1)</f>
        <v>-0.13814560300000001</v>
      </c>
      <c r="H40">
        <f>-0.138145603*(-1)</f>
        <v>0.13814560300000001</v>
      </c>
      <c r="I40">
        <f>0.062767142*(-1)</f>
        <v>-6.2767141999999998E-2</v>
      </c>
      <c r="J40">
        <f>0.09607527*(-1)</f>
        <v>-9.6075270000000004E-2</v>
      </c>
      <c r="K40">
        <f>0.176755342*(-1)</f>
        <v>-0.17675534200000001</v>
      </c>
      <c r="L40">
        <f>0.010032102*(-1)</f>
        <v>-1.0032101999999999E-2</v>
      </c>
      <c r="M40">
        <f>0.043225929*(-1)</f>
        <v>-4.3225929000000003E-2</v>
      </c>
      <c r="N40">
        <f>0.065529275*(-1)</f>
        <v>-6.5529274999999998E-2</v>
      </c>
      <c r="O40">
        <f>-0.001233244*(-1)</f>
        <v>1.2332440000000001E-3</v>
      </c>
      <c r="P40">
        <f>-0.031585744*(-1)</f>
        <v>3.1585743999999999E-2</v>
      </c>
      <c r="Q40">
        <f>-0.057215871*(-1)</f>
        <v>5.7215871000000001E-2</v>
      </c>
      <c r="R40">
        <f>0.020313287*(-1)</f>
        <v>-2.0313286999999999E-2</v>
      </c>
      <c r="S40">
        <f>0.02628528*(-1)</f>
        <v>-2.6285280000000001E-2</v>
      </c>
      <c r="T40">
        <f>0.094472029*(-1)</f>
        <v>-9.4472028999999999E-2</v>
      </c>
      <c r="U40">
        <f>0.017567717*(-1)</f>
        <v>-1.7567717E-2</v>
      </c>
      <c r="V40">
        <f>-0.004636363*(-1)</f>
        <v>4.6363630000000001E-3</v>
      </c>
      <c r="W40">
        <f>-0.055623624*(-1)</f>
        <v>5.5623624000000003E-2</v>
      </c>
      <c r="X40">
        <f>(-0.066197727*(-1))*(-1)</f>
        <v>-6.6197726999999998E-2</v>
      </c>
      <c r="Y40">
        <f>(-0.090412241*(-1))*(-1)</f>
        <v>-9.0412241000000004E-2</v>
      </c>
      <c r="Z40">
        <f>(0.056568701*(-1))*(-1)</f>
        <v>5.6568700999999999E-2</v>
      </c>
      <c r="AA40">
        <f>(0.066197727*(-1))*(-1)</f>
        <v>6.6197726999999998E-2</v>
      </c>
      <c r="AB40">
        <f>(0.090412241*(-1))*(-1)</f>
        <v>9.0412241000000004E-2</v>
      </c>
      <c r="AC40">
        <f>(-0.056568701*(-1))*(-1)</f>
        <v>-5.6568700999999999E-2</v>
      </c>
      <c r="AD40">
        <v>0.13587249500000001</v>
      </c>
      <c r="AE40">
        <v>6.7319230999999993E-2</v>
      </c>
      <c r="AF40">
        <v>0.10159586299999999</v>
      </c>
      <c r="AG40">
        <v>-0.10159586299999999</v>
      </c>
      <c r="AH40">
        <v>3.2809999999999999E-2</v>
      </c>
      <c r="AI40">
        <v>6.6950000000000004E-3</v>
      </c>
      <c r="AJ40">
        <v>0.93333333333299995</v>
      </c>
      <c r="AK40">
        <v>0.95238095238099996</v>
      </c>
      <c r="AL40">
        <v>9.66061E-2</v>
      </c>
    </row>
    <row r="41" spans="1:38" x14ac:dyDescent="0.25">
      <c r="A41">
        <v>4530</v>
      </c>
      <c r="B41">
        <v>46</v>
      </c>
      <c r="C41">
        <v>18</v>
      </c>
      <c r="D41">
        <v>0</v>
      </c>
      <c r="E41">
        <f>0.013387278*(-1)</f>
        <v>-1.3387278000000001E-2</v>
      </c>
      <c r="F41">
        <f>0.204219378*(-1)</f>
        <v>-0.20421937800000001</v>
      </c>
      <c r="G41">
        <f>0.15273539*(-1)</f>
        <v>-0.15273539</v>
      </c>
      <c r="H41">
        <f>-0.15273539*(-1)</f>
        <v>0.15273539</v>
      </c>
      <c r="I41">
        <f>0.021981009*(-1)</f>
        <v>-2.1981008999999999E-2</v>
      </c>
      <c r="J41">
        <f>0.193293288*(-1)</f>
        <v>-0.19329328800000001</v>
      </c>
      <c r="K41">
        <f>0.263491882*(-1)</f>
        <v>-0.26349188200000001</v>
      </c>
      <c r="L41">
        <f>0.018146056*(-1)</f>
        <v>-1.8146056000000001E-2</v>
      </c>
      <c r="M41">
        <f>0.075179927*(-1)</f>
        <v>-7.5179926999999994E-2</v>
      </c>
      <c r="N41">
        <f>-0.073962471*(-1)</f>
        <v>7.3962471000000002E-2</v>
      </c>
      <c r="O41">
        <f>-0.033543754*(-1)</f>
        <v>3.3543754000000002E-2</v>
      </c>
      <c r="P41">
        <f>-0.069417352*(-1)</f>
        <v>6.9417352000000002E-2</v>
      </c>
      <c r="Q41">
        <f>0.069661987*(-1)</f>
        <v>-6.9661986999999995E-2</v>
      </c>
      <c r="R41">
        <f>0.030970734*(-1)</f>
        <v>-3.0970734E-2</v>
      </c>
      <c r="S41">
        <f>-0.032052405*(-1)</f>
        <v>3.2052404999999999E-2</v>
      </c>
      <c r="T41">
        <f>0.124140751*(-1)</f>
        <v>-0.12414075099999999</v>
      </c>
      <c r="U41">
        <f>-0.102236889*(-1)</f>
        <v>0.102236889</v>
      </c>
      <c r="V41">
        <f>-0.103024049*(-1)</f>
        <v>0.10302404900000001</v>
      </c>
      <c r="W41">
        <f>-0.068842114*(-1)</f>
        <v>6.8842113999999996E-2</v>
      </c>
      <c r="X41">
        <f>(-0.056948352*(-1))*(-1)</f>
        <v>-5.6948352000000001E-2</v>
      </c>
      <c r="Y41">
        <f>(0.009849327*(-1))*(-1)</f>
        <v>9.8493269999999997E-3</v>
      </c>
      <c r="Z41">
        <f>(-0.084025659*(-1))*(-1)</f>
        <v>-8.4025659000000003E-2</v>
      </c>
      <c r="AA41">
        <f>(0.056948352*(-1))*(-1)</f>
        <v>5.6948352000000001E-2</v>
      </c>
      <c r="AB41">
        <f>(-0.009849327*(-1))*(-1)</f>
        <v>-9.8493269999999997E-3</v>
      </c>
      <c r="AC41">
        <f>(0.084025659*(-1))*(-1)</f>
        <v>8.4025659000000003E-2</v>
      </c>
      <c r="AD41">
        <v>0.125024933</v>
      </c>
      <c r="AE41">
        <v>-0.117773592</v>
      </c>
      <c r="AF41">
        <v>3.6256704999999998E-3</v>
      </c>
      <c r="AG41">
        <v>-3.6256704999999998E-3</v>
      </c>
      <c r="AH41">
        <v>9.8350000000000007E-2</v>
      </c>
      <c r="AI41">
        <v>0.2427</v>
      </c>
      <c r="AJ41">
        <v>0.47058823529400001</v>
      </c>
      <c r="AK41">
        <v>0.68421052631599999</v>
      </c>
      <c r="AL41">
        <v>0.12453617</v>
      </c>
    </row>
    <row r="42" spans="1:38" x14ac:dyDescent="0.25">
      <c r="A42">
        <v>4487</v>
      </c>
      <c r="B42">
        <v>47</v>
      </c>
      <c r="C42">
        <v>19</v>
      </c>
      <c r="D42">
        <v>0</v>
      </c>
      <c r="E42">
        <f>0.029544195*(-1)</f>
        <v>-2.9544194999999999E-2</v>
      </c>
      <c r="F42">
        <f>0.172001605*(-1)</f>
        <v>-0.172001605</v>
      </c>
      <c r="G42">
        <f>0.138550741*(-1)</f>
        <v>-0.13855074100000001</v>
      </c>
      <c r="H42">
        <f>-0.138550741*(-1)</f>
        <v>0.13855074100000001</v>
      </c>
      <c r="I42">
        <f>0.000967393*(-1)</f>
        <v>-9.6739299999999999E-4</v>
      </c>
      <c r="J42">
        <f>0.232552919*(-1)</f>
        <v>-0.232552919</v>
      </c>
      <c r="K42">
        <f>0.212387029*(-1)</f>
        <v>-0.212387029</v>
      </c>
      <c r="L42">
        <f>0.05896033*(-1)</f>
        <v>-5.8960329999999998E-2</v>
      </c>
      <c r="M42">
        <f>0.036741777*(-1)</f>
        <v>-3.6741777000000003E-2</v>
      </c>
      <c r="N42">
        <f>-0.022610538*(-1)</f>
        <v>2.2610537999999999E-2</v>
      </c>
      <c r="O42">
        <f>-0.004341987*(-1)</f>
        <v>4.3419870000000003E-3</v>
      </c>
      <c r="P42">
        <f>-0.017660792*(-1)</f>
        <v>1.7660792000000002E-2</v>
      </c>
      <c r="Q42">
        <f>0.130989049*(-1)</f>
        <v>-0.130989049</v>
      </c>
      <c r="R42">
        <f>0.033504625*(-1)</f>
        <v>-3.3504625000000003E-2</v>
      </c>
      <c r="S42">
        <f>0.019889345*(-1)</f>
        <v>-1.9889344999999999E-2</v>
      </c>
      <c r="T42">
        <f>-0.006275332*(-1)</f>
        <v>6.2753319999999998E-3</v>
      </c>
      <c r="U42">
        <f>0.043246692*(-1)</f>
        <v>-4.3246692000000003E-2</v>
      </c>
      <c r="V42">
        <f>-0.020367347*(-1)</f>
        <v>2.0367347000000001E-2</v>
      </c>
      <c r="W42">
        <f>0.051587515*(-1)</f>
        <v>-5.1587515E-2</v>
      </c>
      <c r="X42">
        <f>(-0.119895638*(-1))*(-1)</f>
        <v>-0.119895638</v>
      </c>
      <c r="Y42">
        <f>(-0.163341376*(-1))*(-1)</f>
        <v>-0.16334137600000001</v>
      </c>
      <c r="Z42">
        <f>(-0.170590075*(-1))*(-1)</f>
        <v>-0.17059007500000001</v>
      </c>
      <c r="AA42">
        <f>(0.119895638*(-1))*(-1)</f>
        <v>0.119895638</v>
      </c>
      <c r="AB42">
        <f>(0.163341376*(-1))*(-1)</f>
        <v>0.16334137600000001</v>
      </c>
      <c r="AC42">
        <f>(0.170590075*(-1))*(-1)</f>
        <v>0.17059007500000001</v>
      </c>
      <c r="AD42">
        <v>-0.389335551</v>
      </c>
      <c r="AE42">
        <v>0.255944644</v>
      </c>
      <c r="AF42">
        <v>-6.6695453500000002E-2</v>
      </c>
      <c r="AG42">
        <v>6.6695453500000002E-2</v>
      </c>
      <c r="AH42">
        <v>0.11559999999999999</v>
      </c>
      <c r="AI42">
        <v>0.1101</v>
      </c>
      <c r="AJ42">
        <v>1</v>
      </c>
      <c r="AK42">
        <v>1</v>
      </c>
      <c r="AL42">
        <v>7.5256729999999994E-2</v>
      </c>
    </row>
    <row r="43" spans="1:38" x14ac:dyDescent="0.25">
      <c r="A43">
        <v>4509</v>
      </c>
      <c r="B43">
        <v>48</v>
      </c>
      <c r="C43">
        <v>18</v>
      </c>
      <c r="D43">
        <v>1</v>
      </c>
      <c r="E43">
        <f>-0.092575996*(-1)</f>
        <v>9.2575995999999994E-2</v>
      </c>
      <c r="F43">
        <f>0.09155117*(-1)</f>
        <v>-9.1551170000000001E-2</v>
      </c>
      <c r="G43">
        <f>0.155301645*(-1)</f>
        <v>-0.15530164499999999</v>
      </c>
      <c r="H43">
        <f>-0.155301645*(-1)</f>
        <v>0.15530164499999999</v>
      </c>
      <c r="I43">
        <f>-0.044063377*(-1)</f>
        <v>4.4063377000000001E-2</v>
      </c>
      <c r="J43">
        <f>0.032370432*(-1)</f>
        <v>-3.2370431999999998E-2</v>
      </c>
      <c r="K43">
        <f>0.157289765*(-1)</f>
        <v>-0.157289765</v>
      </c>
      <c r="L43">
        <f>-0.025751574*(-1)</f>
        <v>2.5751573999999999E-2</v>
      </c>
      <c r="M43">
        <f>0.079486226*(-1)</f>
        <v>-7.9486225999999993E-2</v>
      </c>
      <c r="N43">
        <f>-0.033054704*(-1)</f>
        <v>3.3054703999999997E-2</v>
      </c>
      <c r="O43">
        <f>0.023299087*(-1)</f>
        <v>-2.3299087E-2</v>
      </c>
      <c r="P43">
        <f>0.010879394*(-1)</f>
        <v>-1.0879394000000001E-2</v>
      </c>
      <c r="Q43">
        <f>-0.111932155*(-1)</f>
        <v>0.11193215500000001</v>
      </c>
      <c r="R43">
        <f>-0.090893185*(-1)</f>
        <v>9.0893185000000001E-2</v>
      </c>
      <c r="S43">
        <f>0.133496171*(-1)</f>
        <v>-0.133496171</v>
      </c>
      <c r="T43">
        <f>0.005612249*(-1)</f>
        <v>-5.6122489999999997E-3</v>
      </c>
      <c r="U43">
        <f>0.068079674*(-1)</f>
        <v>-6.8079674000000007E-2</v>
      </c>
      <c r="V43">
        <f>-0.137159797*(-1)</f>
        <v>0.137159797</v>
      </c>
      <c r="W43">
        <f>-0.081186186*(-1)</f>
        <v>8.1186185999999994E-2</v>
      </c>
      <c r="X43">
        <f>(-0.020519103*(-1))*(-1)</f>
        <v>-2.0519103E-2</v>
      </c>
      <c r="Y43">
        <f>(0.196834173*(-1))*(-1)</f>
        <v>0.196834173</v>
      </c>
      <c r="Z43">
        <f>(-0.097882202*(-1))*(-1)</f>
        <v>-9.7882202000000001E-2</v>
      </c>
      <c r="AA43">
        <f>(0.020519103*(-1))*(-1)</f>
        <v>2.0519103E-2</v>
      </c>
      <c r="AB43">
        <f>(-0.196834173*(-1))*(-1)</f>
        <v>-0.196834173</v>
      </c>
      <c r="AC43">
        <f>(0.097882202*(-1))*(-1)</f>
        <v>9.7882202000000001E-2</v>
      </c>
      <c r="AD43">
        <v>-0.188948856</v>
      </c>
      <c r="AE43">
        <v>-0.46769396099999999</v>
      </c>
      <c r="AF43">
        <v>-0.32832140850000002</v>
      </c>
      <c r="AG43">
        <v>0.32832140850000002</v>
      </c>
      <c r="AH43">
        <v>0.1535</v>
      </c>
      <c r="AI43">
        <v>8.9149999999999993E-2</v>
      </c>
      <c r="AJ43">
        <v>1</v>
      </c>
      <c r="AK43">
        <v>1</v>
      </c>
      <c r="AL43">
        <v>7.7572500000000003E-2</v>
      </c>
    </row>
    <row r="44" spans="1:38" x14ac:dyDescent="0.25">
      <c r="A44">
        <v>4169</v>
      </c>
      <c r="B44">
        <v>49</v>
      </c>
      <c r="C44">
        <v>21</v>
      </c>
      <c r="D44">
        <v>1</v>
      </c>
      <c r="E44">
        <f>0.016242196*(-1)</f>
        <v>-1.6242196E-2</v>
      </c>
      <c r="F44">
        <f>0.270873022*(-1)</f>
        <v>-0.27087302200000002</v>
      </c>
      <c r="G44">
        <f>-0.065799146*(-1)</f>
        <v>6.5799146000000003E-2</v>
      </c>
      <c r="H44">
        <f>0.065799146*(-1)</f>
        <v>-6.5799146000000003E-2</v>
      </c>
      <c r="I44">
        <f>0.026153107*(-1)</f>
        <v>-2.6153106999999998E-2</v>
      </c>
      <c r="J44">
        <f>0.088045467*(-1)</f>
        <v>-8.8045467000000002E-2</v>
      </c>
      <c r="K44">
        <f>-0.008042515*(-1)</f>
        <v>8.0425150000000001E-3</v>
      </c>
      <c r="L44">
        <f>-0.008162225*(-1)</f>
        <v>8.1622250000000004E-3</v>
      </c>
      <c r="M44">
        <f>0.281624529*(-1)</f>
        <v>-0.28162452900000001</v>
      </c>
      <c r="N44">
        <f>-0.081543198*(-1)</f>
        <v>8.1543197999999997E-2</v>
      </c>
      <c r="O44">
        <f>-0.07341685*(-1)</f>
        <v>7.3416850000000006E-2</v>
      </c>
      <c r="P44">
        <f>0.116161655*(-1)</f>
        <v>-0.116161655</v>
      </c>
      <c r="Q44">
        <f>0.008235083*(-1)</f>
        <v>-8.2350830000000007E-3</v>
      </c>
      <c r="R44">
        <f>-0.008858724*(-1)</f>
        <v>8.8587240000000001E-3</v>
      </c>
      <c r="S44">
        <f>0.099535627*(-1)</f>
        <v>-9.9535627000000002E-2</v>
      </c>
      <c r="T44">
        <f>-0.039339976*(-1)</f>
        <v>3.9339975999999999E-2</v>
      </c>
      <c r="U44">
        <f>-0.086959221*(-1)</f>
        <v>8.6959221000000003E-2</v>
      </c>
      <c r="V44">
        <f>0.037923619*(-1)</f>
        <v>-3.7923618999999999E-2</v>
      </c>
      <c r="W44">
        <f>0.086433209*(-1)</f>
        <v>-8.6433208999999997E-2</v>
      </c>
      <c r="X44">
        <f>(0.002049137*(-1))*(-1)</f>
        <v>2.0491369999999999E-3</v>
      </c>
      <c r="Y44">
        <f>(-0.133594464*(-1))*(-1)</f>
        <v>-0.133594464</v>
      </c>
      <c r="Z44">
        <f>(-0.206081185*(-1))*(-1)</f>
        <v>-0.206081185</v>
      </c>
      <c r="AA44">
        <f>(-0.002049137*(-1))*(-1)</f>
        <v>-2.0491369999999999E-3</v>
      </c>
      <c r="AB44">
        <f>(0.133594464*(-1))*(-1)</f>
        <v>0.133594464</v>
      </c>
      <c r="AC44">
        <f>(0.206081185*(-1))*(-1)</f>
        <v>0.206081185</v>
      </c>
      <c r="AD44">
        <v>0.35328014800000002</v>
      </c>
      <c r="AE44">
        <v>-0.25920343899999998</v>
      </c>
      <c r="AF44">
        <v>4.7038354499999997E-2</v>
      </c>
      <c r="AG44">
        <v>-4.7038354499999997E-2</v>
      </c>
      <c r="AH44">
        <v>3.2009999999999997E-2</v>
      </c>
      <c r="AI44">
        <v>8.3030000000000007E-2</v>
      </c>
      <c r="AJ44">
        <v>1</v>
      </c>
      <c r="AK44">
        <v>1</v>
      </c>
      <c r="AL44">
        <v>6.9399199999999994E-2</v>
      </c>
    </row>
    <row r="45" spans="1:38" x14ac:dyDescent="0.25">
      <c r="A45">
        <v>4659</v>
      </c>
      <c r="B45">
        <v>50</v>
      </c>
      <c r="C45">
        <v>19</v>
      </c>
      <c r="D45">
        <v>0</v>
      </c>
      <c r="E45">
        <f>0.131796239*(-1)</f>
        <v>-0.13179623900000001</v>
      </c>
      <c r="F45">
        <f>0.043867316*(-1)</f>
        <v>-4.3867316000000003E-2</v>
      </c>
      <c r="G45">
        <f>0.003075649*(-1)</f>
        <v>-3.0756490000000002E-3</v>
      </c>
      <c r="H45">
        <f>-0.003075649*(-1)</f>
        <v>3.0756490000000002E-3</v>
      </c>
      <c r="I45">
        <f>0.161850439*(-1)</f>
        <v>-0.16185043900000001</v>
      </c>
      <c r="J45">
        <f>-0.034867557*(-1)</f>
        <v>3.4867557E-2</v>
      </c>
      <c r="K45">
        <f>-0.027334854*(-1)</f>
        <v>2.7334853999999999E-2</v>
      </c>
      <c r="L45">
        <f>0.043485973*(-1)</f>
        <v>-4.3485972999999997E-2</v>
      </c>
      <c r="M45">
        <f>0.109072188*(-1)</f>
        <v>-0.109072188</v>
      </c>
      <c r="N45">
        <f>0.033665798*(-1)</f>
        <v>-3.3665797999999997E-2</v>
      </c>
      <c r="O45">
        <f>-0.001898872*(-1)</f>
        <v>1.898872E-3</v>
      </c>
      <c r="P45">
        <f>-0.080045849*(-1)</f>
        <v>8.0045849000000002E-2</v>
      </c>
      <c r="Q45">
        <f>0.044351105*(-1)</f>
        <v>-4.4351105000000002E-2</v>
      </c>
      <c r="R45">
        <f>-0.047849523*(-1)</f>
        <v>4.7849522999999998E-2</v>
      </c>
      <c r="S45">
        <f>-0.094021537*(-1)</f>
        <v>9.4021537000000002E-2</v>
      </c>
      <c r="T45">
        <f>-0.10443773*(-1)</f>
        <v>0.10443773000000001</v>
      </c>
      <c r="U45">
        <f>0.011330419*(-1)</f>
        <v>-1.1330419E-2</v>
      </c>
      <c r="V45">
        <f>-0.058307685*(-1)</f>
        <v>5.8307684999999998E-2</v>
      </c>
      <c r="W45">
        <f>0.056655624*(-1)</f>
        <v>-5.6655624000000002E-2</v>
      </c>
      <c r="X45">
        <f>(0.058098029*(-1))*(-1)</f>
        <v>5.8098029000000002E-2</v>
      </c>
      <c r="Y45">
        <f>(-0.048553093*(-1))*(-1)</f>
        <v>-4.8553092999999999E-2</v>
      </c>
      <c r="Z45">
        <f>(-0.32716869*(-1))*(-1)</f>
        <v>-0.32716868999999998</v>
      </c>
      <c r="AA45">
        <f>(-0.058098029*(-1))*(-1)</f>
        <v>-5.8098029000000002E-2</v>
      </c>
      <c r="AB45">
        <f>(0.048553093*(-1))*(-1)</f>
        <v>4.8553092999999999E-2</v>
      </c>
      <c r="AC45">
        <f>(0.32716869*(-1))*(-1)</f>
        <v>0.32716868999999998</v>
      </c>
      <c r="AD45">
        <v>-0.22678999</v>
      </c>
      <c r="AE45">
        <v>0.44345050800000002</v>
      </c>
      <c r="AF45">
        <v>0.108330259</v>
      </c>
      <c r="AG45">
        <v>-0.108330259</v>
      </c>
      <c r="AH45">
        <v>0.1991</v>
      </c>
      <c r="AI45">
        <v>2.894E-2</v>
      </c>
      <c r="AJ45">
        <v>0.85</v>
      </c>
      <c r="AK45">
        <v>0.8125</v>
      </c>
      <c r="AL45">
        <v>7.77138E-2</v>
      </c>
    </row>
    <row r="46" spans="1:38" x14ac:dyDescent="0.25">
      <c r="A46">
        <v>4500</v>
      </c>
      <c r="B46">
        <v>51</v>
      </c>
      <c r="C46">
        <v>18</v>
      </c>
      <c r="D46">
        <v>1</v>
      </c>
      <c r="E46">
        <f>-0.019504804*(-1)</f>
        <v>1.9504804000000001E-2</v>
      </c>
      <c r="F46">
        <f>0.063317623*(-1)</f>
        <v>-6.3317623000000003E-2</v>
      </c>
      <c r="G46">
        <f>0.057610684*(-1)</f>
        <v>-5.7610684000000002E-2</v>
      </c>
      <c r="H46">
        <f>-0.057610684*(-1)</f>
        <v>5.7610684000000002E-2</v>
      </c>
      <c r="I46">
        <f>0.050538309*(-1)</f>
        <v>-5.0538308999999997E-2</v>
      </c>
      <c r="J46">
        <f>0.050277647*(-1)</f>
        <v>-5.0277647000000002E-2</v>
      </c>
      <c r="K46">
        <f>0.006574061*(-1)</f>
        <v>-6.574061E-3</v>
      </c>
      <c r="L46">
        <f>-0.075480987*(-1)</f>
        <v>7.5480986999999999E-2</v>
      </c>
      <c r="M46">
        <f>-0.007424583*(-1)</f>
        <v>7.4245830000000002E-3</v>
      </c>
      <c r="N46">
        <f>0.252854845*(-1)</f>
        <v>-0.25285484499999999</v>
      </c>
      <c r="O46">
        <f>0.026495492*(-1)</f>
        <v>-2.6495491999999999E-2</v>
      </c>
      <c r="P46">
        <f>0.036765952*(-1)</f>
        <v>-3.6765951999999998E-2</v>
      </c>
      <c r="Q46">
        <f>0.215090425*(-1)</f>
        <v>-0.215090425</v>
      </c>
      <c r="R46">
        <f>0.023978726*(-1)</f>
        <v>-2.3978725999999999E-2</v>
      </c>
      <c r="S46">
        <f>0.115153306*(-1)</f>
        <v>-0.115153306</v>
      </c>
      <c r="T46">
        <f>-0.241248831*(-1)</f>
        <v>0.241248831</v>
      </c>
      <c r="U46">
        <f>-0.007744811*(-1)</f>
        <v>7.7448109999999999E-3</v>
      </c>
      <c r="V46">
        <f>-0.069217326*(-1)</f>
        <v>6.9217325999999996E-2</v>
      </c>
      <c r="W46">
        <f>0.330702689*(-1)</f>
        <v>-0.33070268899999999</v>
      </c>
      <c r="X46">
        <f>(0.008818805*(-1))*(-1)</f>
        <v>8.8188050000000007E-3</v>
      </c>
      <c r="Y46">
        <f>(0.008340144*(-1))*(-1)</f>
        <v>8.3401440000000007E-3</v>
      </c>
      <c r="Z46">
        <f>(-0.351214863*(-1))*(-1)</f>
        <v>-0.35121486299999999</v>
      </c>
      <c r="AA46">
        <f>(-0.008818805*(-1))*(-1)</f>
        <v>-8.8188050000000007E-3</v>
      </c>
      <c r="AB46">
        <f>(-0.008340144*(-1))*(-1)</f>
        <v>-8.3401440000000007E-3</v>
      </c>
      <c r="AC46">
        <f>(0.351214863*(-1))*(-1)</f>
        <v>0.35121486299999999</v>
      </c>
      <c r="AD46">
        <v>-0.12816202600000001</v>
      </c>
      <c r="AE46">
        <v>-0.26378550699999997</v>
      </c>
      <c r="AF46">
        <v>-0.19597376650000001</v>
      </c>
      <c r="AG46">
        <v>0.19597376650000001</v>
      </c>
      <c r="AH46">
        <v>8.5730000000000001E-2</v>
      </c>
      <c r="AI46">
        <v>-3.3270000000000001E-2</v>
      </c>
      <c r="AJ46">
        <v>0.94117647058800002</v>
      </c>
      <c r="AK46">
        <v>0.94736842105300001</v>
      </c>
      <c r="AL46">
        <v>8.9861510000000006E-2</v>
      </c>
    </row>
    <row r="47" spans="1:38" x14ac:dyDescent="0.25">
      <c r="A47">
        <v>4235</v>
      </c>
      <c r="B47">
        <v>52</v>
      </c>
      <c r="C47">
        <v>19</v>
      </c>
      <c r="D47">
        <v>1</v>
      </c>
      <c r="E47">
        <f>0.082264872*(-1)</f>
        <v>-8.2264872000000003E-2</v>
      </c>
      <c r="F47">
        <f>0.160184039*(-1)</f>
        <v>-0.160184039</v>
      </c>
      <c r="G47">
        <f>-0.032111746*(-1)</f>
        <v>3.2111745999999997E-2</v>
      </c>
      <c r="H47">
        <f>0.032111746*(-1)</f>
        <v>-3.2111745999999997E-2</v>
      </c>
      <c r="I47">
        <f>0.099742636*(-1)</f>
        <v>-9.9742635999999996E-2</v>
      </c>
      <c r="J47">
        <f>0.101451733*(-1)</f>
        <v>-0.101451733</v>
      </c>
      <c r="K47">
        <f>-0.025775268*(-1)</f>
        <v>2.5775268E-2</v>
      </c>
      <c r="L47">
        <f>0.038497364*(-1)</f>
        <v>-3.8497363999999999E-2</v>
      </c>
      <c r="M47">
        <f>0.155108607*(-1)</f>
        <v>-0.15510860700000001</v>
      </c>
      <c r="N47">
        <f>-0.150551166*(-1)</f>
        <v>0.15055116599999999</v>
      </c>
      <c r="O47">
        <f>0.021364123*(-1)</f>
        <v>-2.1364122999999999E-2</v>
      </c>
      <c r="P47">
        <f>-0.106868967*(-1)</f>
        <v>0.106868967</v>
      </c>
      <c r="Q47">
        <f>0.133288725*(-1)</f>
        <v>-0.133288725</v>
      </c>
      <c r="R47">
        <f>0.012369626*(-1)</f>
        <v>-1.2369626E-2</v>
      </c>
      <c r="S47">
        <f>-0.12167008*(-1)</f>
        <v>0.12167008</v>
      </c>
      <c r="T47">
        <f>-0.002273042*(-1)</f>
        <v>2.2730419999999999E-3</v>
      </c>
      <c r="U47">
        <f>0.02351868*(-1)</f>
        <v>-2.351868E-2</v>
      </c>
      <c r="V47">
        <f>-0.090560632*(-1)</f>
        <v>9.0560632000000002E-2</v>
      </c>
      <c r="W47">
        <f>0.219047736*(-1)</f>
        <v>-0.21904773599999999</v>
      </c>
      <c r="X47">
        <f>(0.030444624*(-1))*(-1)</f>
        <v>3.0444624E-2</v>
      </c>
      <c r="Y47">
        <f>(-0.089542995*(-1))*(-1)</f>
        <v>-8.9542995E-2</v>
      </c>
      <c r="Z47">
        <f>(-0.092834879*(-1))*(-1)</f>
        <v>-9.2834878999999995E-2</v>
      </c>
      <c r="AA47">
        <f>(-0.030444624*(-1))*(-1)</f>
        <v>-3.0444624E-2</v>
      </c>
      <c r="AB47">
        <f>(0.089542995*(-1))*(-1)</f>
        <v>8.9542995E-2</v>
      </c>
      <c r="AC47">
        <f>(0.092834879*(-1))*(-1)</f>
        <v>9.2834878999999995E-2</v>
      </c>
      <c r="AD47">
        <v>-0.15321663799999999</v>
      </c>
      <c r="AE47">
        <v>1.9840930000000001E-3</v>
      </c>
      <c r="AF47">
        <v>-7.5616272499999998E-2</v>
      </c>
      <c r="AG47">
        <v>7.5616272499999998E-2</v>
      </c>
      <c r="AH47">
        <v>0.23549999999999999</v>
      </c>
      <c r="AI47">
        <v>-8.8459999999999997E-2</v>
      </c>
      <c r="AJ47">
        <v>1</v>
      </c>
      <c r="AK47">
        <v>1</v>
      </c>
      <c r="AL47">
        <v>0.10381352000000001</v>
      </c>
    </row>
    <row r="48" spans="1:38" x14ac:dyDescent="0.25">
      <c r="A48">
        <v>4678</v>
      </c>
      <c r="B48">
        <v>53</v>
      </c>
      <c r="C48">
        <v>18</v>
      </c>
      <c r="D48">
        <v>1</v>
      </c>
      <c r="E48">
        <f>0.035593917*(-1)</f>
        <v>-3.5593917000000003E-2</v>
      </c>
      <c r="F48">
        <f>0.012922562*(-1)</f>
        <v>-1.2922562E-2</v>
      </c>
      <c r="G48">
        <f>0.090445707*(-1)</f>
        <v>-9.0445707E-2</v>
      </c>
      <c r="H48">
        <f>-0.090445707*(-1)</f>
        <v>9.0445707E-2</v>
      </c>
      <c r="I48">
        <f>-0.018462843*(-1)</f>
        <v>1.8462843E-2</v>
      </c>
      <c r="J48">
        <f>-0.112590283*(-1)</f>
        <v>0.112590283</v>
      </c>
      <c r="K48">
        <f>-0.015865247*(-1)</f>
        <v>1.5865246999999999E-2</v>
      </c>
      <c r="L48">
        <f>0.083413225*(-1)</f>
        <v>-8.3413224999999994E-2</v>
      </c>
      <c r="M48">
        <f>0.125732471*(-1)</f>
        <v>-0.12573247100000001</v>
      </c>
      <c r="N48">
        <f>0.168030625*(-1)</f>
        <v>-0.16803062499999999</v>
      </c>
      <c r="O48">
        <f>0.006810094*(-1)</f>
        <v>-6.810094E-3</v>
      </c>
      <c r="P48">
        <f>-0.087135589*(-1)</f>
        <v>8.7135588999999999E-2</v>
      </c>
      <c r="Q48">
        <f>-0.136187252*(-1)</f>
        <v>0.13618725200000001</v>
      </c>
      <c r="R48">
        <f>-0.028779635*(-1)</f>
        <v>2.8779635000000001E-2</v>
      </c>
      <c r="S48">
        <f>0.044844854*(-1)</f>
        <v>-4.4844854000000003E-2</v>
      </c>
      <c r="T48">
        <f>-0.078911116*(-1)</f>
        <v>7.8911116000000003E-2</v>
      </c>
      <c r="U48">
        <f>0.0160719*(-1)</f>
        <v>-1.60719E-2</v>
      </c>
      <c r="V48">
        <f>-0.161114891*(-1)</f>
        <v>0.16111489100000001</v>
      </c>
      <c r="W48">
        <f>-0.177361326*(-1)</f>
        <v>0.17736132600000001</v>
      </c>
      <c r="X48">
        <f>(-0.087369953*(-1))*(-1)</f>
        <v>-8.7369953E-2</v>
      </c>
      <c r="Y48">
        <f>(0.053856473*(-1))*(-1)</f>
        <v>5.3856473000000002E-2</v>
      </c>
      <c r="Z48">
        <f>(-0.362987214*(-1))*(-1)</f>
        <v>-0.362987214</v>
      </c>
      <c r="AA48">
        <f>(0.087369953*(-1))*(-1)</f>
        <v>8.7369953E-2</v>
      </c>
      <c r="AB48">
        <f>(-0.053856473*(-1))*(-1)</f>
        <v>-5.3856473000000002E-2</v>
      </c>
      <c r="AC48">
        <f>(0.362987214*(-1))*(-1)</f>
        <v>0.362987214</v>
      </c>
      <c r="AD48">
        <v>-0.22416377400000001</v>
      </c>
      <c r="AE48">
        <v>0.27471284200000001</v>
      </c>
      <c r="AF48">
        <v>2.5274534000000001E-2</v>
      </c>
      <c r="AG48">
        <v>-2.5274534000000001E-2</v>
      </c>
      <c r="AH48">
        <v>0.1186</v>
      </c>
      <c r="AI48">
        <v>-1.238E-2</v>
      </c>
      <c r="AJ48">
        <v>1</v>
      </c>
      <c r="AK48">
        <v>1</v>
      </c>
      <c r="AL48">
        <v>7.9787990000000003E-2</v>
      </c>
    </row>
    <row r="49" spans="1:38" x14ac:dyDescent="0.25">
      <c r="A49">
        <v>4610</v>
      </c>
      <c r="B49">
        <v>54</v>
      </c>
      <c r="C49">
        <v>18</v>
      </c>
      <c r="D49">
        <v>1</v>
      </c>
      <c r="E49">
        <f>0.135498529*(-1)</f>
        <v>-0.13549852900000001</v>
      </c>
      <c r="F49">
        <f>-0.109617302*(-1)</f>
        <v>0.109617302</v>
      </c>
      <c r="G49">
        <f>0.053681589*(-1)</f>
        <v>-5.3681589000000002E-2</v>
      </c>
      <c r="H49">
        <f>-0.053681589*(-1)</f>
        <v>5.3681589000000002E-2</v>
      </c>
      <c r="I49">
        <f>0.096128068*(-1)</f>
        <v>-9.6128067999999997E-2</v>
      </c>
      <c r="J49">
        <f>-0.117847782*(-1)</f>
        <v>0.117847782</v>
      </c>
      <c r="K49">
        <f>0.149007596*(-1)</f>
        <v>-0.14900759599999999</v>
      </c>
      <c r="L49">
        <f>0.060530947*(-1)</f>
        <v>-6.0530947000000002E-2</v>
      </c>
      <c r="M49">
        <f>-0.016512026*(-1)</f>
        <v>1.6512025999999999E-2</v>
      </c>
      <c r="N49">
        <f>-0.05099768*(-1)</f>
        <v>5.0997679999999997E-2</v>
      </c>
      <c r="O49">
        <f>-0.066862607*(-1)</f>
        <v>6.6862607000000004E-2</v>
      </c>
      <c r="P49">
        <f>0.066728043*(-1)</f>
        <v>-6.6728043000000001E-2</v>
      </c>
      <c r="Q49">
        <f>-0.223311147*(-1)</f>
        <v>0.22331114699999999</v>
      </c>
      <c r="R49">
        <f>0.003426473*(-1)</f>
        <v>-3.4264730000000002E-3</v>
      </c>
      <c r="S49">
        <f>0.083369791*(-1)</f>
        <v>-8.3369790999999999E-2</v>
      </c>
      <c r="T49">
        <f>0.04102787*(-1)</f>
        <v>-4.1027870000000001E-2</v>
      </c>
      <c r="U49">
        <f>-0.035001857*(-1)</f>
        <v>3.5001856999999997E-2</v>
      </c>
      <c r="V49">
        <f>0.145151587*(-1)</f>
        <v>-0.145151587</v>
      </c>
      <c r="W49">
        <f>-0.048403547*(-1)</f>
        <v>4.8403546999999998E-2</v>
      </c>
      <c r="X49">
        <f>(-0.10075521*(-1))*(-1)</f>
        <v>-0.10075521</v>
      </c>
      <c r="Y49">
        <f>(0.093465852*(-1))*(-1)</f>
        <v>9.3465852000000002E-2</v>
      </c>
      <c r="Z49">
        <f>(-0.230115449*(-1))*(-1)</f>
        <v>-0.230115449</v>
      </c>
      <c r="AA49">
        <f>(0.10075521*(-1))*(-1)</f>
        <v>0.10075521</v>
      </c>
      <c r="AB49">
        <f>(-0.093465852*(-1))*(-1)</f>
        <v>-9.3465852000000002E-2</v>
      </c>
      <c r="AC49">
        <f>(0.230115449*(-1))*(-1)</f>
        <v>0.230115449</v>
      </c>
      <c r="AD49">
        <v>-3.0914139E-2</v>
      </c>
      <c r="AE49">
        <v>-0.18027239</v>
      </c>
      <c r="AF49">
        <v>-0.10559326450000001</v>
      </c>
      <c r="AG49">
        <v>0.10559326450000001</v>
      </c>
      <c r="AH49">
        <v>4.2560000000000001E-2</v>
      </c>
      <c r="AI49">
        <v>0.58240000000000003</v>
      </c>
      <c r="AJ49">
        <v>0.88888888888899997</v>
      </c>
      <c r="AK49">
        <v>0.88888888888899997</v>
      </c>
      <c r="AL49">
        <v>0.13666255999999999</v>
      </c>
    </row>
    <row r="50" spans="1:38" x14ac:dyDescent="0.25">
      <c r="A50">
        <v>4538</v>
      </c>
      <c r="B50">
        <v>55</v>
      </c>
      <c r="C50">
        <v>21</v>
      </c>
      <c r="D50">
        <v>1</v>
      </c>
      <c r="E50">
        <f>-0.002884112*(-1)</f>
        <v>2.8841119999999999E-3</v>
      </c>
      <c r="F50">
        <f>0.078554914*(-1)</f>
        <v>-7.8554914000000003E-2</v>
      </c>
      <c r="G50">
        <f>-0.031713585*(-1)</f>
        <v>3.1713585000000002E-2</v>
      </c>
      <c r="H50">
        <f>0.031713585*(-1)</f>
        <v>-3.1713585000000002E-2</v>
      </c>
      <c r="I50">
        <f>-0.017764699*(-1)</f>
        <v>1.7764698999999998E-2</v>
      </c>
      <c r="J50">
        <f>0.028844864*(-1)</f>
        <v>-2.8844864000000001E-2</v>
      </c>
      <c r="K50">
        <f>0.054667185*(-1)</f>
        <v>-5.4667185E-2</v>
      </c>
      <c r="L50">
        <f>-0.020482471*(-1)</f>
        <v>2.0482470999999999E-2</v>
      </c>
      <c r="M50">
        <f>0.030954567*(-1)</f>
        <v>-3.0954566999999999E-2</v>
      </c>
      <c r="N50">
        <f>-0.106979691*(-1)</f>
        <v>0.106979691</v>
      </c>
      <c r="O50">
        <f>0.095334859*(-1)</f>
        <v>-9.5334858999999994E-2</v>
      </c>
      <c r="P50">
        <f>-0.157925094*(-1)</f>
        <v>0.15792509399999999</v>
      </c>
      <c r="Q50">
        <f>0.039349888*(-1)</f>
        <v>-3.9349888E-2</v>
      </c>
      <c r="R50">
        <f>0.067404547*(-1)</f>
        <v>-6.7404546999999995E-2</v>
      </c>
      <c r="S50">
        <f>-0.137749113*(-1)</f>
        <v>0.13774911300000001</v>
      </c>
      <c r="T50">
        <f>0.149298842*(-1)</f>
        <v>-0.14929884199999999</v>
      </c>
      <c r="U50">
        <f>0.060612956*(-1)</f>
        <v>-6.0612956000000003E-2</v>
      </c>
      <c r="V50">
        <f>-0.080665296*(-1)</f>
        <v>8.0665295999999997E-2</v>
      </c>
      <c r="W50">
        <f>-0.061663559*(-1)</f>
        <v>6.1663559E-2</v>
      </c>
      <c r="X50">
        <f>(-0.063633029*(-1))*(-1)</f>
        <v>-6.3633028999999994E-2</v>
      </c>
      <c r="Y50">
        <f>(-0.045154182*(-1))*(-1)</f>
        <v>-4.5154182000000001E-2</v>
      </c>
      <c r="Z50">
        <f>(0.042604001*(-1))*(-1)</f>
        <v>4.2604001000000002E-2</v>
      </c>
      <c r="AA50">
        <f>(0.063633029*(-1))*(-1)</f>
        <v>6.3633028999999994E-2</v>
      </c>
      <c r="AB50">
        <f>(0.045154182*(-1))*(-1)</f>
        <v>4.5154182000000001E-2</v>
      </c>
      <c r="AC50">
        <f>(-0.042604001*(-1))*(-1)</f>
        <v>-4.2604001000000002E-2</v>
      </c>
      <c r="AD50">
        <v>3.1826022000000002E-2</v>
      </c>
      <c r="AE50">
        <v>2.0033294E-2</v>
      </c>
      <c r="AF50">
        <v>2.5929658000000001E-2</v>
      </c>
      <c r="AG50">
        <v>-2.5929658000000001E-2</v>
      </c>
      <c r="AH50">
        <v>-0.1946</v>
      </c>
      <c r="AI50">
        <v>-0.19120000000000001</v>
      </c>
      <c r="AJ50">
        <v>0.72222222222200005</v>
      </c>
      <c r="AK50">
        <v>0.77777777777799995</v>
      </c>
      <c r="AL50">
        <v>0.15088212000000001</v>
      </c>
    </row>
    <row r="51" spans="1:38" x14ac:dyDescent="0.25">
      <c r="A51">
        <v>4519</v>
      </c>
      <c r="B51">
        <v>56</v>
      </c>
      <c r="C51">
        <v>20</v>
      </c>
      <c r="D51">
        <v>0</v>
      </c>
      <c r="E51">
        <f>-0.063520157*(-1)</f>
        <v>6.3520156999999994E-2</v>
      </c>
      <c r="F51">
        <f>0.045278652*(-1)</f>
        <v>-4.5278652000000003E-2</v>
      </c>
      <c r="G51">
        <f>-0.019862554*(-1)</f>
        <v>1.9862554000000001E-2</v>
      </c>
      <c r="H51">
        <f>0.019862554*(-1)</f>
        <v>-1.9862554000000001E-2</v>
      </c>
      <c r="I51">
        <f>-0.024390486*(-1)</f>
        <v>2.4390485999999999E-2</v>
      </c>
      <c r="J51">
        <f>0.001446516*(-1)</f>
        <v>-1.4465159999999999E-3</v>
      </c>
      <c r="K51">
        <f>-0.004126121*(-1)</f>
        <v>4.126121E-3</v>
      </c>
      <c r="L51">
        <f>-0.089095265*(-1)</f>
        <v>8.9095265000000007E-2</v>
      </c>
      <c r="M51">
        <f>0.182212271*(-1)</f>
        <v>-0.18221227100000001</v>
      </c>
      <c r="N51">
        <f>0.035074659*(-1)</f>
        <v>-3.5074659000000001E-2</v>
      </c>
      <c r="O51">
        <f>0.073631913*(-1)</f>
        <v>-7.3631912999999993E-2</v>
      </c>
      <c r="P51">
        <f>-0.141026009*(-1)</f>
        <v>0.14102600900000001</v>
      </c>
      <c r="Q51">
        <f>0.156236586*(-1)</f>
        <v>-0.15623658600000001</v>
      </c>
      <c r="R51">
        <f>0.052545906*(-1)</f>
        <v>-5.2545906000000003E-2</v>
      </c>
      <c r="S51">
        <f>-0.009814977*(-1)</f>
        <v>9.8149770000000008E-3</v>
      </c>
      <c r="T51">
        <f>-0.024760399*(-1)</f>
        <v>2.4760398999999999E-2</v>
      </c>
      <c r="U51">
        <f>0.088841688*(-1)</f>
        <v>-8.8841688000000002E-2</v>
      </c>
      <c r="V51">
        <f>-0.248330288*(-1)</f>
        <v>0.24833028800000001</v>
      </c>
      <c r="W51">
        <f>0.168559663*(-1)</f>
        <v>-0.168559663</v>
      </c>
      <c r="X51">
        <f>(0.02963844*(-1))*(-1)</f>
        <v>2.9638439999999999E-2</v>
      </c>
      <c r="Y51">
        <f>(-0.117208851*(-1))*(-1)</f>
        <v>-0.117208851</v>
      </c>
      <c r="Z51">
        <f>(-0.500592713*(-1))*(-1)</f>
        <v>-0.50059271299999997</v>
      </c>
      <c r="AA51">
        <f>(-0.02963844*(-1))*(-1)</f>
        <v>-2.9638439999999999E-2</v>
      </c>
      <c r="AB51">
        <f>(0.117208851*(-1))*(-1)</f>
        <v>0.117208851</v>
      </c>
      <c r="AC51">
        <f>(0.500592713*(-1))*(-1)</f>
        <v>0.50059271299999997</v>
      </c>
      <c r="AD51">
        <v>0.21536744899999999</v>
      </c>
      <c r="AE51">
        <v>8.4390182999999994E-2</v>
      </c>
      <c r="AF51">
        <v>0.149878816</v>
      </c>
      <c r="AG51">
        <v>-0.149878816</v>
      </c>
      <c r="AH51">
        <v>0.22</v>
      </c>
      <c r="AI51">
        <v>0.13139999999999999</v>
      </c>
      <c r="AJ51">
        <v>1</v>
      </c>
      <c r="AK51">
        <v>1</v>
      </c>
      <c r="AL51">
        <v>0.14878516</v>
      </c>
    </row>
    <row r="52" spans="1:38" x14ac:dyDescent="0.25">
      <c r="A52">
        <v>4661</v>
      </c>
      <c r="B52">
        <v>57</v>
      </c>
      <c r="C52">
        <v>19</v>
      </c>
      <c r="D52">
        <v>0</v>
      </c>
      <c r="E52">
        <f>0.003491056*(-1)</f>
        <v>-3.4910560000000002E-3</v>
      </c>
      <c r="F52">
        <f>0.101345703*(-1)</f>
        <v>-0.101345703</v>
      </c>
      <c r="G52">
        <f>0.220195353*(-1)</f>
        <v>-0.22019535300000001</v>
      </c>
      <c r="H52">
        <f>-0.220195353*(-1)</f>
        <v>0.22019535300000001</v>
      </c>
      <c r="I52">
        <f>0.039282389*(-1)</f>
        <v>-3.9282389000000001E-2</v>
      </c>
      <c r="J52">
        <f>0.010915417*(-1)</f>
        <v>-1.0915417E-2</v>
      </c>
      <c r="K52">
        <f>0.242875591*(-1)</f>
        <v>-0.242875591</v>
      </c>
      <c r="L52">
        <f>-0.024247572*(-1)</f>
        <v>2.4247571999999998E-2</v>
      </c>
      <c r="M52">
        <f>0.14363461*(-1)</f>
        <v>-0.14363461</v>
      </c>
      <c r="N52">
        <f>0.024143821*(-1)</f>
        <v>-2.4143820999999999E-2</v>
      </c>
      <c r="O52">
        <f>-0.001442203*(-1)</f>
        <v>1.442203E-3</v>
      </c>
      <c r="P52">
        <f>-0.08072417*(-1)</f>
        <v>8.0724169999999998E-2</v>
      </c>
      <c r="Q52">
        <f>0.057257171*(-1)</f>
        <v>-5.7257171000000003E-2</v>
      </c>
      <c r="R52">
        <f>0.027898411*(-1)</f>
        <v>-2.7898411000000001E-2</v>
      </c>
      <c r="S52">
        <f>-0.033952733*(-1)</f>
        <v>3.3952732999999999E-2</v>
      </c>
      <c r="T52">
        <f>0.071570626*(-1)</f>
        <v>-7.1570625999999998E-2</v>
      </c>
      <c r="U52">
        <f>0.033004035*(-1)</f>
        <v>-3.3004035000000001E-2</v>
      </c>
      <c r="V52">
        <f>-0.029027011*(-1)</f>
        <v>2.9027010999999998E-2</v>
      </c>
      <c r="W52">
        <f>-0.08318198*(-1)</f>
        <v>8.3181980000000003E-2</v>
      </c>
      <c r="X52">
        <f>(0.032712584*(-1))*(-1)</f>
        <v>3.2712584000000003E-2</v>
      </c>
      <c r="Y52">
        <f>(0.062977833*(-1))*(-1)</f>
        <v>6.2977832999999997E-2</v>
      </c>
      <c r="Z52">
        <f>(-0.166354886*(-1))*(-1)</f>
        <v>-0.16635488600000001</v>
      </c>
      <c r="AA52">
        <f>(-0.032712584*(-1))*(-1)</f>
        <v>-3.2712584000000003E-2</v>
      </c>
      <c r="AB52">
        <f>(-0.062977833*(-1))*(-1)</f>
        <v>-6.2977832999999997E-2</v>
      </c>
      <c r="AC52">
        <f>(0.166354886*(-1))*(-1)</f>
        <v>0.16635488600000001</v>
      </c>
      <c r="AD52">
        <v>-0.196748478</v>
      </c>
      <c r="AE52">
        <v>0.17853481399999999</v>
      </c>
      <c r="AF52">
        <v>-9.1068320000000091E-3</v>
      </c>
      <c r="AG52">
        <v>9.1068320000000091E-3</v>
      </c>
      <c r="AH52">
        <v>0.27679999999999999</v>
      </c>
      <c r="AI52">
        <v>-2.4329999999999998E-3</v>
      </c>
      <c r="AJ52">
        <v>0.76470588235299997</v>
      </c>
      <c r="AK52">
        <v>0.89473684210500004</v>
      </c>
      <c r="AL52">
        <v>0.19844846999999999</v>
      </c>
    </row>
    <row r="53" spans="1:38" x14ac:dyDescent="0.25">
      <c r="A53">
        <v>4544</v>
      </c>
      <c r="B53">
        <v>58</v>
      </c>
      <c r="C53">
        <v>19</v>
      </c>
      <c r="D53">
        <v>1</v>
      </c>
      <c r="E53">
        <f>-0.062417711*(-1)</f>
        <v>6.2417711000000001E-2</v>
      </c>
      <c r="F53">
        <f>-0.040223307*(-1)</f>
        <v>4.0223307E-2</v>
      </c>
      <c r="G53">
        <f>0.129417319*(-1)</f>
        <v>-0.129417319</v>
      </c>
      <c r="H53">
        <f>-0.129417319*(-1)</f>
        <v>0.129417319</v>
      </c>
      <c r="I53">
        <f>-0.03812218*(-1)</f>
        <v>3.8122179999999999E-2</v>
      </c>
      <c r="J53">
        <f>-0.123413209*(-1)</f>
        <v>0.123413209</v>
      </c>
      <c r="K53">
        <f>0.141284628*(-1)</f>
        <v>-0.141284628</v>
      </c>
      <c r="L53">
        <f>-0.045188869*(-1)</f>
        <v>4.5188869E-2</v>
      </c>
      <c r="M53">
        <f>-0.028591743*(-1)</f>
        <v>2.8591742999999999E-2</v>
      </c>
      <c r="N53">
        <f>0.032721223*(-1)</f>
        <v>-3.2721223000000001E-2</v>
      </c>
      <c r="O53">
        <f>0.101130386*(-1)</f>
        <v>-0.101130386</v>
      </c>
      <c r="P53">
        <f>0.096816647*(-1)</f>
        <v>-9.6816647000000006E-2</v>
      </c>
      <c r="Q53">
        <f>-0.007164645*(-1)</f>
        <v>7.1646449999999999E-3</v>
      </c>
      <c r="R53">
        <f>0.104200162*(-1)</f>
        <v>-0.104200162</v>
      </c>
      <c r="S53">
        <f>0.163759244*(-1)</f>
        <v>-0.163759244</v>
      </c>
      <c r="T53">
        <f>-0.136126028*(-1)</f>
        <v>0.13612602800000001</v>
      </c>
      <c r="U53">
        <f>0.049751193*(-1)</f>
        <v>-4.9751192999999999E-2</v>
      </c>
      <c r="V53">
        <f>0.084129759*(-1)</f>
        <v>-8.4129758999999998E-2</v>
      </c>
      <c r="W53">
        <f>0.20874203*(-1)</f>
        <v>-0.20874203</v>
      </c>
      <c r="X53">
        <f>(-0.032380865*(-1))*(-1)</f>
        <v>-3.2380865000000002E-2</v>
      </c>
      <c r="Y53">
        <f>(-0.127834965*(-1))*(-1)</f>
        <v>-0.12783496499999999</v>
      </c>
      <c r="Z53">
        <f>(-0.045094426*(-1))*(-1)</f>
        <v>-4.5094426E-2</v>
      </c>
      <c r="AA53">
        <f>(0.032380865*(-1))*(-1)</f>
        <v>3.2380865000000002E-2</v>
      </c>
      <c r="AB53">
        <f>(0.127834965*(-1))*(-1)</f>
        <v>0.12783496499999999</v>
      </c>
      <c r="AC53">
        <f>(0.045094426*(-1))*(-1)</f>
        <v>4.5094426E-2</v>
      </c>
      <c r="AD53">
        <v>0.51323710499999997</v>
      </c>
      <c r="AE53">
        <v>3.8459859999999998E-2</v>
      </c>
      <c r="AF53">
        <v>0.27584848249999999</v>
      </c>
      <c r="AG53">
        <v>-0.27584848249999999</v>
      </c>
      <c r="AH53">
        <v>0.20169999999999999</v>
      </c>
      <c r="AI53">
        <v>0.1128</v>
      </c>
      <c r="AJ53">
        <v>1</v>
      </c>
      <c r="AK53">
        <v>0.93333333333299995</v>
      </c>
      <c r="AL53">
        <v>0.18162099000000001</v>
      </c>
    </row>
    <row r="54" spans="1:38" x14ac:dyDescent="0.25">
      <c r="A54">
        <v>4524</v>
      </c>
      <c r="B54">
        <v>59</v>
      </c>
      <c r="C54">
        <v>19</v>
      </c>
      <c r="D54">
        <v>1</v>
      </c>
      <c r="E54">
        <f>-0.032927676*(-1)</f>
        <v>3.2927676000000003E-2</v>
      </c>
      <c r="F54">
        <f>0.083522233*(-1)</f>
        <v>-8.3522233000000001E-2</v>
      </c>
      <c r="G54">
        <f>-0.063786821*(-1)</f>
        <v>6.3786820999999994E-2</v>
      </c>
      <c r="H54">
        <f>0.063786821*(-1)</f>
        <v>-6.3786820999999994E-2</v>
      </c>
      <c r="I54">
        <f>0.015653709*(-1)</f>
        <v>-1.5653708999999998E-2</v>
      </c>
      <c r="J54">
        <f>0.100857734*(-1)</f>
        <v>-0.100857734</v>
      </c>
      <c r="K54">
        <f>-0.158998708*(-1)</f>
        <v>0.15899870799999999</v>
      </c>
      <c r="L54">
        <f>-0.040620258*(-1)</f>
        <v>4.0620257999999999E-2</v>
      </c>
      <c r="M54">
        <f>0.052441444*(-1)</f>
        <v>-5.2441443999999997E-2</v>
      </c>
      <c r="N54">
        <f>0.005649944*(-1)</f>
        <v>-5.6499439999999996E-3</v>
      </c>
      <c r="O54">
        <f>0.051330003*(-1)</f>
        <v>-5.1330002999999999E-2</v>
      </c>
      <c r="P54">
        <f>0.045380981*(-1)</f>
        <v>-4.5380981000000001E-2</v>
      </c>
      <c r="Q54">
        <f>-0.054488955*(-1)</f>
        <v>5.4488954999999999E-2</v>
      </c>
      <c r="R54">
        <f>0.021043998*(-1)</f>
        <v>-2.1043998000000001E-2</v>
      </c>
      <c r="S54">
        <f>0.003816982*(-1)</f>
        <v>-3.816982E-3</v>
      </c>
      <c r="T54">
        <f>-0.00084764*(-1)</f>
        <v>8.4763999999999998E-4</v>
      </c>
      <c r="U54">
        <f>-0.008905376*(-1)</f>
        <v>8.9053759999999996E-3</v>
      </c>
      <c r="V54">
        <f>0.162054937*(-1)</f>
        <v>-0.16205493700000001</v>
      </c>
      <c r="W54">
        <f>-0.008508468*(-1)</f>
        <v>8.5084679999999999E-3</v>
      </c>
      <c r="X54">
        <f>(0.039098789*(-1))*(-1)</f>
        <v>3.9098789000000002E-2</v>
      </c>
      <c r="Y54">
        <f>(-0.084762649*(-1))*(-1)</f>
        <v>-8.4762648999999995E-2</v>
      </c>
      <c r="Z54">
        <f>(0.103710916*(-1))*(-1)</f>
        <v>0.103710916</v>
      </c>
      <c r="AA54">
        <f>(-0.039098789*(-1))*(-1)</f>
        <v>-3.9098789000000002E-2</v>
      </c>
      <c r="AB54">
        <f>(0.084762649*(-1))*(-1)</f>
        <v>8.4762648999999995E-2</v>
      </c>
      <c r="AC54">
        <f>(-0.103710916*(-1))*(-1)</f>
        <v>-0.103710916</v>
      </c>
      <c r="AD54">
        <v>-0.22018510999999999</v>
      </c>
      <c r="AE54">
        <v>-0.26074933300000003</v>
      </c>
      <c r="AF54">
        <v>-0.24046722149999999</v>
      </c>
      <c r="AG54">
        <v>0.24046722149999999</v>
      </c>
      <c r="AH54">
        <v>3.4970000000000001E-2</v>
      </c>
      <c r="AI54">
        <v>-0.1734</v>
      </c>
      <c r="AJ54">
        <v>0.89473684210500004</v>
      </c>
      <c r="AK54">
        <v>1</v>
      </c>
      <c r="AL54">
        <v>0.2320808</v>
      </c>
    </row>
    <row r="55" spans="1:38" x14ac:dyDescent="0.25">
      <c r="A55">
        <v>4132</v>
      </c>
      <c r="B55">
        <v>60</v>
      </c>
      <c r="C55">
        <v>18</v>
      </c>
      <c r="D55">
        <v>1</v>
      </c>
      <c r="E55">
        <f>0.0161231*(-1)</f>
        <v>-1.6123100000000001E-2</v>
      </c>
      <c r="F55">
        <f>0.15054613*(-1)</f>
        <v>-0.15054613</v>
      </c>
      <c r="G55">
        <f>0.105781517*(-1)</f>
        <v>-0.10578151700000001</v>
      </c>
      <c r="H55">
        <f>-0.105781517*(-1)</f>
        <v>0.10578151700000001</v>
      </c>
      <c r="I55">
        <f>0.089021164*(-1)</f>
        <v>-8.9021164E-2</v>
      </c>
      <c r="J55">
        <f>0.116208568*(-1)</f>
        <v>-0.116208568</v>
      </c>
      <c r="K55">
        <f>0.01546619*(-1)</f>
        <v>-1.5466189999999999E-2</v>
      </c>
      <c r="L55">
        <f>-0.080621091*(-1)</f>
        <v>8.0621091000000006E-2</v>
      </c>
      <c r="M55">
        <f>0.075886074*(-1)</f>
        <v>-7.5886073999999998E-2</v>
      </c>
      <c r="N55">
        <f>0.131516562*(-1)</f>
        <v>-0.131516562</v>
      </c>
      <c r="O55">
        <f>0.003889007*(-1)</f>
        <v>-3.8890069999999999E-3</v>
      </c>
      <c r="P55">
        <f>-0.099470342*(-1)</f>
        <v>9.9470342000000003E-2</v>
      </c>
      <c r="Q55">
        <f>0.051726542*(-1)</f>
        <v>-5.1726542E-2</v>
      </c>
      <c r="R55">
        <f>0.059405027*(-1)</f>
        <v>-5.9405026999999999E-2</v>
      </c>
      <c r="S55">
        <f>-0.165427818*(-1)</f>
        <v>0.165427818</v>
      </c>
      <c r="T55">
        <f>0.120193013*(-1)</f>
        <v>-0.120193013</v>
      </c>
      <c r="U55">
        <f>-0.062307888*(-1)</f>
        <v>6.2307887999999999E-2</v>
      </c>
      <c r="V55">
        <f>-0.052461042*(-1)</f>
        <v>5.2461041999999999E-2</v>
      </c>
      <c r="W55">
        <f>0.165241016*(-1)</f>
        <v>-0.16524101599999999</v>
      </c>
      <c r="X55">
        <f>(-0.051550466*(-1))*(-1)</f>
        <v>-5.1550466000000003E-2</v>
      </c>
      <c r="Y55">
        <f>(-0.143771381*(-1))*(-1)</f>
        <v>-0.143771381</v>
      </c>
      <c r="Z55">
        <f>(-0.048821299*(-1))*(-1)</f>
        <v>-4.8821298999999999E-2</v>
      </c>
      <c r="AA55">
        <f>(0.051550466*(-1))*(-1)</f>
        <v>5.1550466000000003E-2</v>
      </c>
      <c r="AB55">
        <f>(0.143771381*(-1))*(-1)</f>
        <v>0.143771381</v>
      </c>
      <c r="AC55">
        <f>(0.048821299*(-1))*(-1)</f>
        <v>4.8821298999999999E-2</v>
      </c>
      <c r="AD55">
        <v>-0.66995333000000001</v>
      </c>
      <c r="AE55">
        <v>0.27312181299999999</v>
      </c>
      <c r="AF55">
        <v>-0.19841575850000001</v>
      </c>
      <c r="AG55">
        <v>0.19841575850000001</v>
      </c>
      <c r="AH55">
        <v>4.3659999999999997E-2</v>
      </c>
      <c r="AI55">
        <v>-5.6300000000000003E-2</v>
      </c>
      <c r="AJ55">
        <v>1</v>
      </c>
      <c r="AK55">
        <v>0.95238095238099996</v>
      </c>
      <c r="AL55">
        <v>5.221481E-2</v>
      </c>
    </row>
    <row r="56" spans="1:38" x14ac:dyDescent="0.25">
      <c r="A56">
        <v>4447</v>
      </c>
      <c r="B56">
        <v>61</v>
      </c>
      <c r="C56">
        <v>22</v>
      </c>
      <c r="D56">
        <v>1</v>
      </c>
      <c r="E56">
        <f>-0.029406208*(-1)</f>
        <v>2.9406208E-2</v>
      </c>
      <c r="F56">
        <f>0.207184946*(-1)</f>
        <v>-0.20718494600000001</v>
      </c>
      <c r="G56">
        <f>0.307891628*(-1)</f>
        <v>-0.30789162799999997</v>
      </c>
      <c r="H56">
        <f>-0.307891628*(-1)</f>
        <v>0.30789162799999997</v>
      </c>
      <c r="I56">
        <f>-0.032788086*(-1)</f>
        <v>3.2788086000000001E-2</v>
      </c>
      <c r="J56">
        <f>0.137938388*(-1)</f>
        <v>-0.137938388</v>
      </c>
      <c r="K56">
        <f>0.296588712*(-1)</f>
        <v>-0.29658871199999998</v>
      </c>
      <c r="L56">
        <f>0.008306902*(-1)</f>
        <v>-8.3069019999999997E-3</v>
      </c>
      <c r="M56">
        <f>0.154949439*(-1)</f>
        <v>-0.15494943899999999</v>
      </c>
      <c r="N56">
        <f>0.061827491*(-1)</f>
        <v>-6.1827490999999998E-2</v>
      </c>
      <c r="O56">
        <f>0.027594417*(-1)</f>
        <v>-2.7594417E-2</v>
      </c>
      <c r="P56">
        <f>-0.128969731*(-1)</f>
        <v>0.128969731</v>
      </c>
      <c r="Q56">
        <f>-0.135142085*(-1)</f>
        <v>0.135142085</v>
      </c>
      <c r="R56">
        <f>-0.009959892*(-1)</f>
        <v>9.9598919999999997E-3</v>
      </c>
      <c r="S56">
        <f>-0.08103628*(-1)</f>
        <v>8.1036280000000002E-2</v>
      </c>
      <c r="T56">
        <f>-0.094522402*(-1)</f>
        <v>9.4522402000000005E-2</v>
      </c>
      <c r="U56">
        <f>0.043678496*(-1)</f>
        <v>-4.3678495999999997E-2</v>
      </c>
      <c r="V56">
        <f>-0.094499186*(-1)</f>
        <v>9.4499185999999999E-2</v>
      </c>
      <c r="W56">
        <f>-0.07663745*(-1)</f>
        <v>7.6637449999999996E-2</v>
      </c>
      <c r="X56">
        <f>(-0.047565741*(-1))*(-1)</f>
        <v>-4.7565741000000002E-2</v>
      </c>
      <c r="Y56">
        <f>(0.11366206*(-1))*(-1)</f>
        <v>0.11366206</v>
      </c>
      <c r="Z56">
        <f>(0.18238716*(-1))*(-1)</f>
        <v>0.18238715999999999</v>
      </c>
      <c r="AA56">
        <f>(0.047565741*(-1))*(-1)</f>
        <v>4.7565741000000002E-2</v>
      </c>
      <c r="AB56">
        <f>(-0.11366206*(-1))*(-1)</f>
        <v>-0.11366206</v>
      </c>
      <c r="AC56">
        <f>(-0.18238716*(-1))*(-1)</f>
        <v>-0.18238715999999999</v>
      </c>
      <c r="AD56">
        <v>0.53398952200000005</v>
      </c>
      <c r="AE56">
        <v>-0.43311515299999997</v>
      </c>
      <c r="AF56">
        <v>5.0437184500000003E-2</v>
      </c>
      <c r="AG56">
        <v>-5.0437184500000003E-2</v>
      </c>
      <c r="AH56">
        <v>0.21199999999999999</v>
      </c>
      <c r="AI56">
        <v>8.5150000000000003E-2</v>
      </c>
      <c r="AJ56">
        <v>1</v>
      </c>
      <c r="AK56">
        <v>0.95238095238099996</v>
      </c>
      <c r="AL56">
        <v>5.7480829999999997E-2</v>
      </c>
    </row>
    <row r="57" spans="1:38" x14ac:dyDescent="0.25">
      <c r="A57">
        <v>4268</v>
      </c>
      <c r="B57">
        <v>62</v>
      </c>
      <c r="C57">
        <v>18</v>
      </c>
      <c r="D57">
        <v>1</v>
      </c>
      <c r="E57">
        <f>0.042970398*(-1)</f>
        <v>-4.2970398E-2</v>
      </c>
      <c r="F57">
        <f>-0.001785326*(-1)</f>
        <v>1.7853260000000001E-3</v>
      </c>
      <c r="G57">
        <f>0.106648848*(-1)</f>
        <v>-0.106648848</v>
      </c>
      <c r="H57">
        <f>-0.106648848*(-1)</f>
        <v>0.106648848</v>
      </c>
      <c r="I57">
        <f>-0.030242993*(-1)</f>
        <v>3.0242992999999999E-2</v>
      </c>
      <c r="J57">
        <f>0.000732*(-1)</f>
        <v>-7.3200000000000001E-4</v>
      </c>
      <c r="K57">
        <f>0.032475502*(-1)</f>
        <v>-3.2475502000000003E-2</v>
      </c>
      <c r="L57">
        <f>0.075936056*(-1)</f>
        <v>-7.5936056000000002E-2</v>
      </c>
      <c r="M57">
        <f>0.002067836*(-1)</f>
        <v>-2.067836E-3</v>
      </c>
      <c r="N57">
        <f>0.104138946*(-1)</f>
        <v>-0.104138946</v>
      </c>
      <c r="O57">
        <f>0.00087895*(-1)</f>
        <v>-8.7894999999999998E-4</v>
      </c>
      <c r="P57">
        <f>0.028620342*(-1)</f>
        <v>-2.8620342E-2</v>
      </c>
      <c r="Q57">
        <f>0.06086118*(-1)</f>
        <v>-6.0861180000000001E-2</v>
      </c>
      <c r="R57">
        <f>0.024347433*(-1)</f>
        <v>-2.4347433000000002E-2</v>
      </c>
      <c r="S57">
        <f>0.027213622*(-1)</f>
        <v>-2.7213622E-2</v>
      </c>
      <c r="T57">
        <f>0.134210523*(-1)</f>
        <v>-0.134210523</v>
      </c>
      <c r="U57">
        <f>-0.006985055*(-1)</f>
        <v>6.9850550000000004E-3</v>
      </c>
      <c r="V57">
        <f>0.016999976*(-1)</f>
        <v>-1.6999976E-2</v>
      </c>
      <c r="W57">
        <f>0.022467008*(-1)</f>
        <v>-2.2467008E-2</v>
      </c>
      <c r="X57">
        <f>(0.010557348*(-1))*(-1)</f>
        <v>1.0557347999999999E-2</v>
      </c>
      <c r="Y57">
        <f>(0.097206215*(-1))*(-1)</f>
        <v>9.7206214999999999E-2</v>
      </c>
      <c r="Z57">
        <f>(0.067350433*(-1))*(-1)</f>
        <v>6.7350433000000001E-2</v>
      </c>
      <c r="AA57">
        <f>(-0.010557348*(-1))*(-1)</f>
        <v>-1.0557347999999999E-2</v>
      </c>
      <c r="AB57">
        <f>(-0.097206215*(-1))*(-1)</f>
        <v>-9.7206214999999999E-2</v>
      </c>
      <c r="AC57">
        <f>(-0.067350433*(-1))*(-1)</f>
        <v>-6.7350433000000001E-2</v>
      </c>
      <c r="AD57">
        <v>0.200146041</v>
      </c>
      <c r="AE57">
        <v>0.36690462600000001</v>
      </c>
      <c r="AF57">
        <v>0.28352533349999998</v>
      </c>
      <c r="AG57">
        <v>-0.28352533349999998</v>
      </c>
      <c r="AH57">
        <v>0.36659999999999998</v>
      </c>
      <c r="AI57">
        <v>0.499</v>
      </c>
      <c r="AJ57">
        <v>1</v>
      </c>
      <c r="AK57">
        <v>0.9375</v>
      </c>
      <c r="AL57">
        <v>0.64105699999999999</v>
      </c>
    </row>
    <row r="58" spans="1:38" x14ac:dyDescent="0.25">
      <c r="A58">
        <v>4255</v>
      </c>
      <c r="B58">
        <v>63</v>
      </c>
      <c r="C58">
        <v>19</v>
      </c>
      <c r="D58">
        <v>1</v>
      </c>
      <c r="E58">
        <f>-0.029420361*(-1)</f>
        <v>2.9420360999999999E-2</v>
      </c>
      <c r="F58">
        <f>0.193585908*(-1)</f>
        <v>-0.193585908</v>
      </c>
      <c r="G58">
        <f>-0.048020068*(-1)</f>
        <v>4.8020067999999999E-2</v>
      </c>
      <c r="H58">
        <f>0.048020068*(-1)</f>
        <v>-4.8020067999999999E-2</v>
      </c>
      <c r="I58">
        <f>0.038945639*(-1)</f>
        <v>-3.8945638999999997E-2</v>
      </c>
      <c r="J58">
        <f>0.177651134*(-1)</f>
        <v>-0.17765113399999999</v>
      </c>
      <c r="K58">
        <f>0.076241306*(-1)</f>
        <v>-7.6241305999999995E-2</v>
      </c>
      <c r="L58">
        <f>-0.061728148*(-1)</f>
        <v>6.1728147999999997E-2</v>
      </c>
      <c r="M58">
        <f>0.119684157*(-1)</f>
        <v>-0.119684157</v>
      </c>
      <c r="N58">
        <f>-0.160974933*(-1)</f>
        <v>0.16097493299999999</v>
      </c>
      <c r="O58">
        <f>-0.014509891*(-1)</f>
        <v>1.4509891E-2</v>
      </c>
      <c r="P58">
        <f>-0.114764066*(-1)</f>
        <v>0.114764066</v>
      </c>
      <c r="Q58">
        <f>0.049725058*(-1)</f>
        <v>-4.9725058000000003E-2</v>
      </c>
      <c r="R58">
        <f>-0.044253786*(-1)</f>
        <v>4.4253786000000003E-2</v>
      </c>
      <c r="S58">
        <f>-0.01556956*(-1)</f>
        <v>1.556956E-2</v>
      </c>
      <c r="T58">
        <f>0.073262293*(-1)</f>
        <v>-7.3262293000000006E-2</v>
      </c>
      <c r="U58">
        <f>0.021319407*(-1)</f>
        <v>-2.1319406999999999E-2</v>
      </c>
      <c r="V58">
        <f>-0.106855074*(-1)</f>
        <v>0.10685507399999999</v>
      </c>
      <c r="W58">
        <f>-0.010296621*(-1)</f>
        <v>1.0296621000000001E-2</v>
      </c>
      <c r="X58">
        <f>(-0.1124144*(-1))*(-1)</f>
        <v>-0.1124144</v>
      </c>
      <c r="Y58">
        <f>(0.016996072*(-1))*(-1)</f>
        <v>1.6996072000000001E-2</v>
      </c>
      <c r="Z58">
        <f>(0.268027314*(-1))*(-1)</f>
        <v>0.26802731400000002</v>
      </c>
      <c r="AA58">
        <f>(0.1124144*(-1))*(-1)</f>
        <v>0.1124144</v>
      </c>
      <c r="AB58">
        <f>(-0.016996072*(-1))*(-1)</f>
        <v>-1.6996072000000001E-2</v>
      </c>
      <c r="AC58">
        <f>(-0.268027314*(-1))*(-1)</f>
        <v>-0.26802731400000002</v>
      </c>
      <c r="AD58">
        <v>-0.43882269400000001</v>
      </c>
      <c r="AE58">
        <v>2.9375959E-2</v>
      </c>
      <c r="AF58">
        <v>-0.2047233675</v>
      </c>
      <c r="AG58">
        <v>0.2047233675</v>
      </c>
      <c r="AH58">
        <v>0.1181</v>
      </c>
      <c r="AI58">
        <v>-1.634E-2</v>
      </c>
      <c r="AJ58">
        <v>1</v>
      </c>
      <c r="AK58">
        <v>1</v>
      </c>
      <c r="AL58">
        <v>6.2112420000000002E-2</v>
      </c>
    </row>
    <row r="59" spans="1:38" x14ac:dyDescent="0.25">
      <c r="A59">
        <v>4258</v>
      </c>
      <c r="B59">
        <v>64</v>
      </c>
      <c r="C59">
        <v>18</v>
      </c>
      <c r="D59">
        <v>1</v>
      </c>
      <c r="E59">
        <f>0.093829684*(-1)</f>
        <v>-9.3829683999999997E-2</v>
      </c>
      <c r="F59">
        <f>0.063529856*(-1)</f>
        <v>-6.3529855999999996E-2</v>
      </c>
      <c r="G59">
        <f>0.007001501*(-1)</f>
        <v>-7.0015010000000003E-3</v>
      </c>
      <c r="H59">
        <f>-0.007001501*(-1)</f>
        <v>7.0015010000000003E-3</v>
      </c>
      <c r="I59">
        <f>0.05473986*(-1)</f>
        <v>-5.4739860000000001E-2</v>
      </c>
      <c r="J59">
        <f>0.05216451*(-1)</f>
        <v>-5.2164509999999997E-2</v>
      </c>
      <c r="K59">
        <f>0.062134826*(-1)</f>
        <v>-6.2134825999999997E-2</v>
      </c>
      <c r="L59">
        <f>0.069250117*(-1)</f>
        <v>-6.9250117E-2</v>
      </c>
      <c r="M59">
        <f>0.069426386*(-1)</f>
        <v>-6.9426386000000007E-2</v>
      </c>
      <c r="N59">
        <f>-0.101488565*(-1)</f>
        <v>0.101488565</v>
      </c>
      <c r="O59">
        <f>0.028992121*(-1)</f>
        <v>-2.8992120999999999E-2</v>
      </c>
      <c r="P59">
        <f>0.040560431*(-1)</f>
        <v>-4.0560431000000001E-2</v>
      </c>
      <c r="Q59">
        <f>0.003220285*(-1)</f>
        <v>-3.2202849999999998E-3</v>
      </c>
      <c r="R59">
        <f>0.009461017*(-1)</f>
        <v>-9.4610170000000004E-3</v>
      </c>
      <c r="S59">
        <f>-0.044109304*(-1)</f>
        <v>4.4109304000000002E-2</v>
      </c>
      <c r="T59">
        <f>-0.043472994*(-1)</f>
        <v>4.3472994000000001E-2</v>
      </c>
      <c r="U59">
        <f>0.035409659*(-1)</f>
        <v>-3.5409659000000003E-2</v>
      </c>
      <c r="V59">
        <f>0.088292742*(-1)</f>
        <v>-8.8292741999999994E-2</v>
      </c>
      <c r="W59">
        <f>0.01758105*(-1)</f>
        <v>-1.7581050000000001E-2</v>
      </c>
      <c r="X59">
        <f>(-0.099186635*(-1))*(-1)</f>
        <v>-9.9186634999999995E-2</v>
      </c>
      <c r="Y59">
        <f>(-0.098287866*(-1))*(-1)</f>
        <v>-9.8287866000000002E-2</v>
      </c>
      <c r="Z59">
        <f>(0.108282083*(-1))*(-1)</f>
        <v>0.108282083</v>
      </c>
      <c r="AA59">
        <f>(0.099186635*(-1))*(-1)</f>
        <v>9.9186634999999995E-2</v>
      </c>
      <c r="AB59">
        <f>(0.098287866*(-1))*(-1)</f>
        <v>9.8287866000000002E-2</v>
      </c>
      <c r="AC59">
        <f>(-0.108282083*(-1))*(-1)</f>
        <v>-0.108282083</v>
      </c>
      <c r="AD59">
        <v>-0.51279536699999995</v>
      </c>
      <c r="AE59">
        <v>-0.11346780200000001</v>
      </c>
      <c r="AF59">
        <v>-0.3131315845</v>
      </c>
      <c r="AG59">
        <v>0.3131315845</v>
      </c>
      <c r="AH59">
        <v>0.2278</v>
      </c>
      <c r="AI59">
        <v>-8.4589999999999999E-2</v>
      </c>
      <c r="AJ59">
        <v>1</v>
      </c>
      <c r="AK59">
        <v>1</v>
      </c>
      <c r="AL59">
        <v>0.25736624000000002</v>
      </c>
    </row>
    <row r="60" spans="1:38" x14ac:dyDescent="0.25">
      <c r="A60">
        <v>4497</v>
      </c>
      <c r="B60">
        <v>65</v>
      </c>
      <c r="C60">
        <v>18</v>
      </c>
      <c r="D60">
        <v>1</v>
      </c>
      <c r="E60">
        <f>-0.024048373*(-1)</f>
        <v>2.4048373000000001E-2</v>
      </c>
      <c r="F60">
        <f>0.142780151*(-1)</f>
        <v>-0.14278015099999999</v>
      </c>
      <c r="G60">
        <f>0.172142803*(-1)</f>
        <v>-0.17214280300000001</v>
      </c>
      <c r="H60">
        <f>-0.172142803*(-1)</f>
        <v>0.17214280300000001</v>
      </c>
      <c r="I60">
        <f>0.030690068*(-1)</f>
        <v>-3.0690068000000001E-2</v>
      </c>
      <c r="J60">
        <f>0.097582018*(-1)</f>
        <v>-9.7582018000000006E-2</v>
      </c>
      <c r="K60">
        <f>0.111345435*(-1)</f>
        <v>-0.11134543500000001</v>
      </c>
      <c r="L60">
        <f>-0.090643097*(-1)</f>
        <v>9.0643097000000006E-2</v>
      </c>
      <c r="M60">
        <f>0.082307429*(-1)</f>
        <v>-8.2307429000000001E-2</v>
      </c>
      <c r="N60">
        <f>0.007649923*(-1)</f>
        <v>-7.6499230000000003E-3</v>
      </c>
      <c r="O60">
        <f>0.060480969*(-1)</f>
        <v>-6.0480969000000002E-2</v>
      </c>
      <c r="P60">
        <f>0.010778247*(-1)</f>
        <v>-1.0778246999999999E-2</v>
      </c>
      <c r="Q60">
        <f>-0.045248908*(-1)</f>
        <v>4.5248907999999997E-2</v>
      </c>
      <c r="R60">
        <f>-0.060656497*(-1)</f>
        <v>6.0656496999999997E-2</v>
      </c>
      <c r="S60">
        <f>-0.042165159*(-1)</f>
        <v>4.2165159000000001E-2</v>
      </c>
      <c r="T60">
        <f>0.157258604*(-1)</f>
        <v>-0.157258604</v>
      </c>
      <c r="U60">
        <f>0.104148487*(-1)</f>
        <v>-0.104148487</v>
      </c>
      <c r="V60">
        <f>-0.009388352*(-1)</f>
        <v>9.3883520000000008E-3</v>
      </c>
      <c r="W60">
        <f>-0.185702284*(-1)</f>
        <v>0.185702284</v>
      </c>
      <c r="X60">
        <f>(0.039062897*(-1))*(-1)</f>
        <v>3.9062896999999999E-2</v>
      </c>
      <c r="Y60">
        <f>(-0.2401804*(-1))*(-1)</f>
        <v>-0.24018039999999999</v>
      </c>
      <c r="Z60">
        <f>(-0.257981418*(-1))*(-1)</f>
        <v>-0.25798141800000002</v>
      </c>
      <c r="AA60">
        <f>(-0.039062897*(-1))*(-1)</f>
        <v>-3.9062896999999999E-2</v>
      </c>
      <c r="AB60">
        <f>(0.2401804*(-1))*(-1)</f>
        <v>0.24018039999999999</v>
      </c>
      <c r="AC60">
        <f>(0.257981418*(-1))*(-1)</f>
        <v>0.25798141800000002</v>
      </c>
      <c r="AD60">
        <v>6.2951103999999994E-2</v>
      </c>
      <c r="AE60">
        <v>-7.5304777000000003E-2</v>
      </c>
      <c r="AF60">
        <v>-6.1768365000000004E-3</v>
      </c>
      <c r="AG60">
        <v>6.1768365000000004E-3</v>
      </c>
      <c r="AH60">
        <v>0.1537</v>
      </c>
      <c r="AI60">
        <v>0.2145</v>
      </c>
      <c r="AJ60">
        <v>0.944444444444</v>
      </c>
      <c r="AK60">
        <v>0.944444444444</v>
      </c>
      <c r="AL60">
        <v>4.212192E-2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elapsed_time_09_09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Turnbull</dc:creator>
  <cp:lastModifiedBy>Beth</cp:lastModifiedBy>
  <dcterms:created xsi:type="dcterms:W3CDTF">2019-09-09T13:22:34Z</dcterms:created>
  <dcterms:modified xsi:type="dcterms:W3CDTF">2019-09-09T13:26:03Z</dcterms:modified>
</cp:coreProperties>
</file>