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xmlns:r="http://schemas.openxmlformats.org/officeDocument/2006/relationships" name="CountryData" sheetId="1" state="visible" r:id="rId1"/>
    <sheet xmlns:r="http://schemas.openxmlformats.org/officeDocument/2006/relationships" name="Parameters" sheetId="2" state="visible" r:id="rId2"/>
    <sheet xmlns:r="http://schemas.openxmlformats.org/officeDocument/2006/relationships" name="SegmentLibrary" sheetId="3" state="visible" r:id="rId3"/>
    <sheet xmlns:r="http://schemas.openxmlformats.org/officeDocument/2006/relationships" name="Projections" sheetId="4" state="visible" r:id="rId4"/>
    <sheet xmlns:r="http://schemas.openxmlformats.org/officeDocument/2006/relationships" name="Scenarios" sheetId="5" state="visible" r:id="rId5"/>
    <sheet xmlns:r="http://schemas.openxmlformats.org/officeDocument/2006/relationships" name="Dashboard" sheetId="6" state="visible" r:id="rId6"/>
    <sheet xmlns:r="http://schemas.openxmlformats.org/officeDocument/2006/relationships" name="Char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7">
    <font>
      <name val="Calibri"/>
      <family val="2"/>
      <color theme="1"/>
      <sz val="11"/>
      <scheme val="minor"/>
    </font>
    <font>
      <b val="1"/>
      <color rgb="00FFFFFF"/>
    </font>
    <font>
      <b val="1"/>
      <sz val="16"/>
    </font>
    <font>
      <b val="1"/>
      <sz val="12"/>
    </font>
    <font>
      <b val="1"/>
    </font>
    <font>
      <b val="1"/>
      <sz val="14"/>
    </font>
    <font>
      <b val="1"/>
      <color rgb="00667EEA"/>
      <sz val="18"/>
    </font>
  </fonts>
  <fills count="3">
    <fill>
      <patternFill/>
    </fill>
    <fill>
      <patternFill patternType="gray125"/>
    </fill>
    <fill>
      <patternFill patternType="solid">
        <fgColor rgb="00667EEA"/>
        <bgColor rgb="00667EEA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1" pivotButton="0" quotePrefix="0" xfId="0"/>
    <xf numFmtId="0" fontId="0" fillId="0" borderId="1" pivotButton="0" quotePrefix="0" xfId="0"/>
    <xf numFmtId="0" fontId="2" fillId="0" borderId="1" pivotButton="0" quotePrefix="0" xfId="0"/>
    <xf numFmtId="0" fontId="3" fillId="0" borderId="1" pivotButton="0" quotePrefix="0" xfId="0"/>
    <xf numFmtId="0" fontId="4" fillId="0" borderId="1" pivotButton="0" quotePrefix="0" xfId="0"/>
    <xf numFmtId="3" fontId="0" fillId="0" borderId="1" pivotButton="0" quotePrefix="0" xfId="0"/>
    <xf numFmtId="164" fontId="0" fillId="0" borderId="1" pivotButton="0" quotePrefix="0" xfId="0"/>
    <xf numFmtId="165" fontId="0" fillId="0" borderId="1" pivotButton="0" quotePrefix="0" xfId="0"/>
    <xf numFmtId="0" fontId="5" fillId="0" borderId="1" pivotButton="0" quotePrefix="0" xfId="0"/>
    <xf numFmtId="0" fontId="6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Projections</a:t>
            </a:r>
          </a:p>
        </rich>
      </tx>
    </title>
    <plotArea>
      <lineChart>
        <grouping val="standard"/>
        <ser>
          <idx val="0"/>
          <order val="0"/>
          <tx>
            <strRef>
              <f>'Charts'!D1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'Charts'!$B$2:$B$13</f>
            </numRef>
          </cat>
          <val>
            <numRef>
              <f>'Charts'!$D$2:$D$13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6" customWidth="1" min="3" max="3"/>
    <col width="14" customWidth="1" min="4" max="4"/>
    <col width="12" customWidth="1" min="5" max="5"/>
  </cols>
  <sheetData>
    <row r="1">
      <c r="A1" s="1" t="inlineStr">
        <is>
          <t>CountryCode</t>
        </is>
      </c>
      <c r="B1" s="1" t="inlineStr">
        <is>
          <t>CountryName</t>
        </is>
      </c>
      <c r="C1" s="1" t="inlineStr">
        <is>
          <t>CurrencySymbol</t>
        </is>
      </c>
      <c r="D1" s="1" t="inlineStr">
        <is>
          <t>ExchangeRate</t>
        </is>
      </c>
      <c r="E1" s="1" t="inlineStr">
        <is>
          <t>Population</t>
        </is>
      </c>
    </row>
    <row r="2">
      <c r="A2" s="2" t="inlineStr">
        <is>
          <t>india</t>
        </is>
      </c>
      <c r="B2" s="2" t="inlineStr">
        <is>
          <t>India</t>
        </is>
      </c>
      <c r="C2" s="2" t="inlineStr">
        <is>
          <t>₹</t>
        </is>
      </c>
      <c r="D2" s="2" t="n">
        <v>83.5</v>
      </c>
      <c r="E2" s="2" t="n">
        <v>1417.2</v>
      </c>
    </row>
    <row r="3">
      <c r="A3" s="2" t="inlineStr">
        <is>
          <t>singapore</t>
        </is>
      </c>
      <c r="B3" s="2" t="inlineStr">
        <is>
          <t>Singapore</t>
        </is>
      </c>
      <c r="C3" s="2" t="inlineStr">
        <is>
          <t>S$</t>
        </is>
      </c>
      <c r="D3" s="2" t="n">
        <v>1.35</v>
      </c>
      <c r="E3" s="2" t="n">
        <v>5.9</v>
      </c>
    </row>
    <row r="4">
      <c r="A4" s="2" t="inlineStr">
        <is>
          <t>australia</t>
        </is>
      </c>
      <c r="B4" s="2" t="inlineStr">
        <is>
          <t>Australia</t>
        </is>
      </c>
      <c r="C4" s="2" t="inlineStr">
        <is>
          <t>A$</t>
        </is>
      </c>
      <c r="D4" s="2" t="n">
        <v>1.52</v>
      </c>
      <c r="E4" s="2" t="n">
        <v>26</v>
      </c>
    </row>
    <row r="5">
      <c r="A5" s="2" t="inlineStr">
        <is>
          <t>japan</t>
        </is>
      </c>
      <c r="B5" s="2" t="inlineStr">
        <is>
          <t>Japan</t>
        </is>
      </c>
      <c r="C5" s="2" t="inlineStr">
        <is>
          <t>¥</t>
        </is>
      </c>
      <c r="D5" s="2" t="n">
        <v>149</v>
      </c>
      <c r="E5" s="2" t="n">
        <v>125</v>
      </c>
    </row>
    <row r="6">
      <c r="A6" s="2" t="inlineStr">
        <is>
          <t>south_korea</t>
        </is>
      </c>
      <c r="B6" s="2" t="inlineStr">
        <is>
          <t>South Korea</t>
        </is>
      </c>
      <c r="C6" s="2" t="inlineStr">
        <is>
          <t>₩</t>
        </is>
      </c>
      <c r="D6" s="2" t="n">
        <v>1320</v>
      </c>
      <c r="E6" s="2" t="n">
        <v>51.8</v>
      </c>
    </row>
    <row r="7">
      <c r="A7" s="2" t="inlineStr">
        <is>
          <t>thailand</t>
        </is>
      </c>
      <c r="B7" s="2" t="inlineStr">
        <is>
          <t>Thailand</t>
        </is>
      </c>
      <c r="C7" s="2" t="inlineStr">
        <is>
          <t>฿</t>
        </is>
      </c>
      <c r="D7" s="2" t="n">
        <v>35.8</v>
      </c>
      <c r="E7" s="2" t="n">
        <v>70</v>
      </c>
    </row>
    <row r="8">
      <c r="A8" s="2" t="inlineStr">
        <is>
          <t>indonesia</t>
        </is>
      </c>
      <c r="B8" s="2" t="inlineStr">
        <is>
          <t>Indonesia</t>
        </is>
      </c>
      <c r="C8" s="2" t="inlineStr">
        <is>
          <t>Rp</t>
        </is>
      </c>
      <c r="D8" s="2" t="n">
        <v>15750</v>
      </c>
      <c r="E8" s="2" t="n">
        <v>275.5</v>
      </c>
    </row>
    <row r="9">
      <c r="A9" s="2" t="inlineStr">
        <is>
          <t>philippines</t>
        </is>
      </c>
      <c r="B9" s="2" t="inlineStr">
        <is>
          <t>Philippines</t>
        </is>
      </c>
      <c r="C9" s="2" t="inlineStr">
        <is>
          <t>₱</t>
        </is>
      </c>
      <c r="D9" s="2" t="n">
        <v>56.2</v>
      </c>
      <c r="E9" s="2" t="n">
        <v>113.9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Model Parameters</t>
        </is>
      </c>
    </row>
    <row r="2"/>
    <row r="3">
      <c r="A3" s="4" t="inlineStr">
        <is>
          <t>Base Parameters</t>
        </is>
      </c>
    </row>
    <row r="4">
      <c r="A4" s="5" t="inlineStr">
        <is>
          <t>Start Revenue</t>
        </is>
      </c>
      <c r="B4" s="2" t="n">
        <v>0</v>
      </c>
    </row>
    <row r="5">
      <c r="A5" s="5" t="inlineStr">
        <is>
          <t>Growth Rate (%)</t>
        </is>
      </c>
      <c r="B5" s="2" t="n">
        <v>4</v>
      </c>
    </row>
    <row r="6">
      <c r="A6" s="5" t="inlineStr">
        <is>
          <t>Projection Months</t>
        </is>
      </c>
      <c r="B6" s="2" t="n">
        <v>12</v>
      </c>
    </row>
    <row r="7">
      <c r="A7" s="5" t="inlineStr">
        <is>
          <t>Cost Percentage (%)</t>
        </is>
      </c>
      <c r="B7" s="2" t="n">
        <v>35</v>
      </c>
    </row>
    <row r="8">
      <c r="A8" s="5" t="inlineStr">
        <is>
          <t>Operating Expenses</t>
        </is>
      </c>
      <c r="B8" s="2" t="n">
        <v>0</v>
      </c>
    </row>
    <row r="9">
      <c r="A9" s="5" t="inlineStr">
        <is>
          <t>Operating Expense Type</t>
        </is>
      </c>
      <c r="B9" s="2" t="inlineStr">
        <is>
          <t>fixed</t>
        </is>
      </c>
    </row>
    <row r="10">
      <c r="A10" s="5" t="inlineStr">
        <is>
          <t>Operating Expense Percentage (%)</t>
        </is>
      </c>
      <c r="B10" s="2" t="n">
        <v>15</v>
      </c>
    </row>
    <row r="11"/>
    <row r="12">
      <c r="A12" s="4" t="inlineStr">
        <is>
          <t>Seasonality Multipliers</t>
        </is>
      </c>
    </row>
    <row r="13">
      <c r="A13" s="1" t="inlineStr">
        <is>
          <t>Month</t>
        </is>
      </c>
      <c r="B13" s="1" t="inlineStr">
        <is>
          <t>None</t>
        </is>
      </c>
      <c r="C13" s="1" t="inlineStr">
        <is>
          <t>Retail</t>
        </is>
      </c>
      <c r="D13" s="1" t="inlineStr">
        <is>
          <t>Summer</t>
        </is>
      </c>
    </row>
    <row r="14">
      <c r="A14" s="2" t="n">
        <v>1</v>
      </c>
      <c r="B14" s="2" t="n">
        <v>1</v>
      </c>
      <c r="C14" s="2" t="n">
        <v>0.9</v>
      </c>
      <c r="D14" s="2" t="n">
        <v>0.8</v>
      </c>
    </row>
    <row r="15">
      <c r="A15" s="2" t="n">
        <v>2</v>
      </c>
      <c r="B15" s="2" t="n">
        <v>1</v>
      </c>
      <c r="C15" s="2" t="n">
        <v>0.85</v>
      </c>
      <c r="D15" s="2" t="n">
        <v>0.85</v>
      </c>
    </row>
    <row r="16">
      <c r="A16" s="2" t="n">
        <v>3</v>
      </c>
      <c r="B16" s="2" t="n">
        <v>1</v>
      </c>
      <c r="C16" s="2" t="n">
        <v>0.9</v>
      </c>
      <c r="D16" s="2" t="n">
        <v>0.9</v>
      </c>
    </row>
    <row r="17">
      <c r="A17" s="2" t="n">
        <v>4</v>
      </c>
      <c r="B17" s="2" t="n">
        <v>1</v>
      </c>
      <c r="C17" s="2" t="n">
        <v>0.95</v>
      </c>
      <c r="D17" s="2" t="n">
        <v>1</v>
      </c>
    </row>
    <row r="18">
      <c r="A18" s="2" t="n">
        <v>5</v>
      </c>
      <c r="B18" s="2" t="n">
        <v>1</v>
      </c>
      <c r="C18" s="2" t="n">
        <v>1</v>
      </c>
      <c r="D18" s="2" t="n">
        <v>1.1</v>
      </c>
    </row>
    <row r="19">
      <c r="A19" s="2" t="n">
        <v>6</v>
      </c>
      <c r="B19" s="2" t="n">
        <v>1</v>
      </c>
      <c r="C19" s="2" t="n">
        <v>1.05</v>
      </c>
      <c r="D19" s="2" t="n">
        <v>1.2</v>
      </c>
    </row>
    <row r="20">
      <c r="A20" s="2" t="n">
        <v>7</v>
      </c>
      <c r="B20" s="2" t="n">
        <v>1</v>
      </c>
      <c r="C20" s="2" t="n">
        <v>1.1</v>
      </c>
      <c r="D20" s="2" t="n">
        <v>1.3</v>
      </c>
    </row>
    <row r="21">
      <c r="A21" s="2" t="n">
        <v>8</v>
      </c>
      <c r="B21" s="2" t="n">
        <v>1</v>
      </c>
      <c r="C21" s="2" t="n">
        <v>1.05</v>
      </c>
      <c r="D21" s="2" t="n">
        <v>1.2</v>
      </c>
    </row>
    <row r="22">
      <c r="A22" s="2" t="n">
        <v>9</v>
      </c>
      <c r="B22" s="2" t="n">
        <v>1</v>
      </c>
      <c r="C22" s="2" t="n">
        <v>1</v>
      </c>
      <c r="D22" s="2" t="n">
        <v>1</v>
      </c>
    </row>
    <row r="23">
      <c r="A23" s="2" t="n">
        <v>10</v>
      </c>
      <c r="B23" s="2" t="n">
        <v>1</v>
      </c>
      <c r="C23" s="2" t="n">
        <v>1.1</v>
      </c>
      <c r="D23" s="2" t="n">
        <v>0.9</v>
      </c>
    </row>
    <row r="24">
      <c r="A24" s="2" t="n">
        <v>11</v>
      </c>
      <c r="B24" s="2" t="n">
        <v>1</v>
      </c>
      <c r="C24" s="2" t="n">
        <v>1.2</v>
      </c>
      <c r="D24" s="2" t="n">
        <v>0.85</v>
      </c>
    </row>
    <row r="25">
      <c r="A25" s="2" t="n">
        <v>12</v>
      </c>
      <c r="B25" s="2" t="n">
        <v>1</v>
      </c>
      <c r="C25" s="2" t="n">
        <v>1.3</v>
      </c>
      <c r="D25" s="2" t="n">
        <v>0.8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cols>
    <col width="13" customWidth="1" min="1" max="1"/>
    <col width="22" customWidth="1" min="2" max="2"/>
    <col width="16" customWidth="1" min="3" max="3"/>
    <col width="20" customWidth="1" min="4" max="4"/>
    <col width="21" customWidth="1" min="5" max="5"/>
    <col width="20" customWidth="1" min="6" max="6"/>
    <col width="15" customWidth="1" min="7" max="7"/>
    <col width="14" customWidth="1" min="8" max="8"/>
    <col width="50" customWidth="1" min="9" max="9"/>
  </cols>
  <sheetData>
    <row r="1">
      <c r="A1" s="1" t="inlineStr">
        <is>
          <t>Country</t>
        </is>
      </c>
      <c r="B1" s="1" t="inlineStr">
        <is>
          <t>SegmentName</t>
        </is>
      </c>
      <c r="C1" s="1" t="inlineStr">
        <is>
          <t>Category</t>
        </is>
      </c>
      <c r="D1" s="1" t="inlineStr">
        <is>
          <t>Market</t>
        </is>
      </c>
      <c r="E1" s="1" t="inlineStr">
        <is>
          <t>PricePerTransaction</t>
        </is>
      </c>
      <c r="F1" s="1" t="inlineStr">
        <is>
          <t>CostPerTransaction</t>
        </is>
      </c>
      <c r="G1" s="1" t="inlineStr">
        <is>
          <t>MonthlyVolume</t>
        </is>
      </c>
      <c r="H1" s="1" t="inlineStr">
        <is>
          <t>VolumeGrowth</t>
        </is>
      </c>
      <c r="I1" s="1" t="inlineStr">
        <is>
          <t>Description</t>
        </is>
      </c>
    </row>
    <row r="2">
      <c r="A2" s="2" t="inlineStr">
        <is>
          <t>india</t>
        </is>
      </c>
      <c r="B2" s="2" t="inlineStr">
        <is>
          <t>Basic Authentication</t>
        </is>
      </c>
      <c r="C2" s="2" t="inlineStr">
        <is>
          <t>authentication</t>
        </is>
      </c>
      <c r="D2" s="2" t="inlineStr">
        <is>
          <t>General</t>
        </is>
      </c>
      <c r="E2" s="2" t="n">
        <v>0.15</v>
      </c>
      <c r="F2" s="2" t="n">
        <v>0.05</v>
      </c>
      <c r="G2" s="2" t="n">
        <v>10000000</v>
      </c>
      <c r="H2" s="2" t="n">
        <v>8</v>
      </c>
      <c r="I2" s="2" t="inlineStr">
        <is>
          <t>Basic authentication service for general verification</t>
        </is>
      </c>
    </row>
    <row r="3">
      <c r="A3" s="2" t="inlineStr">
        <is>
          <t>india</t>
        </is>
      </c>
      <c r="B3" s="2" t="inlineStr">
        <is>
          <t>eKYC Service</t>
        </is>
      </c>
      <c r="C3" s="2" t="inlineStr">
        <is>
          <t>kyc</t>
        </is>
      </c>
      <c r="D3" s="2" t="inlineStr">
        <is>
          <t>Financial Services</t>
        </is>
      </c>
      <c r="E3" s="2" t="n">
        <v>2.5</v>
      </c>
      <c r="F3" s="2" t="n">
        <v>0.75</v>
      </c>
      <c r="G3" s="2" t="n">
        <v>5000000</v>
      </c>
      <c r="H3" s="2" t="n">
        <v>12</v>
      </c>
      <c r="I3" s="2" t="inlineStr">
        <is>
          <t>Electronic KYC service for financial institutions</t>
        </is>
      </c>
    </row>
    <row r="4">
      <c r="A4" s="2" t="inlineStr">
        <is>
          <t>india</t>
        </is>
      </c>
      <c r="B4" s="2" t="inlineStr">
        <is>
          <t>Biometric Auth</t>
        </is>
      </c>
      <c r="C4" s="2" t="inlineStr">
        <is>
          <t>biometric</t>
        </is>
      </c>
      <c r="D4" s="2" t="inlineStr">
        <is>
          <t>Government</t>
        </is>
      </c>
      <c r="E4" s="2" t="n">
        <v>0.25</v>
      </c>
      <c r="F4" s="2" t="n">
        <v>0.08</v>
      </c>
      <c r="G4" s="2" t="n">
        <v>25000000</v>
      </c>
      <c r="H4" s="2" t="n">
        <v>5</v>
      </c>
      <c r="I4" s="2" t="inlineStr">
        <is>
          <t>Biometric authentication for government services</t>
        </is>
      </c>
    </row>
    <row r="5">
      <c r="A5" s="2" t="inlineStr">
        <is>
          <t>singapore</t>
        </is>
      </c>
      <c r="B5" s="2" t="inlineStr">
        <is>
          <t>Basic Authentication</t>
        </is>
      </c>
      <c r="C5" s="2" t="inlineStr">
        <is>
          <t>authentication</t>
        </is>
      </c>
      <c r="D5" s="2" t="inlineStr">
        <is>
          <t>General</t>
        </is>
      </c>
      <c r="E5" s="2" t="n">
        <v>0.15</v>
      </c>
      <c r="F5" s="2" t="n">
        <v>0.05</v>
      </c>
      <c r="G5" s="2" t="n">
        <v>10000000</v>
      </c>
      <c r="H5" s="2" t="n">
        <v>8</v>
      </c>
      <c r="I5" s="2" t="inlineStr">
        <is>
          <t>Basic authentication service for general verification</t>
        </is>
      </c>
    </row>
    <row r="6">
      <c r="A6" s="2" t="inlineStr">
        <is>
          <t>singapore</t>
        </is>
      </c>
      <c r="B6" s="2" t="inlineStr">
        <is>
          <t>eKYC Service</t>
        </is>
      </c>
      <c r="C6" s="2" t="inlineStr">
        <is>
          <t>kyc</t>
        </is>
      </c>
      <c r="D6" s="2" t="inlineStr">
        <is>
          <t>Financial Services</t>
        </is>
      </c>
      <c r="E6" s="2" t="n">
        <v>2.5</v>
      </c>
      <c r="F6" s="2" t="n">
        <v>0.75</v>
      </c>
      <c r="G6" s="2" t="n">
        <v>5000000</v>
      </c>
      <c r="H6" s="2" t="n">
        <v>12</v>
      </c>
      <c r="I6" s="2" t="inlineStr">
        <is>
          <t>Electronic KYC service for financial institutions</t>
        </is>
      </c>
    </row>
    <row r="7">
      <c r="A7" s="2" t="inlineStr">
        <is>
          <t>singapore</t>
        </is>
      </c>
      <c r="B7" s="2" t="inlineStr">
        <is>
          <t>Biometric Auth</t>
        </is>
      </c>
      <c r="C7" s="2" t="inlineStr">
        <is>
          <t>biometric</t>
        </is>
      </c>
      <c r="D7" s="2" t="inlineStr">
        <is>
          <t>Government</t>
        </is>
      </c>
      <c r="E7" s="2" t="n">
        <v>0.25</v>
      </c>
      <c r="F7" s="2" t="n">
        <v>0.08</v>
      </c>
      <c r="G7" s="2" t="n">
        <v>25000000</v>
      </c>
      <c r="H7" s="2" t="n">
        <v>5</v>
      </c>
      <c r="I7" s="2" t="inlineStr">
        <is>
          <t>Biometric authentication for government services</t>
        </is>
      </c>
    </row>
    <row r="8">
      <c r="A8" s="2" t="inlineStr">
        <is>
          <t>australia</t>
        </is>
      </c>
      <c r="B8" s="2" t="inlineStr">
        <is>
          <t>Basic Authentication</t>
        </is>
      </c>
      <c r="C8" s="2" t="inlineStr">
        <is>
          <t>authentication</t>
        </is>
      </c>
      <c r="D8" s="2" t="inlineStr">
        <is>
          <t>General</t>
        </is>
      </c>
      <c r="E8" s="2" t="n">
        <v>0.15</v>
      </c>
      <c r="F8" s="2" t="n">
        <v>0.05</v>
      </c>
      <c r="G8" s="2" t="n">
        <v>10000000</v>
      </c>
      <c r="H8" s="2" t="n">
        <v>8</v>
      </c>
      <c r="I8" s="2" t="inlineStr">
        <is>
          <t>Basic authentication service for general verification</t>
        </is>
      </c>
    </row>
    <row r="9">
      <c r="A9" s="2" t="inlineStr">
        <is>
          <t>australia</t>
        </is>
      </c>
      <c r="B9" s="2" t="inlineStr">
        <is>
          <t>eKYC Service</t>
        </is>
      </c>
      <c r="C9" s="2" t="inlineStr">
        <is>
          <t>kyc</t>
        </is>
      </c>
      <c r="D9" s="2" t="inlineStr">
        <is>
          <t>Financial Services</t>
        </is>
      </c>
      <c r="E9" s="2" t="n">
        <v>2.5</v>
      </c>
      <c r="F9" s="2" t="n">
        <v>0.75</v>
      </c>
      <c r="G9" s="2" t="n">
        <v>5000000</v>
      </c>
      <c r="H9" s="2" t="n">
        <v>12</v>
      </c>
      <c r="I9" s="2" t="inlineStr">
        <is>
          <t>Electronic KYC service for financial institutions</t>
        </is>
      </c>
    </row>
    <row r="10">
      <c r="A10" s="2" t="inlineStr">
        <is>
          <t>australia</t>
        </is>
      </c>
      <c r="B10" s="2" t="inlineStr">
        <is>
          <t>Biometric Auth</t>
        </is>
      </c>
      <c r="C10" s="2" t="inlineStr">
        <is>
          <t>biometric</t>
        </is>
      </c>
      <c r="D10" s="2" t="inlineStr">
        <is>
          <t>Government</t>
        </is>
      </c>
      <c r="E10" s="2" t="n">
        <v>0.25</v>
      </c>
      <c r="F10" s="2" t="n">
        <v>0.08</v>
      </c>
      <c r="G10" s="2" t="n">
        <v>25000000</v>
      </c>
      <c r="H10" s="2" t="n">
        <v>5</v>
      </c>
      <c r="I10" s="2" t="inlineStr">
        <is>
          <t>Biometric authentication for government services</t>
        </is>
      </c>
    </row>
    <row r="11">
      <c r="A11" s="2" t="inlineStr">
        <is>
          <t>japan</t>
        </is>
      </c>
      <c r="B11" s="2" t="inlineStr">
        <is>
          <t>Basic Authentication</t>
        </is>
      </c>
      <c r="C11" s="2" t="inlineStr">
        <is>
          <t>authentication</t>
        </is>
      </c>
      <c r="D11" s="2" t="inlineStr">
        <is>
          <t>General</t>
        </is>
      </c>
      <c r="E11" s="2" t="n">
        <v>0.15</v>
      </c>
      <c r="F11" s="2" t="n">
        <v>0.05</v>
      </c>
      <c r="G11" s="2" t="n">
        <v>10000000</v>
      </c>
      <c r="H11" s="2" t="n">
        <v>8</v>
      </c>
      <c r="I11" s="2" t="inlineStr">
        <is>
          <t>Basic authentication service for general verification</t>
        </is>
      </c>
    </row>
    <row r="12">
      <c r="A12" s="2" t="inlineStr">
        <is>
          <t>japan</t>
        </is>
      </c>
      <c r="B12" s="2" t="inlineStr">
        <is>
          <t>eKYC Service</t>
        </is>
      </c>
      <c r="C12" s="2" t="inlineStr">
        <is>
          <t>kyc</t>
        </is>
      </c>
      <c r="D12" s="2" t="inlineStr">
        <is>
          <t>Financial Services</t>
        </is>
      </c>
      <c r="E12" s="2" t="n">
        <v>2.5</v>
      </c>
      <c r="F12" s="2" t="n">
        <v>0.75</v>
      </c>
      <c r="G12" s="2" t="n">
        <v>5000000</v>
      </c>
      <c r="H12" s="2" t="n">
        <v>12</v>
      </c>
      <c r="I12" s="2" t="inlineStr">
        <is>
          <t>Electronic KYC service for financial institutions</t>
        </is>
      </c>
    </row>
    <row r="13">
      <c r="A13" s="2" t="inlineStr">
        <is>
          <t>japan</t>
        </is>
      </c>
      <c r="B13" s="2" t="inlineStr">
        <is>
          <t>Biometric Auth</t>
        </is>
      </c>
      <c r="C13" s="2" t="inlineStr">
        <is>
          <t>biometric</t>
        </is>
      </c>
      <c r="D13" s="2" t="inlineStr">
        <is>
          <t>Government</t>
        </is>
      </c>
      <c r="E13" s="2" t="n">
        <v>0.25</v>
      </c>
      <c r="F13" s="2" t="n">
        <v>0.08</v>
      </c>
      <c r="G13" s="2" t="n">
        <v>25000000</v>
      </c>
      <c r="H13" s="2" t="n">
        <v>5</v>
      </c>
      <c r="I13" s="2" t="inlineStr">
        <is>
          <t>Biometric authentication for government services</t>
        </is>
      </c>
    </row>
    <row r="14">
      <c r="A14" s="2" t="inlineStr">
        <is>
          <t>south_korea</t>
        </is>
      </c>
      <c r="B14" s="2" t="inlineStr">
        <is>
          <t>Basic Authentication</t>
        </is>
      </c>
      <c r="C14" s="2" t="inlineStr">
        <is>
          <t>authentication</t>
        </is>
      </c>
      <c r="D14" s="2" t="inlineStr">
        <is>
          <t>General</t>
        </is>
      </c>
      <c r="E14" s="2" t="n">
        <v>0.15</v>
      </c>
      <c r="F14" s="2" t="n">
        <v>0.05</v>
      </c>
      <c r="G14" s="2" t="n">
        <v>10000000</v>
      </c>
      <c r="H14" s="2" t="n">
        <v>8</v>
      </c>
      <c r="I14" s="2" t="inlineStr">
        <is>
          <t>Basic authentication service for general verification</t>
        </is>
      </c>
    </row>
    <row r="15">
      <c r="A15" s="2" t="inlineStr">
        <is>
          <t>south_korea</t>
        </is>
      </c>
      <c r="B15" s="2" t="inlineStr">
        <is>
          <t>eKYC Service</t>
        </is>
      </c>
      <c r="C15" s="2" t="inlineStr">
        <is>
          <t>kyc</t>
        </is>
      </c>
      <c r="D15" s="2" t="inlineStr">
        <is>
          <t>Financial Services</t>
        </is>
      </c>
      <c r="E15" s="2" t="n">
        <v>2.5</v>
      </c>
      <c r="F15" s="2" t="n">
        <v>0.75</v>
      </c>
      <c r="G15" s="2" t="n">
        <v>5000000</v>
      </c>
      <c r="H15" s="2" t="n">
        <v>12</v>
      </c>
      <c r="I15" s="2" t="inlineStr">
        <is>
          <t>Electronic KYC service for financial institutions</t>
        </is>
      </c>
    </row>
    <row r="16">
      <c r="A16" s="2" t="inlineStr">
        <is>
          <t>south_korea</t>
        </is>
      </c>
      <c r="B16" s="2" t="inlineStr">
        <is>
          <t>Biometric Auth</t>
        </is>
      </c>
      <c r="C16" s="2" t="inlineStr">
        <is>
          <t>biometric</t>
        </is>
      </c>
      <c r="D16" s="2" t="inlineStr">
        <is>
          <t>Government</t>
        </is>
      </c>
      <c r="E16" s="2" t="n">
        <v>0.25</v>
      </c>
      <c r="F16" s="2" t="n">
        <v>0.08</v>
      </c>
      <c r="G16" s="2" t="n">
        <v>25000000</v>
      </c>
      <c r="H16" s="2" t="n">
        <v>5</v>
      </c>
      <c r="I16" s="2" t="inlineStr">
        <is>
          <t>Biometric authentication for government services</t>
        </is>
      </c>
    </row>
    <row r="17">
      <c r="A17" s="2" t="inlineStr">
        <is>
          <t>thailand</t>
        </is>
      </c>
      <c r="B17" s="2" t="inlineStr">
        <is>
          <t>Basic Authentication</t>
        </is>
      </c>
      <c r="C17" s="2" t="inlineStr">
        <is>
          <t>authentication</t>
        </is>
      </c>
      <c r="D17" s="2" t="inlineStr">
        <is>
          <t>General</t>
        </is>
      </c>
      <c r="E17" s="2" t="n">
        <v>0.15</v>
      </c>
      <c r="F17" s="2" t="n">
        <v>0.05</v>
      </c>
      <c r="G17" s="2" t="n">
        <v>10000000</v>
      </c>
      <c r="H17" s="2" t="n">
        <v>8</v>
      </c>
      <c r="I17" s="2" t="inlineStr">
        <is>
          <t>Basic authentication service for general verification</t>
        </is>
      </c>
    </row>
    <row r="18">
      <c r="A18" s="2" t="inlineStr">
        <is>
          <t>thailand</t>
        </is>
      </c>
      <c r="B18" s="2" t="inlineStr">
        <is>
          <t>eKYC Service</t>
        </is>
      </c>
      <c r="C18" s="2" t="inlineStr">
        <is>
          <t>kyc</t>
        </is>
      </c>
      <c r="D18" s="2" t="inlineStr">
        <is>
          <t>Financial Services</t>
        </is>
      </c>
      <c r="E18" s="2" t="n">
        <v>2.5</v>
      </c>
      <c r="F18" s="2" t="n">
        <v>0.75</v>
      </c>
      <c r="G18" s="2" t="n">
        <v>5000000</v>
      </c>
      <c r="H18" s="2" t="n">
        <v>12</v>
      </c>
      <c r="I18" s="2" t="inlineStr">
        <is>
          <t>Electronic KYC service for financial institutions</t>
        </is>
      </c>
    </row>
    <row r="19">
      <c r="A19" s="2" t="inlineStr">
        <is>
          <t>thailand</t>
        </is>
      </c>
      <c r="B19" s="2" t="inlineStr">
        <is>
          <t>Biometric Auth</t>
        </is>
      </c>
      <c r="C19" s="2" t="inlineStr">
        <is>
          <t>biometric</t>
        </is>
      </c>
      <c r="D19" s="2" t="inlineStr">
        <is>
          <t>Government</t>
        </is>
      </c>
      <c r="E19" s="2" t="n">
        <v>0.25</v>
      </c>
      <c r="F19" s="2" t="n">
        <v>0.08</v>
      </c>
      <c r="G19" s="2" t="n">
        <v>25000000</v>
      </c>
      <c r="H19" s="2" t="n">
        <v>5</v>
      </c>
      <c r="I19" s="2" t="inlineStr">
        <is>
          <t>Biometric authentication for government services</t>
        </is>
      </c>
    </row>
    <row r="20">
      <c r="A20" s="2" t="inlineStr">
        <is>
          <t>indonesia</t>
        </is>
      </c>
      <c r="B20" s="2" t="inlineStr">
        <is>
          <t>Basic Authentication</t>
        </is>
      </c>
      <c r="C20" s="2" t="inlineStr">
        <is>
          <t>authentication</t>
        </is>
      </c>
      <c r="D20" s="2" t="inlineStr">
        <is>
          <t>General</t>
        </is>
      </c>
      <c r="E20" s="2" t="n">
        <v>0.15</v>
      </c>
      <c r="F20" s="2" t="n">
        <v>0.05</v>
      </c>
      <c r="G20" s="2" t="n">
        <v>10000000</v>
      </c>
      <c r="H20" s="2" t="n">
        <v>8</v>
      </c>
      <c r="I20" s="2" t="inlineStr">
        <is>
          <t>Basic authentication service for general verification</t>
        </is>
      </c>
    </row>
    <row r="21">
      <c r="A21" s="2" t="inlineStr">
        <is>
          <t>indonesia</t>
        </is>
      </c>
      <c r="B21" s="2" t="inlineStr">
        <is>
          <t>eKYC Service</t>
        </is>
      </c>
      <c r="C21" s="2" t="inlineStr">
        <is>
          <t>kyc</t>
        </is>
      </c>
      <c r="D21" s="2" t="inlineStr">
        <is>
          <t>Financial Services</t>
        </is>
      </c>
      <c r="E21" s="2" t="n">
        <v>2.5</v>
      </c>
      <c r="F21" s="2" t="n">
        <v>0.75</v>
      </c>
      <c r="G21" s="2" t="n">
        <v>5000000</v>
      </c>
      <c r="H21" s="2" t="n">
        <v>12</v>
      </c>
      <c r="I21" s="2" t="inlineStr">
        <is>
          <t>Electronic KYC service for financial institutions</t>
        </is>
      </c>
    </row>
    <row r="22">
      <c r="A22" s="2" t="inlineStr">
        <is>
          <t>indonesia</t>
        </is>
      </c>
      <c r="B22" s="2" t="inlineStr">
        <is>
          <t>Biometric Auth</t>
        </is>
      </c>
      <c r="C22" s="2" t="inlineStr">
        <is>
          <t>biometric</t>
        </is>
      </c>
      <c r="D22" s="2" t="inlineStr">
        <is>
          <t>Government</t>
        </is>
      </c>
      <c r="E22" s="2" t="n">
        <v>0.25</v>
      </c>
      <c r="F22" s="2" t="n">
        <v>0.08</v>
      </c>
      <c r="G22" s="2" t="n">
        <v>25000000</v>
      </c>
      <c r="H22" s="2" t="n">
        <v>5</v>
      </c>
      <c r="I22" s="2" t="inlineStr">
        <is>
          <t>Biometric authentication for government services</t>
        </is>
      </c>
    </row>
    <row r="23">
      <c r="A23" s="2" t="inlineStr">
        <is>
          <t>philippines</t>
        </is>
      </c>
      <c r="B23" s="2" t="inlineStr">
        <is>
          <t>Basic Authentication</t>
        </is>
      </c>
      <c r="C23" s="2" t="inlineStr">
        <is>
          <t>authentication</t>
        </is>
      </c>
      <c r="D23" s="2" t="inlineStr">
        <is>
          <t>General</t>
        </is>
      </c>
      <c r="E23" s="2" t="n">
        <v>0.15</v>
      </c>
      <c r="F23" s="2" t="n">
        <v>0.05</v>
      </c>
      <c r="G23" s="2" t="n">
        <v>10000000</v>
      </c>
      <c r="H23" s="2" t="n">
        <v>8</v>
      </c>
      <c r="I23" s="2" t="inlineStr">
        <is>
          <t>Basic authentication service for general verification</t>
        </is>
      </c>
    </row>
    <row r="24">
      <c r="A24" s="2" t="inlineStr">
        <is>
          <t>philippines</t>
        </is>
      </c>
      <c r="B24" s="2" t="inlineStr">
        <is>
          <t>eKYC Service</t>
        </is>
      </c>
      <c r="C24" s="2" t="inlineStr">
        <is>
          <t>kyc</t>
        </is>
      </c>
      <c r="D24" s="2" t="inlineStr">
        <is>
          <t>Financial Services</t>
        </is>
      </c>
      <c r="E24" s="2" t="n">
        <v>2.5</v>
      </c>
      <c r="F24" s="2" t="n">
        <v>0.75</v>
      </c>
      <c r="G24" s="2" t="n">
        <v>5000000</v>
      </c>
      <c r="H24" s="2" t="n">
        <v>12</v>
      </c>
      <c r="I24" s="2" t="inlineStr">
        <is>
          <t>Electronic KYC service for financial institutions</t>
        </is>
      </c>
    </row>
    <row r="25">
      <c r="A25" s="2" t="inlineStr">
        <is>
          <t>philippines</t>
        </is>
      </c>
      <c r="B25" s="2" t="inlineStr">
        <is>
          <t>Biometric Auth</t>
        </is>
      </c>
      <c r="C25" s="2" t="inlineStr">
        <is>
          <t>biometric</t>
        </is>
      </c>
      <c r="D25" s="2" t="inlineStr">
        <is>
          <t>Government</t>
        </is>
      </c>
      <c r="E25" s="2" t="n">
        <v>0.25</v>
      </c>
      <c r="F25" s="2" t="n">
        <v>0.08</v>
      </c>
      <c r="G25" s="2" t="n">
        <v>25000000</v>
      </c>
      <c r="H25" s="2" t="n">
        <v>5</v>
      </c>
      <c r="I25" s="2" t="inlineStr">
        <is>
          <t>Biometric authentication for government services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Month</t>
        </is>
      </c>
      <c r="B1" s="1" t="inlineStr">
        <is>
          <t>Period</t>
        </is>
      </c>
      <c r="C1" s="1" t="inlineStr">
        <is>
          <t>Country</t>
        </is>
      </c>
      <c r="D1" s="1" t="inlineStr">
        <is>
          <t>Revenue_Local</t>
        </is>
      </c>
      <c r="E1" s="1" t="inlineStr">
        <is>
          <t>Revenue_USD</t>
        </is>
      </c>
      <c r="F1" s="1" t="inlineStr">
        <is>
          <t>COGS_Local</t>
        </is>
      </c>
      <c r="G1" s="1" t="inlineStr">
        <is>
          <t>COGS_USD</t>
        </is>
      </c>
      <c r="H1" s="1" t="inlineStr">
        <is>
          <t>NetProfit_Local</t>
        </is>
      </c>
      <c r="I1" s="1" t="inlineStr">
        <is>
          <t>NetProfit_USD</t>
        </is>
      </c>
      <c r="J1" s="1" t="inlineStr">
        <is>
          <t>ProfitMargin</t>
        </is>
      </c>
      <c r="K1" s="1" t="inlineStr">
        <is>
          <t>TransactionVolume</t>
        </is>
      </c>
    </row>
    <row r="2">
      <c r="A2" s="2" t="n">
        <v>1</v>
      </c>
      <c r="B2" s="2">
        <f>IF(Dashboard!B4="1M",TEXT(DATE(YEAR(TODAY()),MONTH(TODAY())+0,1),"mmm dd"),TEXT(DATE(YEAR(TODAY()),MONTH(TODAY())+0,1),"yyyy mmm"))</f>
        <v/>
      </c>
      <c r="C2" s="2">
        <f>Dashboard!B3</f>
        <v/>
      </c>
      <c r="D2" s="6">
        <f>SUMPRODUCT((SegmentLibrary!A:A=C2),SegmentLibrary!G:G*POWER(1+SegmentLibrary!H:H/100,A2-1),SegmentLibrary!E:E,INDEX(Parameters!B:D,MOD(A2-1,12)+1,2))</f>
        <v/>
      </c>
      <c r="E2" s="7">
        <f>D2/Dashboard!B5</f>
        <v/>
      </c>
      <c r="F2" s="6">
        <f>SUMPRODUCT((SegmentLibrary!A:A=C2),SegmentLibrary!G:G*POWER(1+SegmentLibrary!H:H/100,A2-1),SegmentLibrary!F:F,INDEX(Parameters!B:D,MOD(A2-1,12)+1,2))</f>
        <v/>
      </c>
      <c r="G2" s="7">
        <f>F2/Dashboard!B5</f>
        <v/>
      </c>
      <c r="H2" s="6">
        <f>D2-F2-Parameters!B6</f>
        <v/>
      </c>
      <c r="I2" s="7">
        <f>H2/Dashboard!B5</f>
        <v/>
      </c>
      <c r="J2" s="8">
        <f>IF(D2&gt;0,H2/D2*100,0)</f>
        <v/>
      </c>
      <c r="K2" s="6">
        <f>SUMPRODUCT((SegmentLibrary!A:A=C2),SegmentLibrary!G:G*POWER(1+SegmentLibrary!H:H/100,A2-1),INDEX(Parameters!B:D,MOD(A2-1,12)+1,2))</f>
        <v/>
      </c>
    </row>
    <row r="3">
      <c r="A3" s="2" t="n">
        <v>2</v>
      </c>
      <c r="B3" s="2">
        <f>IF(Dashboard!B4="1M",TEXT(DATE(YEAR(TODAY()),MONTH(TODAY())+1,1),"mmm dd"),TEXT(DATE(YEAR(TODAY()),MONTH(TODAY())+1,1),"yyyy mmm"))</f>
        <v/>
      </c>
      <c r="C3" s="2">
        <f>Dashboard!B3</f>
        <v/>
      </c>
      <c r="D3" s="6">
        <f>SUMPRODUCT((SegmentLibrary!A:A=C3),SegmentLibrary!G:G*POWER(1+SegmentLibrary!H:H/100,A3-1),SegmentLibrary!E:E,INDEX(Parameters!B:D,MOD(A3-1,12)+1,2))</f>
        <v/>
      </c>
      <c r="E3" s="7">
        <f>D3/Dashboard!B5</f>
        <v/>
      </c>
      <c r="F3" s="6">
        <f>SUMPRODUCT((SegmentLibrary!A:A=C3),SegmentLibrary!G:G*POWER(1+SegmentLibrary!H:H/100,A3-1),SegmentLibrary!F:F,INDEX(Parameters!B:D,MOD(A3-1,12)+1,2))</f>
        <v/>
      </c>
      <c r="G3" s="7">
        <f>F3/Dashboard!B5</f>
        <v/>
      </c>
      <c r="H3" s="6">
        <f>D3-F3-Parameters!B6</f>
        <v/>
      </c>
      <c r="I3" s="7">
        <f>H3/Dashboard!B5</f>
        <v/>
      </c>
      <c r="J3" s="8">
        <f>IF(D3&gt;0,H3/D3*100,0)</f>
        <v/>
      </c>
      <c r="K3" s="6">
        <f>SUMPRODUCT((SegmentLibrary!A:A=C3),SegmentLibrary!G:G*POWER(1+SegmentLibrary!H:H/100,A3-1),INDEX(Parameters!B:D,MOD(A3-1,12)+1,2))</f>
        <v/>
      </c>
    </row>
    <row r="4">
      <c r="A4" s="2" t="n">
        <v>3</v>
      </c>
      <c r="B4" s="2">
        <f>IF(Dashboard!B4="1M",TEXT(DATE(YEAR(TODAY()),MONTH(TODAY())+2,1),"mmm dd"),TEXT(DATE(YEAR(TODAY()),MONTH(TODAY())+2,1),"yyyy mmm"))</f>
        <v/>
      </c>
      <c r="C4" s="2">
        <f>Dashboard!B3</f>
        <v/>
      </c>
      <c r="D4" s="6">
        <f>SUMPRODUCT((SegmentLibrary!A:A=C4),SegmentLibrary!G:G*POWER(1+SegmentLibrary!H:H/100,A4-1),SegmentLibrary!E:E,INDEX(Parameters!B:D,MOD(A4-1,12)+1,2))</f>
        <v/>
      </c>
      <c r="E4" s="7">
        <f>D4/Dashboard!B5</f>
        <v/>
      </c>
      <c r="F4" s="6">
        <f>SUMPRODUCT((SegmentLibrary!A:A=C4),SegmentLibrary!G:G*POWER(1+SegmentLibrary!H:H/100,A4-1),SegmentLibrary!F:F,INDEX(Parameters!B:D,MOD(A4-1,12)+1,2))</f>
        <v/>
      </c>
      <c r="G4" s="7">
        <f>F4/Dashboard!B5</f>
        <v/>
      </c>
      <c r="H4" s="6">
        <f>D4-F4-Parameters!B6</f>
        <v/>
      </c>
      <c r="I4" s="7">
        <f>H4/Dashboard!B5</f>
        <v/>
      </c>
      <c r="J4" s="8">
        <f>IF(D4&gt;0,H4/D4*100,0)</f>
        <v/>
      </c>
      <c r="K4" s="6">
        <f>SUMPRODUCT((SegmentLibrary!A:A=C4),SegmentLibrary!G:G*POWER(1+SegmentLibrary!H:H/100,A4-1),INDEX(Parameters!B:D,MOD(A4-1,12)+1,2))</f>
        <v/>
      </c>
    </row>
    <row r="5">
      <c r="A5" s="2" t="n">
        <v>4</v>
      </c>
      <c r="B5" s="2">
        <f>IF(Dashboard!B4="1M",TEXT(DATE(YEAR(TODAY()),MONTH(TODAY())+3,1),"mmm dd"),TEXT(DATE(YEAR(TODAY()),MONTH(TODAY())+3,1),"yyyy mmm"))</f>
        <v/>
      </c>
      <c r="C5" s="2">
        <f>Dashboard!B3</f>
        <v/>
      </c>
      <c r="D5" s="6">
        <f>SUMPRODUCT((SegmentLibrary!A:A=C5),SegmentLibrary!G:G*POWER(1+SegmentLibrary!H:H/100,A5-1),SegmentLibrary!E:E,INDEX(Parameters!B:D,MOD(A5-1,12)+1,2))</f>
        <v/>
      </c>
      <c r="E5" s="7">
        <f>D5/Dashboard!B5</f>
        <v/>
      </c>
      <c r="F5" s="6">
        <f>SUMPRODUCT((SegmentLibrary!A:A=C5),SegmentLibrary!G:G*POWER(1+SegmentLibrary!H:H/100,A5-1),SegmentLibrary!F:F,INDEX(Parameters!B:D,MOD(A5-1,12)+1,2))</f>
        <v/>
      </c>
      <c r="G5" s="7">
        <f>F5/Dashboard!B5</f>
        <v/>
      </c>
      <c r="H5" s="6">
        <f>D5-F5-Parameters!B6</f>
        <v/>
      </c>
      <c r="I5" s="7">
        <f>H5/Dashboard!B5</f>
        <v/>
      </c>
      <c r="J5" s="8">
        <f>IF(D5&gt;0,H5/D5*100,0)</f>
        <v/>
      </c>
      <c r="K5" s="6">
        <f>SUMPRODUCT((SegmentLibrary!A:A=C5),SegmentLibrary!G:G*POWER(1+SegmentLibrary!H:H/100,A5-1),INDEX(Parameters!B:D,MOD(A5-1,12)+1,2))</f>
        <v/>
      </c>
    </row>
    <row r="6">
      <c r="A6" s="2" t="n">
        <v>5</v>
      </c>
      <c r="B6" s="2">
        <f>IF(Dashboard!B4="1M",TEXT(DATE(YEAR(TODAY()),MONTH(TODAY())+4,1),"mmm dd"),TEXT(DATE(YEAR(TODAY()),MONTH(TODAY())+4,1),"yyyy mmm"))</f>
        <v/>
      </c>
      <c r="C6" s="2">
        <f>Dashboard!B3</f>
        <v/>
      </c>
      <c r="D6" s="6">
        <f>SUMPRODUCT((SegmentLibrary!A:A=C6),SegmentLibrary!G:G*POWER(1+SegmentLibrary!H:H/100,A6-1),SegmentLibrary!E:E,INDEX(Parameters!B:D,MOD(A6-1,12)+1,2))</f>
        <v/>
      </c>
      <c r="E6" s="7">
        <f>D6/Dashboard!B5</f>
        <v/>
      </c>
      <c r="F6" s="6">
        <f>SUMPRODUCT((SegmentLibrary!A:A=C6),SegmentLibrary!G:G*POWER(1+SegmentLibrary!H:H/100,A6-1),SegmentLibrary!F:F,INDEX(Parameters!B:D,MOD(A6-1,12)+1,2))</f>
        <v/>
      </c>
      <c r="G6" s="7">
        <f>F6/Dashboard!B5</f>
        <v/>
      </c>
      <c r="H6" s="6">
        <f>D6-F6-Parameters!B6</f>
        <v/>
      </c>
      <c r="I6" s="7">
        <f>H6/Dashboard!B5</f>
        <v/>
      </c>
      <c r="J6" s="8">
        <f>IF(D6&gt;0,H6/D6*100,0)</f>
        <v/>
      </c>
      <c r="K6" s="6">
        <f>SUMPRODUCT((SegmentLibrary!A:A=C6),SegmentLibrary!G:G*POWER(1+SegmentLibrary!H:H/100,A6-1),INDEX(Parameters!B:D,MOD(A6-1,12)+1,2))</f>
        <v/>
      </c>
    </row>
    <row r="7">
      <c r="A7" s="2" t="n">
        <v>6</v>
      </c>
      <c r="B7" s="2">
        <f>IF(Dashboard!B4="1M",TEXT(DATE(YEAR(TODAY()),MONTH(TODAY())+5,1),"mmm dd"),TEXT(DATE(YEAR(TODAY()),MONTH(TODAY())+5,1),"yyyy mmm"))</f>
        <v/>
      </c>
      <c r="C7" s="2">
        <f>Dashboard!B3</f>
        <v/>
      </c>
      <c r="D7" s="6">
        <f>SUMPRODUCT((SegmentLibrary!A:A=C7),SegmentLibrary!G:G*POWER(1+SegmentLibrary!H:H/100,A7-1),SegmentLibrary!E:E,INDEX(Parameters!B:D,MOD(A7-1,12)+1,2))</f>
        <v/>
      </c>
      <c r="E7" s="7">
        <f>D7/Dashboard!B5</f>
        <v/>
      </c>
      <c r="F7" s="6">
        <f>SUMPRODUCT((SegmentLibrary!A:A=C7),SegmentLibrary!G:G*POWER(1+SegmentLibrary!H:H/100,A7-1),SegmentLibrary!F:F,INDEX(Parameters!B:D,MOD(A7-1,12)+1,2))</f>
        <v/>
      </c>
      <c r="G7" s="7">
        <f>F7/Dashboard!B5</f>
        <v/>
      </c>
      <c r="H7" s="6">
        <f>D7-F7-Parameters!B6</f>
        <v/>
      </c>
      <c r="I7" s="7">
        <f>H7/Dashboard!B5</f>
        <v/>
      </c>
      <c r="J7" s="8">
        <f>IF(D7&gt;0,H7/D7*100,0)</f>
        <v/>
      </c>
      <c r="K7" s="6">
        <f>SUMPRODUCT((SegmentLibrary!A:A=C7),SegmentLibrary!G:G*POWER(1+SegmentLibrary!H:H/100,A7-1),INDEX(Parameters!B:D,MOD(A7-1,12)+1,2))</f>
        <v/>
      </c>
    </row>
    <row r="8">
      <c r="A8" s="2" t="n">
        <v>7</v>
      </c>
      <c r="B8" s="2">
        <f>IF(Dashboard!B4="1M",TEXT(DATE(YEAR(TODAY()),MONTH(TODAY())+6,1),"mmm dd"),TEXT(DATE(YEAR(TODAY()),MONTH(TODAY())+6,1),"yyyy mmm"))</f>
        <v/>
      </c>
      <c r="C8" s="2">
        <f>Dashboard!B3</f>
        <v/>
      </c>
      <c r="D8" s="6">
        <f>SUMPRODUCT((SegmentLibrary!A:A=C8),SegmentLibrary!G:G*POWER(1+SegmentLibrary!H:H/100,A8-1),SegmentLibrary!E:E,INDEX(Parameters!B:D,MOD(A8-1,12)+1,2))</f>
        <v/>
      </c>
      <c r="E8" s="7">
        <f>D8/Dashboard!B5</f>
        <v/>
      </c>
      <c r="F8" s="6">
        <f>SUMPRODUCT((SegmentLibrary!A:A=C8),SegmentLibrary!G:G*POWER(1+SegmentLibrary!H:H/100,A8-1),SegmentLibrary!F:F,INDEX(Parameters!B:D,MOD(A8-1,12)+1,2))</f>
        <v/>
      </c>
      <c r="G8" s="7">
        <f>F8/Dashboard!B5</f>
        <v/>
      </c>
      <c r="H8" s="6">
        <f>D8-F8-Parameters!B6</f>
        <v/>
      </c>
      <c r="I8" s="7">
        <f>H8/Dashboard!B5</f>
        <v/>
      </c>
      <c r="J8" s="8">
        <f>IF(D8&gt;0,H8/D8*100,0)</f>
        <v/>
      </c>
      <c r="K8" s="6">
        <f>SUMPRODUCT((SegmentLibrary!A:A=C8),SegmentLibrary!G:G*POWER(1+SegmentLibrary!H:H/100,A8-1),INDEX(Parameters!B:D,MOD(A8-1,12)+1,2))</f>
        <v/>
      </c>
    </row>
    <row r="9">
      <c r="A9" s="2" t="n">
        <v>8</v>
      </c>
      <c r="B9" s="2">
        <f>IF(Dashboard!B4="1M",TEXT(DATE(YEAR(TODAY()),MONTH(TODAY())+7,1),"mmm dd"),TEXT(DATE(YEAR(TODAY()),MONTH(TODAY())+7,1),"yyyy mmm"))</f>
        <v/>
      </c>
      <c r="C9" s="2">
        <f>Dashboard!B3</f>
        <v/>
      </c>
      <c r="D9" s="6">
        <f>SUMPRODUCT((SegmentLibrary!A:A=C9),SegmentLibrary!G:G*POWER(1+SegmentLibrary!H:H/100,A9-1),SegmentLibrary!E:E,INDEX(Parameters!B:D,MOD(A9-1,12)+1,2))</f>
        <v/>
      </c>
      <c r="E9" s="7">
        <f>D9/Dashboard!B5</f>
        <v/>
      </c>
      <c r="F9" s="6">
        <f>SUMPRODUCT((SegmentLibrary!A:A=C9),SegmentLibrary!G:G*POWER(1+SegmentLibrary!H:H/100,A9-1),SegmentLibrary!F:F,INDEX(Parameters!B:D,MOD(A9-1,12)+1,2))</f>
        <v/>
      </c>
      <c r="G9" s="7">
        <f>F9/Dashboard!B5</f>
        <v/>
      </c>
      <c r="H9" s="6">
        <f>D9-F9-Parameters!B6</f>
        <v/>
      </c>
      <c r="I9" s="7">
        <f>H9/Dashboard!B5</f>
        <v/>
      </c>
      <c r="J9" s="8">
        <f>IF(D9&gt;0,H9/D9*100,0)</f>
        <v/>
      </c>
      <c r="K9" s="6">
        <f>SUMPRODUCT((SegmentLibrary!A:A=C9),SegmentLibrary!G:G*POWER(1+SegmentLibrary!H:H/100,A9-1),INDEX(Parameters!B:D,MOD(A9-1,12)+1,2))</f>
        <v/>
      </c>
    </row>
    <row r="10">
      <c r="A10" s="2" t="n">
        <v>9</v>
      </c>
      <c r="B10" s="2">
        <f>IF(Dashboard!B4="1M",TEXT(DATE(YEAR(TODAY()),MONTH(TODAY())+8,1),"mmm dd"),TEXT(DATE(YEAR(TODAY()),MONTH(TODAY())+8,1),"yyyy mmm"))</f>
        <v/>
      </c>
      <c r="C10" s="2">
        <f>Dashboard!B3</f>
        <v/>
      </c>
      <c r="D10" s="6">
        <f>SUMPRODUCT((SegmentLibrary!A:A=C10),SegmentLibrary!G:G*POWER(1+SegmentLibrary!H:H/100,A10-1),SegmentLibrary!E:E,INDEX(Parameters!B:D,MOD(A10-1,12)+1,2))</f>
        <v/>
      </c>
      <c r="E10" s="7">
        <f>D10/Dashboard!B5</f>
        <v/>
      </c>
      <c r="F10" s="6">
        <f>SUMPRODUCT((SegmentLibrary!A:A=C10),SegmentLibrary!G:G*POWER(1+SegmentLibrary!H:H/100,A10-1),SegmentLibrary!F:F,INDEX(Parameters!B:D,MOD(A10-1,12)+1,2))</f>
        <v/>
      </c>
      <c r="G10" s="7">
        <f>F10/Dashboard!B5</f>
        <v/>
      </c>
      <c r="H10" s="6">
        <f>D10-F10-Parameters!B6</f>
        <v/>
      </c>
      <c r="I10" s="7">
        <f>H10/Dashboard!B5</f>
        <v/>
      </c>
      <c r="J10" s="8">
        <f>IF(D10&gt;0,H10/D10*100,0)</f>
        <v/>
      </c>
      <c r="K10" s="6">
        <f>SUMPRODUCT((SegmentLibrary!A:A=C10),SegmentLibrary!G:G*POWER(1+SegmentLibrary!H:H/100,A10-1),INDEX(Parameters!B:D,MOD(A10-1,12)+1,2))</f>
        <v/>
      </c>
    </row>
    <row r="11">
      <c r="A11" s="2" t="n">
        <v>10</v>
      </c>
      <c r="B11" s="2">
        <f>IF(Dashboard!B4="1M",TEXT(DATE(YEAR(TODAY()),MONTH(TODAY())+9,1),"mmm dd"),TEXT(DATE(YEAR(TODAY()),MONTH(TODAY())+9,1),"yyyy mmm"))</f>
        <v/>
      </c>
      <c r="C11" s="2">
        <f>Dashboard!B3</f>
        <v/>
      </c>
      <c r="D11" s="6">
        <f>SUMPRODUCT((SegmentLibrary!A:A=C11),SegmentLibrary!G:G*POWER(1+SegmentLibrary!H:H/100,A11-1),SegmentLibrary!E:E,INDEX(Parameters!B:D,MOD(A11-1,12)+1,2))</f>
        <v/>
      </c>
      <c r="E11" s="7">
        <f>D11/Dashboard!B5</f>
        <v/>
      </c>
      <c r="F11" s="6">
        <f>SUMPRODUCT((SegmentLibrary!A:A=C11),SegmentLibrary!G:G*POWER(1+SegmentLibrary!H:H/100,A11-1),SegmentLibrary!F:F,INDEX(Parameters!B:D,MOD(A11-1,12)+1,2))</f>
        <v/>
      </c>
      <c r="G11" s="7">
        <f>F11/Dashboard!B5</f>
        <v/>
      </c>
      <c r="H11" s="6">
        <f>D11-F11-Parameters!B6</f>
        <v/>
      </c>
      <c r="I11" s="7">
        <f>H11/Dashboard!B5</f>
        <v/>
      </c>
      <c r="J11" s="8">
        <f>IF(D11&gt;0,H11/D11*100,0)</f>
        <v/>
      </c>
      <c r="K11" s="6">
        <f>SUMPRODUCT((SegmentLibrary!A:A=C11),SegmentLibrary!G:G*POWER(1+SegmentLibrary!H:H/100,A11-1),INDEX(Parameters!B:D,MOD(A11-1,12)+1,2))</f>
        <v/>
      </c>
    </row>
    <row r="12">
      <c r="A12" s="2" t="n">
        <v>11</v>
      </c>
      <c r="B12" s="2">
        <f>IF(Dashboard!B4="1M",TEXT(DATE(YEAR(TODAY()),MONTH(TODAY())+10,1),"mmm dd"),TEXT(DATE(YEAR(TODAY()),MONTH(TODAY())+10,1),"yyyy mmm"))</f>
        <v/>
      </c>
      <c r="C12" s="2">
        <f>Dashboard!B3</f>
        <v/>
      </c>
      <c r="D12" s="6">
        <f>SUMPRODUCT((SegmentLibrary!A:A=C12),SegmentLibrary!G:G*POWER(1+SegmentLibrary!H:H/100,A12-1),SegmentLibrary!E:E,INDEX(Parameters!B:D,MOD(A12-1,12)+1,2))</f>
        <v/>
      </c>
      <c r="E12" s="7">
        <f>D12/Dashboard!B5</f>
        <v/>
      </c>
      <c r="F12" s="6">
        <f>SUMPRODUCT((SegmentLibrary!A:A=C12),SegmentLibrary!G:G*POWER(1+SegmentLibrary!H:H/100,A12-1),SegmentLibrary!F:F,INDEX(Parameters!B:D,MOD(A12-1,12)+1,2))</f>
        <v/>
      </c>
      <c r="G12" s="7">
        <f>F12/Dashboard!B5</f>
        <v/>
      </c>
      <c r="H12" s="6">
        <f>D12-F12-Parameters!B6</f>
        <v/>
      </c>
      <c r="I12" s="7">
        <f>H12/Dashboard!B5</f>
        <v/>
      </c>
      <c r="J12" s="8">
        <f>IF(D12&gt;0,H12/D12*100,0)</f>
        <v/>
      </c>
      <c r="K12" s="6">
        <f>SUMPRODUCT((SegmentLibrary!A:A=C12),SegmentLibrary!G:G*POWER(1+SegmentLibrary!H:H/100,A12-1),INDEX(Parameters!B:D,MOD(A12-1,12)+1,2))</f>
        <v/>
      </c>
    </row>
    <row r="13">
      <c r="A13" s="2" t="n">
        <v>12</v>
      </c>
      <c r="B13" s="2">
        <f>IF(Dashboard!B4="1M",TEXT(DATE(YEAR(TODAY()),MONTH(TODAY())+11,1),"mmm dd"),TEXT(DATE(YEAR(TODAY()),MONTH(TODAY())+11,1),"yyyy mmm"))</f>
        <v/>
      </c>
      <c r="C13" s="2">
        <f>Dashboard!B3</f>
        <v/>
      </c>
      <c r="D13" s="6">
        <f>SUMPRODUCT((SegmentLibrary!A:A=C13),SegmentLibrary!G:G*POWER(1+SegmentLibrary!H:H/100,A13-1),SegmentLibrary!E:E,INDEX(Parameters!B:D,MOD(A13-1,12)+1,2))</f>
        <v/>
      </c>
      <c r="E13" s="7">
        <f>D13/Dashboard!B5</f>
        <v/>
      </c>
      <c r="F13" s="6">
        <f>SUMPRODUCT((SegmentLibrary!A:A=C13),SegmentLibrary!G:G*POWER(1+SegmentLibrary!H:H/100,A13-1),SegmentLibrary!F:F,INDEX(Parameters!B:D,MOD(A13-1,12)+1,2))</f>
        <v/>
      </c>
      <c r="G13" s="7">
        <f>F13/Dashboard!B5</f>
        <v/>
      </c>
      <c r="H13" s="6">
        <f>D13-F13-Parameters!B6</f>
        <v/>
      </c>
      <c r="I13" s="7">
        <f>H13/Dashboard!B5</f>
        <v/>
      </c>
      <c r="J13" s="8">
        <f>IF(D13&gt;0,H13/D13*100,0)</f>
        <v/>
      </c>
      <c r="K13" s="6">
        <f>SUMPRODUCT((SegmentLibrary!A:A=C13),SegmentLibrary!G:G*POWER(1+SegmentLibrary!H:H/100,A13-1),INDEX(Parameters!B:D,MOD(A13-1,12)+1,2))</f>
        <v/>
      </c>
    </row>
    <row r="14">
      <c r="A14" s="2" t="n">
        <v>13</v>
      </c>
      <c r="B14" s="2">
        <f>IF(Dashboard!B4="1M",TEXT(DATE(YEAR(TODAY()),MONTH(TODAY())+12,1),"mmm dd"),TEXT(DATE(YEAR(TODAY()),MONTH(TODAY())+12,1),"yyyy mmm"))</f>
        <v/>
      </c>
      <c r="C14" s="2">
        <f>Dashboard!B3</f>
        <v/>
      </c>
      <c r="D14" s="6">
        <f>SUMPRODUCT((SegmentLibrary!A:A=C14),SegmentLibrary!G:G*POWER(1+SegmentLibrary!H:H/100,A14-1),SegmentLibrary!E:E,INDEX(Parameters!B:D,MOD(A14-1,12)+1,2))</f>
        <v/>
      </c>
      <c r="E14" s="7">
        <f>D14/Dashboard!B5</f>
        <v/>
      </c>
      <c r="F14" s="6">
        <f>SUMPRODUCT((SegmentLibrary!A:A=C14),SegmentLibrary!G:G*POWER(1+SegmentLibrary!H:H/100,A14-1),SegmentLibrary!F:F,INDEX(Parameters!B:D,MOD(A14-1,12)+1,2))</f>
        <v/>
      </c>
      <c r="G14" s="7">
        <f>F14/Dashboard!B5</f>
        <v/>
      </c>
      <c r="H14" s="6">
        <f>D14-F14-Parameters!B6</f>
        <v/>
      </c>
      <c r="I14" s="7">
        <f>H14/Dashboard!B5</f>
        <v/>
      </c>
      <c r="J14" s="8">
        <f>IF(D14&gt;0,H14/D14*100,0)</f>
        <v/>
      </c>
      <c r="K14" s="6">
        <f>SUMPRODUCT((SegmentLibrary!A:A=C14),SegmentLibrary!G:G*POWER(1+SegmentLibrary!H:H/100,A14-1),INDEX(Parameters!B:D,MOD(A14-1,12)+1,2))</f>
        <v/>
      </c>
    </row>
    <row r="15">
      <c r="A15" s="2" t="n">
        <v>14</v>
      </c>
      <c r="B15" s="2">
        <f>IF(Dashboard!B4="1M",TEXT(DATE(YEAR(TODAY()),MONTH(TODAY())+13,1),"mmm dd"),TEXT(DATE(YEAR(TODAY()),MONTH(TODAY())+13,1),"yyyy mmm"))</f>
        <v/>
      </c>
      <c r="C15" s="2">
        <f>Dashboard!B3</f>
        <v/>
      </c>
      <c r="D15" s="6">
        <f>SUMPRODUCT((SegmentLibrary!A:A=C15),SegmentLibrary!G:G*POWER(1+SegmentLibrary!H:H/100,A15-1),SegmentLibrary!E:E,INDEX(Parameters!B:D,MOD(A15-1,12)+1,2))</f>
        <v/>
      </c>
      <c r="E15" s="7">
        <f>D15/Dashboard!B5</f>
        <v/>
      </c>
      <c r="F15" s="6">
        <f>SUMPRODUCT((SegmentLibrary!A:A=C15),SegmentLibrary!G:G*POWER(1+SegmentLibrary!H:H/100,A15-1),SegmentLibrary!F:F,INDEX(Parameters!B:D,MOD(A15-1,12)+1,2))</f>
        <v/>
      </c>
      <c r="G15" s="7">
        <f>F15/Dashboard!B5</f>
        <v/>
      </c>
      <c r="H15" s="6">
        <f>D15-F15-Parameters!B6</f>
        <v/>
      </c>
      <c r="I15" s="7">
        <f>H15/Dashboard!B5</f>
        <v/>
      </c>
      <c r="J15" s="8">
        <f>IF(D15&gt;0,H15/D15*100,0)</f>
        <v/>
      </c>
      <c r="K15" s="6">
        <f>SUMPRODUCT((SegmentLibrary!A:A=C15),SegmentLibrary!G:G*POWER(1+SegmentLibrary!H:H/100,A15-1),INDEX(Parameters!B:D,MOD(A15-1,12)+1,2))</f>
        <v/>
      </c>
    </row>
    <row r="16">
      <c r="A16" s="2" t="n">
        <v>15</v>
      </c>
      <c r="B16" s="2">
        <f>IF(Dashboard!B4="1M",TEXT(DATE(YEAR(TODAY()),MONTH(TODAY())+14,1),"mmm dd"),TEXT(DATE(YEAR(TODAY()),MONTH(TODAY())+14,1),"yyyy mmm"))</f>
        <v/>
      </c>
      <c r="C16" s="2">
        <f>Dashboard!B3</f>
        <v/>
      </c>
      <c r="D16" s="6">
        <f>SUMPRODUCT((SegmentLibrary!A:A=C16),SegmentLibrary!G:G*POWER(1+SegmentLibrary!H:H/100,A16-1),SegmentLibrary!E:E,INDEX(Parameters!B:D,MOD(A16-1,12)+1,2))</f>
        <v/>
      </c>
      <c r="E16" s="7">
        <f>D16/Dashboard!B5</f>
        <v/>
      </c>
      <c r="F16" s="6">
        <f>SUMPRODUCT((SegmentLibrary!A:A=C16),SegmentLibrary!G:G*POWER(1+SegmentLibrary!H:H/100,A16-1),SegmentLibrary!F:F,INDEX(Parameters!B:D,MOD(A16-1,12)+1,2))</f>
        <v/>
      </c>
      <c r="G16" s="7">
        <f>F16/Dashboard!B5</f>
        <v/>
      </c>
      <c r="H16" s="6">
        <f>D16-F16-Parameters!B6</f>
        <v/>
      </c>
      <c r="I16" s="7">
        <f>H16/Dashboard!B5</f>
        <v/>
      </c>
      <c r="J16" s="8">
        <f>IF(D16&gt;0,H16/D16*100,0)</f>
        <v/>
      </c>
      <c r="K16" s="6">
        <f>SUMPRODUCT((SegmentLibrary!A:A=C16),SegmentLibrary!G:G*POWER(1+SegmentLibrary!H:H/100,A16-1),INDEX(Parameters!B:D,MOD(A16-1,12)+1,2))</f>
        <v/>
      </c>
    </row>
    <row r="17">
      <c r="A17" s="2" t="n">
        <v>16</v>
      </c>
      <c r="B17" s="2">
        <f>IF(Dashboard!B4="1M",TEXT(DATE(YEAR(TODAY()),MONTH(TODAY())+15,1),"mmm dd"),TEXT(DATE(YEAR(TODAY()),MONTH(TODAY())+15,1),"yyyy mmm"))</f>
        <v/>
      </c>
      <c r="C17" s="2">
        <f>Dashboard!B3</f>
        <v/>
      </c>
      <c r="D17" s="6">
        <f>SUMPRODUCT((SegmentLibrary!A:A=C17),SegmentLibrary!G:G*POWER(1+SegmentLibrary!H:H/100,A17-1),SegmentLibrary!E:E,INDEX(Parameters!B:D,MOD(A17-1,12)+1,2))</f>
        <v/>
      </c>
      <c r="E17" s="7">
        <f>D17/Dashboard!B5</f>
        <v/>
      </c>
      <c r="F17" s="6">
        <f>SUMPRODUCT((SegmentLibrary!A:A=C17),SegmentLibrary!G:G*POWER(1+SegmentLibrary!H:H/100,A17-1),SegmentLibrary!F:F,INDEX(Parameters!B:D,MOD(A17-1,12)+1,2))</f>
        <v/>
      </c>
      <c r="G17" s="7">
        <f>F17/Dashboard!B5</f>
        <v/>
      </c>
      <c r="H17" s="6">
        <f>D17-F17-Parameters!B6</f>
        <v/>
      </c>
      <c r="I17" s="7">
        <f>H17/Dashboard!B5</f>
        <v/>
      </c>
      <c r="J17" s="8">
        <f>IF(D17&gt;0,H17/D17*100,0)</f>
        <v/>
      </c>
      <c r="K17" s="6">
        <f>SUMPRODUCT((SegmentLibrary!A:A=C17),SegmentLibrary!G:G*POWER(1+SegmentLibrary!H:H/100,A17-1),INDEX(Parameters!B:D,MOD(A17-1,12)+1,2))</f>
        <v/>
      </c>
    </row>
    <row r="18">
      <c r="A18" s="2" t="n">
        <v>17</v>
      </c>
      <c r="B18" s="2">
        <f>IF(Dashboard!B4="1M",TEXT(DATE(YEAR(TODAY()),MONTH(TODAY())+16,1),"mmm dd"),TEXT(DATE(YEAR(TODAY()),MONTH(TODAY())+16,1),"yyyy mmm"))</f>
        <v/>
      </c>
      <c r="C18" s="2">
        <f>Dashboard!B3</f>
        <v/>
      </c>
      <c r="D18" s="6">
        <f>SUMPRODUCT((SegmentLibrary!A:A=C18),SegmentLibrary!G:G*POWER(1+SegmentLibrary!H:H/100,A18-1),SegmentLibrary!E:E,INDEX(Parameters!B:D,MOD(A18-1,12)+1,2))</f>
        <v/>
      </c>
      <c r="E18" s="7">
        <f>D18/Dashboard!B5</f>
        <v/>
      </c>
      <c r="F18" s="6">
        <f>SUMPRODUCT((SegmentLibrary!A:A=C18),SegmentLibrary!G:G*POWER(1+SegmentLibrary!H:H/100,A18-1),SegmentLibrary!F:F,INDEX(Parameters!B:D,MOD(A18-1,12)+1,2))</f>
        <v/>
      </c>
      <c r="G18" s="7">
        <f>F18/Dashboard!B5</f>
        <v/>
      </c>
      <c r="H18" s="6">
        <f>D18-F18-Parameters!B6</f>
        <v/>
      </c>
      <c r="I18" s="7">
        <f>H18/Dashboard!B5</f>
        <v/>
      </c>
      <c r="J18" s="8">
        <f>IF(D18&gt;0,H18/D18*100,0)</f>
        <v/>
      </c>
      <c r="K18" s="6">
        <f>SUMPRODUCT((SegmentLibrary!A:A=C18),SegmentLibrary!G:G*POWER(1+SegmentLibrary!H:H/100,A18-1),INDEX(Parameters!B:D,MOD(A18-1,12)+1,2))</f>
        <v/>
      </c>
    </row>
    <row r="19">
      <c r="A19" s="2" t="n">
        <v>18</v>
      </c>
      <c r="B19" s="2">
        <f>IF(Dashboard!B4="1M",TEXT(DATE(YEAR(TODAY()),MONTH(TODAY())+17,1),"mmm dd"),TEXT(DATE(YEAR(TODAY()),MONTH(TODAY())+17,1),"yyyy mmm"))</f>
        <v/>
      </c>
      <c r="C19" s="2">
        <f>Dashboard!B3</f>
        <v/>
      </c>
      <c r="D19" s="6">
        <f>SUMPRODUCT((SegmentLibrary!A:A=C19),SegmentLibrary!G:G*POWER(1+SegmentLibrary!H:H/100,A19-1),SegmentLibrary!E:E,INDEX(Parameters!B:D,MOD(A19-1,12)+1,2))</f>
        <v/>
      </c>
      <c r="E19" s="7">
        <f>D19/Dashboard!B5</f>
        <v/>
      </c>
      <c r="F19" s="6">
        <f>SUMPRODUCT((SegmentLibrary!A:A=C19),SegmentLibrary!G:G*POWER(1+SegmentLibrary!H:H/100,A19-1),SegmentLibrary!F:F,INDEX(Parameters!B:D,MOD(A19-1,12)+1,2))</f>
        <v/>
      </c>
      <c r="G19" s="7">
        <f>F19/Dashboard!B5</f>
        <v/>
      </c>
      <c r="H19" s="6">
        <f>D19-F19-Parameters!B6</f>
        <v/>
      </c>
      <c r="I19" s="7">
        <f>H19/Dashboard!B5</f>
        <v/>
      </c>
      <c r="J19" s="8">
        <f>IF(D19&gt;0,H19/D19*100,0)</f>
        <v/>
      </c>
      <c r="K19" s="6">
        <f>SUMPRODUCT((SegmentLibrary!A:A=C19),SegmentLibrary!G:G*POWER(1+SegmentLibrary!H:H/100,A19-1),INDEX(Parameters!B:D,MOD(A19-1,12)+1,2))</f>
        <v/>
      </c>
    </row>
    <row r="20">
      <c r="A20" s="2" t="n">
        <v>19</v>
      </c>
      <c r="B20" s="2">
        <f>IF(Dashboard!B4="1M",TEXT(DATE(YEAR(TODAY()),MONTH(TODAY())+18,1),"mmm dd"),TEXT(DATE(YEAR(TODAY()),MONTH(TODAY())+18,1),"yyyy mmm"))</f>
        <v/>
      </c>
      <c r="C20" s="2">
        <f>Dashboard!B3</f>
        <v/>
      </c>
      <c r="D20" s="6">
        <f>SUMPRODUCT((SegmentLibrary!A:A=C20),SegmentLibrary!G:G*POWER(1+SegmentLibrary!H:H/100,A20-1),SegmentLibrary!E:E,INDEX(Parameters!B:D,MOD(A20-1,12)+1,2))</f>
        <v/>
      </c>
      <c r="E20" s="7">
        <f>D20/Dashboard!B5</f>
        <v/>
      </c>
      <c r="F20" s="6">
        <f>SUMPRODUCT((SegmentLibrary!A:A=C20),SegmentLibrary!G:G*POWER(1+SegmentLibrary!H:H/100,A20-1),SegmentLibrary!F:F,INDEX(Parameters!B:D,MOD(A20-1,12)+1,2))</f>
        <v/>
      </c>
      <c r="G20" s="7">
        <f>F20/Dashboard!B5</f>
        <v/>
      </c>
      <c r="H20" s="6">
        <f>D20-F20-Parameters!B6</f>
        <v/>
      </c>
      <c r="I20" s="7">
        <f>H20/Dashboard!B5</f>
        <v/>
      </c>
      <c r="J20" s="8">
        <f>IF(D20&gt;0,H20/D20*100,0)</f>
        <v/>
      </c>
      <c r="K20" s="6">
        <f>SUMPRODUCT((SegmentLibrary!A:A=C20),SegmentLibrary!G:G*POWER(1+SegmentLibrary!H:H/100,A20-1),INDEX(Parameters!B:D,MOD(A20-1,12)+1,2))</f>
        <v/>
      </c>
    </row>
    <row r="21">
      <c r="A21" s="2" t="n">
        <v>20</v>
      </c>
      <c r="B21" s="2">
        <f>IF(Dashboard!B4="1M",TEXT(DATE(YEAR(TODAY()),MONTH(TODAY())+19,1),"mmm dd"),TEXT(DATE(YEAR(TODAY()),MONTH(TODAY())+19,1),"yyyy mmm"))</f>
        <v/>
      </c>
      <c r="C21" s="2">
        <f>Dashboard!B3</f>
        <v/>
      </c>
      <c r="D21" s="6">
        <f>SUMPRODUCT((SegmentLibrary!A:A=C21),SegmentLibrary!G:G*POWER(1+SegmentLibrary!H:H/100,A21-1),SegmentLibrary!E:E,INDEX(Parameters!B:D,MOD(A21-1,12)+1,2))</f>
        <v/>
      </c>
      <c r="E21" s="7">
        <f>D21/Dashboard!B5</f>
        <v/>
      </c>
      <c r="F21" s="6">
        <f>SUMPRODUCT((SegmentLibrary!A:A=C21),SegmentLibrary!G:G*POWER(1+SegmentLibrary!H:H/100,A21-1),SegmentLibrary!F:F,INDEX(Parameters!B:D,MOD(A21-1,12)+1,2))</f>
        <v/>
      </c>
      <c r="G21" s="7">
        <f>F21/Dashboard!B5</f>
        <v/>
      </c>
      <c r="H21" s="6">
        <f>D21-F21-Parameters!B6</f>
        <v/>
      </c>
      <c r="I21" s="7">
        <f>H21/Dashboard!B5</f>
        <v/>
      </c>
      <c r="J21" s="8">
        <f>IF(D21&gt;0,H21/D21*100,0)</f>
        <v/>
      </c>
      <c r="K21" s="6">
        <f>SUMPRODUCT((SegmentLibrary!A:A=C21),SegmentLibrary!G:G*POWER(1+SegmentLibrary!H:H/100,A21-1),INDEX(Parameters!B:D,MOD(A21-1,12)+1,2))</f>
        <v/>
      </c>
    </row>
    <row r="22">
      <c r="A22" s="2" t="n">
        <v>21</v>
      </c>
      <c r="B22" s="2">
        <f>IF(Dashboard!B4="1M",TEXT(DATE(YEAR(TODAY()),MONTH(TODAY())+20,1),"mmm dd"),TEXT(DATE(YEAR(TODAY()),MONTH(TODAY())+20,1),"yyyy mmm"))</f>
        <v/>
      </c>
      <c r="C22" s="2">
        <f>Dashboard!B3</f>
        <v/>
      </c>
      <c r="D22" s="6">
        <f>SUMPRODUCT((SegmentLibrary!A:A=C22),SegmentLibrary!G:G*POWER(1+SegmentLibrary!H:H/100,A22-1),SegmentLibrary!E:E,INDEX(Parameters!B:D,MOD(A22-1,12)+1,2))</f>
        <v/>
      </c>
      <c r="E22" s="7">
        <f>D22/Dashboard!B5</f>
        <v/>
      </c>
      <c r="F22" s="6">
        <f>SUMPRODUCT((SegmentLibrary!A:A=C22),SegmentLibrary!G:G*POWER(1+SegmentLibrary!H:H/100,A22-1),SegmentLibrary!F:F,INDEX(Parameters!B:D,MOD(A22-1,12)+1,2))</f>
        <v/>
      </c>
      <c r="G22" s="7">
        <f>F22/Dashboard!B5</f>
        <v/>
      </c>
      <c r="H22" s="6">
        <f>D22-F22-Parameters!B6</f>
        <v/>
      </c>
      <c r="I22" s="7">
        <f>H22/Dashboard!B5</f>
        <v/>
      </c>
      <c r="J22" s="8">
        <f>IF(D22&gt;0,H22/D22*100,0)</f>
        <v/>
      </c>
      <c r="K22" s="6">
        <f>SUMPRODUCT((SegmentLibrary!A:A=C22),SegmentLibrary!G:G*POWER(1+SegmentLibrary!H:H/100,A22-1),INDEX(Parameters!B:D,MOD(A22-1,12)+1,2))</f>
        <v/>
      </c>
    </row>
    <row r="23">
      <c r="A23" s="2" t="n">
        <v>22</v>
      </c>
      <c r="B23" s="2">
        <f>IF(Dashboard!B4="1M",TEXT(DATE(YEAR(TODAY()),MONTH(TODAY())+21,1),"mmm dd"),TEXT(DATE(YEAR(TODAY()),MONTH(TODAY())+21,1),"yyyy mmm"))</f>
        <v/>
      </c>
      <c r="C23" s="2">
        <f>Dashboard!B3</f>
        <v/>
      </c>
      <c r="D23" s="6">
        <f>SUMPRODUCT((SegmentLibrary!A:A=C23),SegmentLibrary!G:G*POWER(1+SegmentLibrary!H:H/100,A23-1),SegmentLibrary!E:E,INDEX(Parameters!B:D,MOD(A23-1,12)+1,2))</f>
        <v/>
      </c>
      <c r="E23" s="7">
        <f>D23/Dashboard!B5</f>
        <v/>
      </c>
      <c r="F23" s="6">
        <f>SUMPRODUCT((SegmentLibrary!A:A=C23),SegmentLibrary!G:G*POWER(1+SegmentLibrary!H:H/100,A23-1),SegmentLibrary!F:F,INDEX(Parameters!B:D,MOD(A23-1,12)+1,2))</f>
        <v/>
      </c>
      <c r="G23" s="7">
        <f>F23/Dashboard!B5</f>
        <v/>
      </c>
      <c r="H23" s="6">
        <f>D23-F23-Parameters!B6</f>
        <v/>
      </c>
      <c r="I23" s="7">
        <f>H23/Dashboard!B5</f>
        <v/>
      </c>
      <c r="J23" s="8">
        <f>IF(D23&gt;0,H23/D23*100,0)</f>
        <v/>
      </c>
      <c r="K23" s="6">
        <f>SUMPRODUCT((SegmentLibrary!A:A=C23),SegmentLibrary!G:G*POWER(1+SegmentLibrary!H:H/100,A23-1),INDEX(Parameters!B:D,MOD(A23-1,12)+1,2))</f>
        <v/>
      </c>
    </row>
    <row r="24">
      <c r="A24" s="2" t="n">
        <v>23</v>
      </c>
      <c r="B24" s="2">
        <f>IF(Dashboard!B4="1M",TEXT(DATE(YEAR(TODAY()),MONTH(TODAY())+22,1),"mmm dd"),TEXT(DATE(YEAR(TODAY()),MONTH(TODAY())+22,1),"yyyy mmm"))</f>
        <v/>
      </c>
      <c r="C24" s="2">
        <f>Dashboard!B3</f>
        <v/>
      </c>
      <c r="D24" s="6">
        <f>SUMPRODUCT((SegmentLibrary!A:A=C24),SegmentLibrary!G:G*POWER(1+SegmentLibrary!H:H/100,A24-1),SegmentLibrary!E:E,INDEX(Parameters!B:D,MOD(A24-1,12)+1,2))</f>
        <v/>
      </c>
      <c r="E24" s="7">
        <f>D24/Dashboard!B5</f>
        <v/>
      </c>
      <c r="F24" s="6">
        <f>SUMPRODUCT((SegmentLibrary!A:A=C24),SegmentLibrary!G:G*POWER(1+SegmentLibrary!H:H/100,A24-1),SegmentLibrary!F:F,INDEX(Parameters!B:D,MOD(A24-1,12)+1,2))</f>
        <v/>
      </c>
      <c r="G24" s="7">
        <f>F24/Dashboard!B5</f>
        <v/>
      </c>
      <c r="H24" s="6">
        <f>D24-F24-Parameters!B6</f>
        <v/>
      </c>
      <c r="I24" s="7">
        <f>H24/Dashboard!B5</f>
        <v/>
      </c>
      <c r="J24" s="8">
        <f>IF(D24&gt;0,H24/D24*100,0)</f>
        <v/>
      </c>
      <c r="K24" s="6">
        <f>SUMPRODUCT((SegmentLibrary!A:A=C24),SegmentLibrary!G:G*POWER(1+SegmentLibrary!H:H/100,A24-1),INDEX(Parameters!B:D,MOD(A24-1,12)+1,2))</f>
        <v/>
      </c>
    </row>
    <row r="25">
      <c r="A25" s="2" t="n">
        <v>24</v>
      </c>
      <c r="B25" s="2">
        <f>IF(Dashboard!B4="1M",TEXT(DATE(YEAR(TODAY()),MONTH(TODAY())+23,1),"mmm dd"),TEXT(DATE(YEAR(TODAY()),MONTH(TODAY())+23,1),"yyyy mmm"))</f>
        <v/>
      </c>
      <c r="C25" s="2">
        <f>Dashboard!B3</f>
        <v/>
      </c>
      <c r="D25" s="6">
        <f>SUMPRODUCT((SegmentLibrary!A:A=C25),SegmentLibrary!G:G*POWER(1+SegmentLibrary!H:H/100,A25-1),SegmentLibrary!E:E,INDEX(Parameters!B:D,MOD(A25-1,12)+1,2))</f>
        <v/>
      </c>
      <c r="E25" s="7">
        <f>D25/Dashboard!B5</f>
        <v/>
      </c>
      <c r="F25" s="6">
        <f>SUMPRODUCT((SegmentLibrary!A:A=C25),SegmentLibrary!G:G*POWER(1+SegmentLibrary!H:H/100,A25-1),SegmentLibrary!F:F,INDEX(Parameters!B:D,MOD(A25-1,12)+1,2))</f>
        <v/>
      </c>
      <c r="G25" s="7">
        <f>F25/Dashboard!B5</f>
        <v/>
      </c>
      <c r="H25" s="6">
        <f>D25-F25-Parameters!B6</f>
        <v/>
      </c>
      <c r="I25" s="7">
        <f>H25/Dashboard!B5</f>
        <v/>
      </c>
      <c r="J25" s="8">
        <f>IF(D25&gt;0,H25/D25*100,0)</f>
        <v/>
      </c>
      <c r="K25" s="6">
        <f>SUMPRODUCT((SegmentLibrary!A:A=C25),SegmentLibrary!G:G*POWER(1+SegmentLibrary!H:H/100,A25-1),INDEX(Parameters!B:D,MOD(A25-1,12)+1,2))</f>
        <v/>
      </c>
    </row>
    <row r="26">
      <c r="A26" s="2" t="n">
        <v>25</v>
      </c>
      <c r="B26" s="2">
        <f>IF(Dashboard!B4="1M",TEXT(DATE(YEAR(TODAY()),MONTH(TODAY())+24,1),"mmm dd"),TEXT(DATE(YEAR(TODAY()),MONTH(TODAY())+24,1),"yyyy mmm"))</f>
        <v/>
      </c>
      <c r="C26" s="2">
        <f>Dashboard!B3</f>
        <v/>
      </c>
      <c r="D26" s="6">
        <f>SUMPRODUCT((SegmentLibrary!A:A=C26),SegmentLibrary!G:G*POWER(1+SegmentLibrary!H:H/100,A26-1),SegmentLibrary!E:E,INDEX(Parameters!B:D,MOD(A26-1,12)+1,2))</f>
        <v/>
      </c>
      <c r="E26" s="7">
        <f>D26/Dashboard!B5</f>
        <v/>
      </c>
      <c r="F26" s="6">
        <f>SUMPRODUCT((SegmentLibrary!A:A=C26),SegmentLibrary!G:G*POWER(1+SegmentLibrary!H:H/100,A26-1),SegmentLibrary!F:F,INDEX(Parameters!B:D,MOD(A26-1,12)+1,2))</f>
        <v/>
      </c>
      <c r="G26" s="7">
        <f>F26/Dashboard!B5</f>
        <v/>
      </c>
      <c r="H26" s="6">
        <f>D26-F26-Parameters!B6</f>
        <v/>
      </c>
      <c r="I26" s="7">
        <f>H26/Dashboard!B5</f>
        <v/>
      </c>
      <c r="J26" s="8">
        <f>IF(D26&gt;0,H26/D26*100,0)</f>
        <v/>
      </c>
      <c r="K26" s="6">
        <f>SUMPRODUCT((SegmentLibrary!A:A=C26),SegmentLibrary!G:G*POWER(1+SegmentLibrary!H:H/100,A26-1),INDEX(Parameters!B:D,MOD(A26-1,12)+1,2))</f>
        <v/>
      </c>
    </row>
    <row r="27">
      <c r="A27" s="2" t="n">
        <v>26</v>
      </c>
      <c r="B27" s="2">
        <f>IF(Dashboard!B4="1M",TEXT(DATE(YEAR(TODAY()),MONTH(TODAY())+25,1),"mmm dd"),TEXT(DATE(YEAR(TODAY()),MONTH(TODAY())+25,1),"yyyy mmm"))</f>
        <v/>
      </c>
      <c r="C27" s="2">
        <f>Dashboard!B3</f>
        <v/>
      </c>
      <c r="D27" s="6">
        <f>SUMPRODUCT((SegmentLibrary!A:A=C27),SegmentLibrary!G:G*POWER(1+SegmentLibrary!H:H/100,A27-1),SegmentLibrary!E:E,INDEX(Parameters!B:D,MOD(A27-1,12)+1,2))</f>
        <v/>
      </c>
      <c r="E27" s="7">
        <f>D27/Dashboard!B5</f>
        <v/>
      </c>
      <c r="F27" s="6">
        <f>SUMPRODUCT((SegmentLibrary!A:A=C27),SegmentLibrary!G:G*POWER(1+SegmentLibrary!H:H/100,A27-1),SegmentLibrary!F:F,INDEX(Parameters!B:D,MOD(A27-1,12)+1,2))</f>
        <v/>
      </c>
      <c r="G27" s="7">
        <f>F27/Dashboard!B5</f>
        <v/>
      </c>
      <c r="H27" s="6">
        <f>D27-F27-Parameters!B6</f>
        <v/>
      </c>
      <c r="I27" s="7">
        <f>H27/Dashboard!B5</f>
        <v/>
      </c>
      <c r="J27" s="8">
        <f>IF(D27&gt;0,H27/D27*100,0)</f>
        <v/>
      </c>
      <c r="K27" s="6">
        <f>SUMPRODUCT((SegmentLibrary!A:A=C27),SegmentLibrary!G:G*POWER(1+SegmentLibrary!H:H/100,A27-1),INDEX(Parameters!B:D,MOD(A27-1,12)+1,2))</f>
        <v/>
      </c>
    </row>
    <row r="28">
      <c r="A28" s="2" t="n">
        <v>27</v>
      </c>
      <c r="B28" s="2">
        <f>IF(Dashboard!B4="1M",TEXT(DATE(YEAR(TODAY()),MONTH(TODAY())+26,1),"mmm dd"),TEXT(DATE(YEAR(TODAY()),MONTH(TODAY())+26,1),"yyyy mmm"))</f>
        <v/>
      </c>
      <c r="C28" s="2">
        <f>Dashboard!B3</f>
        <v/>
      </c>
      <c r="D28" s="6">
        <f>SUMPRODUCT((SegmentLibrary!A:A=C28),SegmentLibrary!G:G*POWER(1+SegmentLibrary!H:H/100,A28-1),SegmentLibrary!E:E,INDEX(Parameters!B:D,MOD(A28-1,12)+1,2))</f>
        <v/>
      </c>
      <c r="E28" s="7">
        <f>D28/Dashboard!B5</f>
        <v/>
      </c>
      <c r="F28" s="6">
        <f>SUMPRODUCT((SegmentLibrary!A:A=C28),SegmentLibrary!G:G*POWER(1+SegmentLibrary!H:H/100,A28-1),SegmentLibrary!F:F,INDEX(Parameters!B:D,MOD(A28-1,12)+1,2))</f>
        <v/>
      </c>
      <c r="G28" s="7">
        <f>F28/Dashboard!B5</f>
        <v/>
      </c>
      <c r="H28" s="6">
        <f>D28-F28-Parameters!B6</f>
        <v/>
      </c>
      <c r="I28" s="7">
        <f>H28/Dashboard!B5</f>
        <v/>
      </c>
      <c r="J28" s="8">
        <f>IF(D28&gt;0,H28/D28*100,0)</f>
        <v/>
      </c>
      <c r="K28" s="6">
        <f>SUMPRODUCT((SegmentLibrary!A:A=C28),SegmentLibrary!G:G*POWER(1+SegmentLibrary!H:H/100,A28-1),INDEX(Parameters!B:D,MOD(A28-1,12)+1,2))</f>
        <v/>
      </c>
    </row>
    <row r="29">
      <c r="A29" s="2" t="n">
        <v>28</v>
      </c>
      <c r="B29" s="2">
        <f>IF(Dashboard!B4="1M",TEXT(DATE(YEAR(TODAY()),MONTH(TODAY())+27,1),"mmm dd"),TEXT(DATE(YEAR(TODAY()),MONTH(TODAY())+27,1),"yyyy mmm"))</f>
        <v/>
      </c>
      <c r="C29" s="2">
        <f>Dashboard!B3</f>
        <v/>
      </c>
      <c r="D29" s="6">
        <f>SUMPRODUCT((SegmentLibrary!A:A=C29),SegmentLibrary!G:G*POWER(1+SegmentLibrary!H:H/100,A29-1),SegmentLibrary!E:E,INDEX(Parameters!B:D,MOD(A29-1,12)+1,2))</f>
        <v/>
      </c>
      <c r="E29" s="7">
        <f>D29/Dashboard!B5</f>
        <v/>
      </c>
      <c r="F29" s="6">
        <f>SUMPRODUCT((SegmentLibrary!A:A=C29),SegmentLibrary!G:G*POWER(1+SegmentLibrary!H:H/100,A29-1),SegmentLibrary!F:F,INDEX(Parameters!B:D,MOD(A29-1,12)+1,2))</f>
        <v/>
      </c>
      <c r="G29" s="7">
        <f>F29/Dashboard!B5</f>
        <v/>
      </c>
      <c r="H29" s="6">
        <f>D29-F29-Parameters!B6</f>
        <v/>
      </c>
      <c r="I29" s="7">
        <f>H29/Dashboard!B5</f>
        <v/>
      </c>
      <c r="J29" s="8">
        <f>IF(D29&gt;0,H29/D29*100,0)</f>
        <v/>
      </c>
      <c r="K29" s="6">
        <f>SUMPRODUCT((SegmentLibrary!A:A=C29),SegmentLibrary!G:G*POWER(1+SegmentLibrary!H:H/100,A29-1),INDEX(Parameters!B:D,MOD(A29-1,12)+1,2))</f>
        <v/>
      </c>
    </row>
    <row r="30">
      <c r="A30" s="2" t="n">
        <v>29</v>
      </c>
      <c r="B30" s="2">
        <f>IF(Dashboard!B4="1M",TEXT(DATE(YEAR(TODAY()),MONTH(TODAY())+28,1),"mmm dd"),TEXT(DATE(YEAR(TODAY()),MONTH(TODAY())+28,1),"yyyy mmm"))</f>
        <v/>
      </c>
      <c r="C30" s="2">
        <f>Dashboard!B3</f>
        <v/>
      </c>
      <c r="D30" s="6">
        <f>SUMPRODUCT((SegmentLibrary!A:A=C30),SegmentLibrary!G:G*POWER(1+SegmentLibrary!H:H/100,A30-1),SegmentLibrary!E:E,INDEX(Parameters!B:D,MOD(A30-1,12)+1,2))</f>
        <v/>
      </c>
      <c r="E30" s="7">
        <f>D30/Dashboard!B5</f>
        <v/>
      </c>
      <c r="F30" s="6">
        <f>SUMPRODUCT((SegmentLibrary!A:A=C30),SegmentLibrary!G:G*POWER(1+SegmentLibrary!H:H/100,A30-1),SegmentLibrary!F:F,INDEX(Parameters!B:D,MOD(A30-1,12)+1,2))</f>
        <v/>
      </c>
      <c r="G30" s="7">
        <f>F30/Dashboard!B5</f>
        <v/>
      </c>
      <c r="H30" s="6">
        <f>D30-F30-Parameters!B6</f>
        <v/>
      </c>
      <c r="I30" s="7">
        <f>H30/Dashboard!B5</f>
        <v/>
      </c>
      <c r="J30" s="8">
        <f>IF(D30&gt;0,H30/D30*100,0)</f>
        <v/>
      </c>
      <c r="K30" s="6">
        <f>SUMPRODUCT((SegmentLibrary!A:A=C30),SegmentLibrary!G:G*POWER(1+SegmentLibrary!H:H/100,A30-1),INDEX(Parameters!B:D,MOD(A30-1,12)+1,2))</f>
        <v/>
      </c>
    </row>
    <row r="31">
      <c r="A31" s="2" t="n">
        <v>30</v>
      </c>
      <c r="B31" s="2">
        <f>IF(Dashboard!B4="1M",TEXT(DATE(YEAR(TODAY()),MONTH(TODAY())+29,1),"mmm dd"),TEXT(DATE(YEAR(TODAY()),MONTH(TODAY())+29,1),"yyyy mmm"))</f>
        <v/>
      </c>
      <c r="C31" s="2">
        <f>Dashboard!B3</f>
        <v/>
      </c>
      <c r="D31" s="6">
        <f>SUMPRODUCT((SegmentLibrary!A:A=C31),SegmentLibrary!G:G*POWER(1+SegmentLibrary!H:H/100,A31-1),SegmentLibrary!E:E,INDEX(Parameters!B:D,MOD(A31-1,12)+1,2))</f>
        <v/>
      </c>
      <c r="E31" s="7">
        <f>D31/Dashboard!B5</f>
        <v/>
      </c>
      <c r="F31" s="6">
        <f>SUMPRODUCT((SegmentLibrary!A:A=C31),SegmentLibrary!G:G*POWER(1+SegmentLibrary!H:H/100,A31-1),SegmentLibrary!F:F,INDEX(Parameters!B:D,MOD(A31-1,12)+1,2))</f>
        <v/>
      </c>
      <c r="G31" s="7">
        <f>F31/Dashboard!B5</f>
        <v/>
      </c>
      <c r="H31" s="6">
        <f>D31-F31-Parameters!B6</f>
        <v/>
      </c>
      <c r="I31" s="7">
        <f>H31/Dashboard!B5</f>
        <v/>
      </c>
      <c r="J31" s="8">
        <f>IF(D31&gt;0,H31/D31*100,0)</f>
        <v/>
      </c>
      <c r="K31" s="6">
        <f>SUMPRODUCT((SegmentLibrary!A:A=C31),SegmentLibrary!G:G*POWER(1+SegmentLibrary!H:H/100,A31-1),INDEX(Parameters!B:D,MOD(A31-1,12)+1,2))</f>
        <v/>
      </c>
    </row>
    <row r="32">
      <c r="A32" s="2" t="n">
        <v>31</v>
      </c>
      <c r="B32" s="2">
        <f>IF(Dashboard!B4="1M",TEXT(DATE(YEAR(TODAY()),MONTH(TODAY())+30,1),"mmm dd"),TEXT(DATE(YEAR(TODAY()),MONTH(TODAY())+30,1),"yyyy mmm"))</f>
        <v/>
      </c>
      <c r="C32" s="2">
        <f>Dashboard!B3</f>
        <v/>
      </c>
      <c r="D32" s="6">
        <f>SUMPRODUCT((SegmentLibrary!A:A=C32),SegmentLibrary!G:G*POWER(1+SegmentLibrary!H:H/100,A32-1),SegmentLibrary!E:E,INDEX(Parameters!B:D,MOD(A32-1,12)+1,2))</f>
        <v/>
      </c>
      <c r="E32" s="7">
        <f>D32/Dashboard!B5</f>
        <v/>
      </c>
      <c r="F32" s="6">
        <f>SUMPRODUCT((SegmentLibrary!A:A=C32),SegmentLibrary!G:G*POWER(1+SegmentLibrary!H:H/100,A32-1),SegmentLibrary!F:F,INDEX(Parameters!B:D,MOD(A32-1,12)+1,2))</f>
        <v/>
      </c>
      <c r="G32" s="7">
        <f>F32/Dashboard!B5</f>
        <v/>
      </c>
      <c r="H32" s="6">
        <f>D32-F32-Parameters!B6</f>
        <v/>
      </c>
      <c r="I32" s="7">
        <f>H32/Dashboard!B5</f>
        <v/>
      </c>
      <c r="J32" s="8">
        <f>IF(D32&gt;0,H32/D32*100,0)</f>
        <v/>
      </c>
      <c r="K32" s="6">
        <f>SUMPRODUCT((SegmentLibrary!A:A=C32),SegmentLibrary!G:G*POWER(1+SegmentLibrary!H:H/100,A32-1),INDEX(Parameters!B:D,MOD(A32-1,12)+1,2))</f>
        <v/>
      </c>
    </row>
    <row r="33">
      <c r="A33" s="2" t="n">
        <v>32</v>
      </c>
      <c r="B33" s="2">
        <f>IF(Dashboard!B4="1M",TEXT(DATE(YEAR(TODAY()),MONTH(TODAY())+31,1),"mmm dd"),TEXT(DATE(YEAR(TODAY()),MONTH(TODAY())+31,1),"yyyy mmm"))</f>
        <v/>
      </c>
      <c r="C33" s="2">
        <f>Dashboard!B3</f>
        <v/>
      </c>
      <c r="D33" s="6">
        <f>SUMPRODUCT((SegmentLibrary!A:A=C33),SegmentLibrary!G:G*POWER(1+SegmentLibrary!H:H/100,A33-1),SegmentLibrary!E:E,INDEX(Parameters!B:D,MOD(A33-1,12)+1,2))</f>
        <v/>
      </c>
      <c r="E33" s="7">
        <f>D33/Dashboard!B5</f>
        <v/>
      </c>
      <c r="F33" s="6">
        <f>SUMPRODUCT((SegmentLibrary!A:A=C33),SegmentLibrary!G:G*POWER(1+SegmentLibrary!H:H/100,A33-1),SegmentLibrary!F:F,INDEX(Parameters!B:D,MOD(A33-1,12)+1,2))</f>
        <v/>
      </c>
      <c r="G33" s="7">
        <f>F33/Dashboard!B5</f>
        <v/>
      </c>
      <c r="H33" s="6">
        <f>D33-F33-Parameters!B6</f>
        <v/>
      </c>
      <c r="I33" s="7">
        <f>H33/Dashboard!B5</f>
        <v/>
      </c>
      <c r="J33" s="8">
        <f>IF(D33&gt;0,H33/D33*100,0)</f>
        <v/>
      </c>
      <c r="K33" s="6">
        <f>SUMPRODUCT((SegmentLibrary!A:A=C33),SegmentLibrary!G:G*POWER(1+SegmentLibrary!H:H/100,A33-1),INDEX(Parameters!B:D,MOD(A33-1,12)+1,2))</f>
        <v/>
      </c>
    </row>
    <row r="34">
      <c r="A34" s="2" t="n">
        <v>33</v>
      </c>
      <c r="B34" s="2">
        <f>IF(Dashboard!B4="1M",TEXT(DATE(YEAR(TODAY()),MONTH(TODAY())+32,1),"mmm dd"),TEXT(DATE(YEAR(TODAY()),MONTH(TODAY())+32,1),"yyyy mmm"))</f>
        <v/>
      </c>
      <c r="C34" s="2">
        <f>Dashboard!B3</f>
        <v/>
      </c>
      <c r="D34" s="6">
        <f>SUMPRODUCT((SegmentLibrary!A:A=C34),SegmentLibrary!G:G*POWER(1+SegmentLibrary!H:H/100,A34-1),SegmentLibrary!E:E,INDEX(Parameters!B:D,MOD(A34-1,12)+1,2))</f>
        <v/>
      </c>
      <c r="E34" s="7">
        <f>D34/Dashboard!B5</f>
        <v/>
      </c>
      <c r="F34" s="6">
        <f>SUMPRODUCT((SegmentLibrary!A:A=C34),SegmentLibrary!G:G*POWER(1+SegmentLibrary!H:H/100,A34-1),SegmentLibrary!F:F,INDEX(Parameters!B:D,MOD(A34-1,12)+1,2))</f>
        <v/>
      </c>
      <c r="G34" s="7">
        <f>F34/Dashboard!B5</f>
        <v/>
      </c>
      <c r="H34" s="6">
        <f>D34-F34-Parameters!B6</f>
        <v/>
      </c>
      <c r="I34" s="7">
        <f>H34/Dashboard!B5</f>
        <v/>
      </c>
      <c r="J34" s="8">
        <f>IF(D34&gt;0,H34/D34*100,0)</f>
        <v/>
      </c>
      <c r="K34" s="6">
        <f>SUMPRODUCT((SegmentLibrary!A:A=C34),SegmentLibrary!G:G*POWER(1+SegmentLibrary!H:H/100,A34-1),INDEX(Parameters!B:D,MOD(A34-1,12)+1,2))</f>
        <v/>
      </c>
    </row>
    <row r="35">
      <c r="A35" s="2" t="n">
        <v>34</v>
      </c>
      <c r="B35" s="2">
        <f>IF(Dashboard!B4="1M",TEXT(DATE(YEAR(TODAY()),MONTH(TODAY())+33,1),"mmm dd"),TEXT(DATE(YEAR(TODAY()),MONTH(TODAY())+33,1),"yyyy mmm"))</f>
        <v/>
      </c>
      <c r="C35" s="2">
        <f>Dashboard!B3</f>
        <v/>
      </c>
      <c r="D35" s="6">
        <f>SUMPRODUCT((SegmentLibrary!A:A=C35),SegmentLibrary!G:G*POWER(1+SegmentLibrary!H:H/100,A35-1),SegmentLibrary!E:E,INDEX(Parameters!B:D,MOD(A35-1,12)+1,2))</f>
        <v/>
      </c>
      <c r="E35" s="7">
        <f>D35/Dashboard!B5</f>
        <v/>
      </c>
      <c r="F35" s="6">
        <f>SUMPRODUCT((SegmentLibrary!A:A=C35),SegmentLibrary!G:G*POWER(1+SegmentLibrary!H:H/100,A35-1),SegmentLibrary!F:F,INDEX(Parameters!B:D,MOD(A35-1,12)+1,2))</f>
        <v/>
      </c>
      <c r="G35" s="7">
        <f>F35/Dashboard!B5</f>
        <v/>
      </c>
      <c r="H35" s="6">
        <f>D35-F35-Parameters!B6</f>
        <v/>
      </c>
      <c r="I35" s="7">
        <f>H35/Dashboard!B5</f>
        <v/>
      </c>
      <c r="J35" s="8">
        <f>IF(D35&gt;0,H35/D35*100,0)</f>
        <v/>
      </c>
      <c r="K35" s="6">
        <f>SUMPRODUCT((SegmentLibrary!A:A=C35),SegmentLibrary!G:G*POWER(1+SegmentLibrary!H:H/100,A35-1),INDEX(Parameters!B:D,MOD(A35-1,12)+1,2))</f>
        <v/>
      </c>
    </row>
    <row r="36">
      <c r="A36" s="2" t="n">
        <v>35</v>
      </c>
      <c r="B36" s="2">
        <f>IF(Dashboard!B4="1M",TEXT(DATE(YEAR(TODAY()),MONTH(TODAY())+34,1),"mmm dd"),TEXT(DATE(YEAR(TODAY()),MONTH(TODAY())+34,1),"yyyy mmm"))</f>
        <v/>
      </c>
      <c r="C36" s="2">
        <f>Dashboard!B3</f>
        <v/>
      </c>
      <c r="D36" s="6">
        <f>SUMPRODUCT((SegmentLibrary!A:A=C36),SegmentLibrary!G:G*POWER(1+SegmentLibrary!H:H/100,A36-1),SegmentLibrary!E:E,INDEX(Parameters!B:D,MOD(A36-1,12)+1,2))</f>
        <v/>
      </c>
      <c r="E36" s="7">
        <f>D36/Dashboard!B5</f>
        <v/>
      </c>
      <c r="F36" s="6">
        <f>SUMPRODUCT((SegmentLibrary!A:A=C36),SegmentLibrary!G:G*POWER(1+SegmentLibrary!H:H/100,A36-1),SegmentLibrary!F:F,INDEX(Parameters!B:D,MOD(A36-1,12)+1,2))</f>
        <v/>
      </c>
      <c r="G36" s="7">
        <f>F36/Dashboard!B5</f>
        <v/>
      </c>
      <c r="H36" s="6">
        <f>D36-F36-Parameters!B6</f>
        <v/>
      </c>
      <c r="I36" s="7">
        <f>H36/Dashboard!B5</f>
        <v/>
      </c>
      <c r="J36" s="8">
        <f>IF(D36&gt;0,H36/D36*100,0)</f>
        <v/>
      </c>
      <c r="K36" s="6">
        <f>SUMPRODUCT((SegmentLibrary!A:A=C36),SegmentLibrary!G:G*POWER(1+SegmentLibrary!H:H/100,A36-1),INDEX(Parameters!B:D,MOD(A36-1,12)+1,2))</f>
        <v/>
      </c>
    </row>
    <row r="37">
      <c r="A37" s="2" t="n">
        <v>36</v>
      </c>
      <c r="B37" s="2">
        <f>IF(Dashboard!B4="1M",TEXT(DATE(YEAR(TODAY()),MONTH(TODAY())+35,1),"mmm dd"),TEXT(DATE(YEAR(TODAY()),MONTH(TODAY())+35,1),"yyyy mmm"))</f>
        <v/>
      </c>
      <c r="C37" s="2">
        <f>Dashboard!B3</f>
        <v/>
      </c>
      <c r="D37" s="6">
        <f>SUMPRODUCT((SegmentLibrary!A:A=C37),SegmentLibrary!G:G*POWER(1+SegmentLibrary!H:H/100,A37-1),SegmentLibrary!E:E,INDEX(Parameters!B:D,MOD(A37-1,12)+1,2))</f>
        <v/>
      </c>
      <c r="E37" s="7">
        <f>D37/Dashboard!B5</f>
        <v/>
      </c>
      <c r="F37" s="6">
        <f>SUMPRODUCT((SegmentLibrary!A:A=C37),SegmentLibrary!G:G*POWER(1+SegmentLibrary!H:H/100,A37-1),SegmentLibrary!F:F,INDEX(Parameters!B:D,MOD(A37-1,12)+1,2))</f>
        <v/>
      </c>
      <c r="G37" s="7">
        <f>F37/Dashboard!B5</f>
        <v/>
      </c>
      <c r="H37" s="6">
        <f>D37-F37-Parameters!B6</f>
        <v/>
      </c>
      <c r="I37" s="7">
        <f>H37/Dashboard!B5</f>
        <v/>
      </c>
      <c r="J37" s="8">
        <f>IF(D37&gt;0,H37/D37*100,0)</f>
        <v/>
      </c>
      <c r="K37" s="6">
        <f>SUMPRODUCT((SegmentLibrary!A:A=C37),SegmentLibrary!G:G*POWER(1+SegmentLibrary!H:H/100,A37-1),INDEX(Parameters!B:D,MOD(A37-1,12)+1,2))</f>
        <v/>
      </c>
    </row>
    <row r="38">
      <c r="A38" s="2" t="n">
        <v>37</v>
      </c>
      <c r="B38" s="2">
        <f>IF(Dashboard!B4="1M",TEXT(DATE(YEAR(TODAY()),MONTH(TODAY())+36,1),"mmm dd"),TEXT(DATE(YEAR(TODAY()),MONTH(TODAY())+36,1),"yyyy mmm"))</f>
        <v/>
      </c>
      <c r="C38" s="2">
        <f>Dashboard!B3</f>
        <v/>
      </c>
      <c r="D38" s="6">
        <f>SUMPRODUCT((SegmentLibrary!A:A=C38),SegmentLibrary!G:G*POWER(1+SegmentLibrary!H:H/100,A38-1),SegmentLibrary!E:E,INDEX(Parameters!B:D,MOD(A38-1,12)+1,2))</f>
        <v/>
      </c>
      <c r="E38" s="7">
        <f>D38/Dashboard!B5</f>
        <v/>
      </c>
      <c r="F38" s="6">
        <f>SUMPRODUCT((SegmentLibrary!A:A=C38),SegmentLibrary!G:G*POWER(1+SegmentLibrary!H:H/100,A38-1),SegmentLibrary!F:F,INDEX(Parameters!B:D,MOD(A38-1,12)+1,2))</f>
        <v/>
      </c>
      <c r="G38" s="7">
        <f>F38/Dashboard!B5</f>
        <v/>
      </c>
      <c r="H38" s="6">
        <f>D38-F38-Parameters!B6</f>
        <v/>
      </c>
      <c r="I38" s="7">
        <f>H38/Dashboard!B5</f>
        <v/>
      </c>
      <c r="J38" s="8">
        <f>IF(D38&gt;0,H38/D38*100,0)</f>
        <v/>
      </c>
      <c r="K38" s="6">
        <f>SUMPRODUCT((SegmentLibrary!A:A=C38),SegmentLibrary!G:G*POWER(1+SegmentLibrary!H:H/100,A38-1),INDEX(Parameters!B:D,MOD(A38-1,12)+1,2))</f>
        <v/>
      </c>
    </row>
    <row r="39">
      <c r="A39" s="2" t="n">
        <v>38</v>
      </c>
      <c r="B39" s="2">
        <f>IF(Dashboard!B4="1M",TEXT(DATE(YEAR(TODAY()),MONTH(TODAY())+37,1),"mmm dd"),TEXT(DATE(YEAR(TODAY()),MONTH(TODAY())+37,1),"yyyy mmm"))</f>
        <v/>
      </c>
      <c r="C39" s="2">
        <f>Dashboard!B3</f>
        <v/>
      </c>
      <c r="D39" s="6">
        <f>SUMPRODUCT((SegmentLibrary!A:A=C39),SegmentLibrary!G:G*POWER(1+SegmentLibrary!H:H/100,A39-1),SegmentLibrary!E:E,INDEX(Parameters!B:D,MOD(A39-1,12)+1,2))</f>
        <v/>
      </c>
      <c r="E39" s="7">
        <f>D39/Dashboard!B5</f>
        <v/>
      </c>
      <c r="F39" s="6">
        <f>SUMPRODUCT((SegmentLibrary!A:A=C39),SegmentLibrary!G:G*POWER(1+SegmentLibrary!H:H/100,A39-1),SegmentLibrary!F:F,INDEX(Parameters!B:D,MOD(A39-1,12)+1,2))</f>
        <v/>
      </c>
      <c r="G39" s="7">
        <f>F39/Dashboard!B5</f>
        <v/>
      </c>
      <c r="H39" s="6">
        <f>D39-F39-Parameters!B6</f>
        <v/>
      </c>
      <c r="I39" s="7">
        <f>H39/Dashboard!B5</f>
        <v/>
      </c>
      <c r="J39" s="8">
        <f>IF(D39&gt;0,H39/D39*100,0)</f>
        <v/>
      </c>
      <c r="K39" s="6">
        <f>SUMPRODUCT((SegmentLibrary!A:A=C39),SegmentLibrary!G:G*POWER(1+SegmentLibrary!H:H/100,A39-1),INDEX(Parameters!B:D,MOD(A39-1,12)+1,2))</f>
        <v/>
      </c>
    </row>
    <row r="40">
      <c r="A40" s="2" t="n">
        <v>39</v>
      </c>
      <c r="B40" s="2">
        <f>IF(Dashboard!B4="1M",TEXT(DATE(YEAR(TODAY()),MONTH(TODAY())+38,1),"mmm dd"),TEXT(DATE(YEAR(TODAY()),MONTH(TODAY())+38,1),"yyyy mmm"))</f>
        <v/>
      </c>
      <c r="C40" s="2">
        <f>Dashboard!B3</f>
        <v/>
      </c>
      <c r="D40" s="6">
        <f>SUMPRODUCT((SegmentLibrary!A:A=C40),SegmentLibrary!G:G*POWER(1+SegmentLibrary!H:H/100,A40-1),SegmentLibrary!E:E,INDEX(Parameters!B:D,MOD(A40-1,12)+1,2))</f>
        <v/>
      </c>
      <c r="E40" s="7">
        <f>D40/Dashboard!B5</f>
        <v/>
      </c>
      <c r="F40" s="6">
        <f>SUMPRODUCT((SegmentLibrary!A:A=C40),SegmentLibrary!G:G*POWER(1+SegmentLibrary!H:H/100,A40-1),SegmentLibrary!F:F,INDEX(Parameters!B:D,MOD(A40-1,12)+1,2))</f>
        <v/>
      </c>
      <c r="G40" s="7">
        <f>F40/Dashboard!B5</f>
        <v/>
      </c>
      <c r="H40" s="6">
        <f>D40-F40-Parameters!B6</f>
        <v/>
      </c>
      <c r="I40" s="7">
        <f>H40/Dashboard!B5</f>
        <v/>
      </c>
      <c r="J40" s="8">
        <f>IF(D40&gt;0,H40/D40*100,0)</f>
        <v/>
      </c>
      <c r="K40" s="6">
        <f>SUMPRODUCT((SegmentLibrary!A:A=C40),SegmentLibrary!G:G*POWER(1+SegmentLibrary!H:H/100,A40-1),INDEX(Parameters!B:D,MOD(A40-1,12)+1,2))</f>
        <v/>
      </c>
    </row>
    <row r="41">
      <c r="A41" s="2" t="n">
        <v>40</v>
      </c>
      <c r="B41" s="2">
        <f>IF(Dashboard!B4="1M",TEXT(DATE(YEAR(TODAY()),MONTH(TODAY())+39,1),"mmm dd"),TEXT(DATE(YEAR(TODAY()),MONTH(TODAY())+39,1),"yyyy mmm"))</f>
        <v/>
      </c>
      <c r="C41" s="2">
        <f>Dashboard!B3</f>
        <v/>
      </c>
      <c r="D41" s="6">
        <f>SUMPRODUCT((SegmentLibrary!A:A=C41),SegmentLibrary!G:G*POWER(1+SegmentLibrary!H:H/100,A41-1),SegmentLibrary!E:E,INDEX(Parameters!B:D,MOD(A41-1,12)+1,2))</f>
        <v/>
      </c>
      <c r="E41" s="7">
        <f>D41/Dashboard!B5</f>
        <v/>
      </c>
      <c r="F41" s="6">
        <f>SUMPRODUCT((SegmentLibrary!A:A=C41),SegmentLibrary!G:G*POWER(1+SegmentLibrary!H:H/100,A41-1),SegmentLibrary!F:F,INDEX(Parameters!B:D,MOD(A41-1,12)+1,2))</f>
        <v/>
      </c>
      <c r="G41" s="7">
        <f>F41/Dashboard!B5</f>
        <v/>
      </c>
      <c r="H41" s="6">
        <f>D41-F41-Parameters!B6</f>
        <v/>
      </c>
      <c r="I41" s="7">
        <f>H41/Dashboard!B5</f>
        <v/>
      </c>
      <c r="J41" s="8">
        <f>IF(D41&gt;0,H41/D41*100,0)</f>
        <v/>
      </c>
      <c r="K41" s="6">
        <f>SUMPRODUCT((SegmentLibrary!A:A=C41),SegmentLibrary!G:G*POWER(1+SegmentLibrary!H:H/100,A41-1),INDEX(Parameters!B:D,MOD(A41-1,12)+1,2))</f>
        <v/>
      </c>
    </row>
    <row r="42">
      <c r="A42" s="2" t="n">
        <v>41</v>
      </c>
      <c r="B42" s="2">
        <f>IF(Dashboard!B4="1M",TEXT(DATE(YEAR(TODAY()),MONTH(TODAY())+40,1),"mmm dd"),TEXT(DATE(YEAR(TODAY()),MONTH(TODAY())+40,1),"yyyy mmm"))</f>
        <v/>
      </c>
      <c r="C42" s="2">
        <f>Dashboard!B3</f>
        <v/>
      </c>
      <c r="D42" s="6">
        <f>SUMPRODUCT((SegmentLibrary!A:A=C42),SegmentLibrary!G:G*POWER(1+SegmentLibrary!H:H/100,A42-1),SegmentLibrary!E:E,INDEX(Parameters!B:D,MOD(A42-1,12)+1,2))</f>
        <v/>
      </c>
      <c r="E42" s="7">
        <f>D42/Dashboard!B5</f>
        <v/>
      </c>
      <c r="F42" s="6">
        <f>SUMPRODUCT((SegmentLibrary!A:A=C42),SegmentLibrary!G:G*POWER(1+SegmentLibrary!H:H/100,A42-1),SegmentLibrary!F:F,INDEX(Parameters!B:D,MOD(A42-1,12)+1,2))</f>
        <v/>
      </c>
      <c r="G42" s="7">
        <f>F42/Dashboard!B5</f>
        <v/>
      </c>
      <c r="H42" s="6">
        <f>D42-F42-Parameters!B6</f>
        <v/>
      </c>
      <c r="I42" s="7">
        <f>H42/Dashboard!B5</f>
        <v/>
      </c>
      <c r="J42" s="8">
        <f>IF(D42&gt;0,H42/D42*100,0)</f>
        <v/>
      </c>
      <c r="K42" s="6">
        <f>SUMPRODUCT((SegmentLibrary!A:A=C42),SegmentLibrary!G:G*POWER(1+SegmentLibrary!H:H/100,A42-1),INDEX(Parameters!B:D,MOD(A42-1,12)+1,2))</f>
        <v/>
      </c>
    </row>
    <row r="43">
      <c r="A43" s="2" t="n">
        <v>42</v>
      </c>
      <c r="B43" s="2">
        <f>IF(Dashboard!B4="1M",TEXT(DATE(YEAR(TODAY()),MONTH(TODAY())+41,1),"mmm dd"),TEXT(DATE(YEAR(TODAY()),MONTH(TODAY())+41,1),"yyyy mmm"))</f>
        <v/>
      </c>
      <c r="C43" s="2">
        <f>Dashboard!B3</f>
        <v/>
      </c>
      <c r="D43" s="6">
        <f>SUMPRODUCT((SegmentLibrary!A:A=C43),SegmentLibrary!G:G*POWER(1+SegmentLibrary!H:H/100,A43-1),SegmentLibrary!E:E,INDEX(Parameters!B:D,MOD(A43-1,12)+1,2))</f>
        <v/>
      </c>
      <c r="E43" s="7">
        <f>D43/Dashboard!B5</f>
        <v/>
      </c>
      <c r="F43" s="6">
        <f>SUMPRODUCT((SegmentLibrary!A:A=C43),SegmentLibrary!G:G*POWER(1+SegmentLibrary!H:H/100,A43-1),SegmentLibrary!F:F,INDEX(Parameters!B:D,MOD(A43-1,12)+1,2))</f>
        <v/>
      </c>
      <c r="G43" s="7">
        <f>F43/Dashboard!B5</f>
        <v/>
      </c>
      <c r="H43" s="6">
        <f>D43-F43-Parameters!B6</f>
        <v/>
      </c>
      <c r="I43" s="7">
        <f>H43/Dashboard!B5</f>
        <v/>
      </c>
      <c r="J43" s="8">
        <f>IF(D43&gt;0,H43/D43*100,0)</f>
        <v/>
      </c>
      <c r="K43" s="6">
        <f>SUMPRODUCT((SegmentLibrary!A:A=C43),SegmentLibrary!G:G*POWER(1+SegmentLibrary!H:H/100,A43-1),INDEX(Parameters!B:D,MOD(A43-1,12)+1,2))</f>
        <v/>
      </c>
    </row>
    <row r="44">
      <c r="A44" s="2" t="n">
        <v>43</v>
      </c>
      <c r="B44" s="2">
        <f>IF(Dashboard!B4="1M",TEXT(DATE(YEAR(TODAY()),MONTH(TODAY())+42,1),"mmm dd"),TEXT(DATE(YEAR(TODAY()),MONTH(TODAY())+42,1),"yyyy mmm"))</f>
        <v/>
      </c>
      <c r="C44" s="2">
        <f>Dashboard!B3</f>
        <v/>
      </c>
      <c r="D44" s="6">
        <f>SUMPRODUCT((SegmentLibrary!A:A=C44),SegmentLibrary!G:G*POWER(1+SegmentLibrary!H:H/100,A44-1),SegmentLibrary!E:E,INDEX(Parameters!B:D,MOD(A44-1,12)+1,2))</f>
        <v/>
      </c>
      <c r="E44" s="7">
        <f>D44/Dashboard!B5</f>
        <v/>
      </c>
      <c r="F44" s="6">
        <f>SUMPRODUCT((SegmentLibrary!A:A=C44),SegmentLibrary!G:G*POWER(1+SegmentLibrary!H:H/100,A44-1),SegmentLibrary!F:F,INDEX(Parameters!B:D,MOD(A44-1,12)+1,2))</f>
        <v/>
      </c>
      <c r="G44" s="7">
        <f>F44/Dashboard!B5</f>
        <v/>
      </c>
      <c r="H44" s="6">
        <f>D44-F44-Parameters!B6</f>
        <v/>
      </c>
      <c r="I44" s="7">
        <f>H44/Dashboard!B5</f>
        <v/>
      </c>
      <c r="J44" s="8">
        <f>IF(D44&gt;0,H44/D44*100,0)</f>
        <v/>
      </c>
      <c r="K44" s="6">
        <f>SUMPRODUCT((SegmentLibrary!A:A=C44),SegmentLibrary!G:G*POWER(1+SegmentLibrary!H:H/100,A44-1),INDEX(Parameters!B:D,MOD(A44-1,12)+1,2))</f>
        <v/>
      </c>
    </row>
    <row r="45">
      <c r="A45" s="2" t="n">
        <v>44</v>
      </c>
      <c r="B45" s="2">
        <f>IF(Dashboard!B4="1M",TEXT(DATE(YEAR(TODAY()),MONTH(TODAY())+43,1),"mmm dd"),TEXT(DATE(YEAR(TODAY()),MONTH(TODAY())+43,1),"yyyy mmm"))</f>
        <v/>
      </c>
      <c r="C45" s="2">
        <f>Dashboard!B3</f>
        <v/>
      </c>
      <c r="D45" s="6">
        <f>SUMPRODUCT((SegmentLibrary!A:A=C45),SegmentLibrary!G:G*POWER(1+SegmentLibrary!H:H/100,A45-1),SegmentLibrary!E:E,INDEX(Parameters!B:D,MOD(A45-1,12)+1,2))</f>
        <v/>
      </c>
      <c r="E45" s="7">
        <f>D45/Dashboard!B5</f>
        <v/>
      </c>
      <c r="F45" s="6">
        <f>SUMPRODUCT((SegmentLibrary!A:A=C45),SegmentLibrary!G:G*POWER(1+SegmentLibrary!H:H/100,A45-1),SegmentLibrary!F:F,INDEX(Parameters!B:D,MOD(A45-1,12)+1,2))</f>
        <v/>
      </c>
      <c r="G45" s="7">
        <f>F45/Dashboard!B5</f>
        <v/>
      </c>
      <c r="H45" s="6">
        <f>D45-F45-Parameters!B6</f>
        <v/>
      </c>
      <c r="I45" s="7">
        <f>H45/Dashboard!B5</f>
        <v/>
      </c>
      <c r="J45" s="8">
        <f>IF(D45&gt;0,H45/D45*100,0)</f>
        <v/>
      </c>
      <c r="K45" s="6">
        <f>SUMPRODUCT((SegmentLibrary!A:A=C45),SegmentLibrary!G:G*POWER(1+SegmentLibrary!H:H/100,A45-1),INDEX(Parameters!B:D,MOD(A45-1,12)+1,2))</f>
        <v/>
      </c>
    </row>
    <row r="46">
      <c r="A46" s="2" t="n">
        <v>45</v>
      </c>
      <c r="B46" s="2">
        <f>IF(Dashboard!B4="1M",TEXT(DATE(YEAR(TODAY()),MONTH(TODAY())+44,1),"mmm dd"),TEXT(DATE(YEAR(TODAY()),MONTH(TODAY())+44,1),"yyyy mmm"))</f>
        <v/>
      </c>
      <c r="C46" s="2">
        <f>Dashboard!B3</f>
        <v/>
      </c>
      <c r="D46" s="6">
        <f>SUMPRODUCT((SegmentLibrary!A:A=C46),SegmentLibrary!G:G*POWER(1+SegmentLibrary!H:H/100,A46-1),SegmentLibrary!E:E,INDEX(Parameters!B:D,MOD(A46-1,12)+1,2))</f>
        <v/>
      </c>
      <c r="E46" s="7">
        <f>D46/Dashboard!B5</f>
        <v/>
      </c>
      <c r="F46" s="6">
        <f>SUMPRODUCT((SegmentLibrary!A:A=C46),SegmentLibrary!G:G*POWER(1+SegmentLibrary!H:H/100,A46-1),SegmentLibrary!F:F,INDEX(Parameters!B:D,MOD(A46-1,12)+1,2))</f>
        <v/>
      </c>
      <c r="G46" s="7">
        <f>F46/Dashboard!B5</f>
        <v/>
      </c>
      <c r="H46" s="6">
        <f>D46-F46-Parameters!B6</f>
        <v/>
      </c>
      <c r="I46" s="7">
        <f>H46/Dashboard!B5</f>
        <v/>
      </c>
      <c r="J46" s="8">
        <f>IF(D46&gt;0,H46/D46*100,0)</f>
        <v/>
      </c>
      <c r="K46" s="6">
        <f>SUMPRODUCT((SegmentLibrary!A:A=C46),SegmentLibrary!G:G*POWER(1+SegmentLibrary!H:H/100,A46-1),INDEX(Parameters!B:D,MOD(A46-1,12)+1,2))</f>
        <v/>
      </c>
    </row>
    <row r="47">
      <c r="A47" s="2" t="n">
        <v>46</v>
      </c>
      <c r="B47" s="2">
        <f>IF(Dashboard!B4="1M",TEXT(DATE(YEAR(TODAY()),MONTH(TODAY())+45,1),"mmm dd"),TEXT(DATE(YEAR(TODAY()),MONTH(TODAY())+45,1),"yyyy mmm"))</f>
        <v/>
      </c>
      <c r="C47" s="2">
        <f>Dashboard!B3</f>
        <v/>
      </c>
      <c r="D47" s="6">
        <f>SUMPRODUCT((SegmentLibrary!A:A=C47),SegmentLibrary!G:G*POWER(1+SegmentLibrary!H:H/100,A47-1),SegmentLibrary!E:E,INDEX(Parameters!B:D,MOD(A47-1,12)+1,2))</f>
        <v/>
      </c>
      <c r="E47" s="7">
        <f>D47/Dashboard!B5</f>
        <v/>
      </c>
      <c r="F47" s="6">
        <f>SUMPRODUCT((SegmentLibrary!A:A=C47),SegmentLibrary!G:G*POWER(1+SegmentLibrary!H:H/100,A47-1),SegmentLibrary!F:F,INDEX(Parameters!B:D,MOD(A47-1,12)+1,2))</f>
        <v/>
      </c>
      <c r="G47" s="7">
        <f>F47/Dashboard!B5</f>
        <v/>
      </c>
      <c r="H47" s="6">
        <f>D47-F47-Parameters!B6</f>
        <v/>
      </c>
      <c r="I47" s="7">
        <f>H47/Dashboard!B5</f>
        <v/>
      </c>
      <c r="J47" s="8">
        <f>IF(D47&gt;0,H47/D47*100,0)</f>
        <v/>
      </c>
      <c r="K47" s="6">
        <f>SUMPRODUCT((SegmentLibrary!A:A=C47),SegmentLibrary!G:G*POWER(1+SegmentLibrary!H:H/100,A47-1),INDEX(Parameters!B:D,MOD(A47-1,12)+1,2))</f>
        <v/>
      </c>
    </row>
    <row r="48">
      <c r="A48" s="2" t="n">
        <v>47</v>
      </c>
      <c r="B48" s="2">
        <f>IF(Dashboard!B4="1M",TEXT(DATE(YEAR(TODAY()),MONTH(TODAY())+46,1),"mmm dd"),TEXT(DATE(YEAR(TODAY()),MONTH(TODAY())+46,1),"yyyy mmm"))</f>
        <v/>
      </c>
      <c r="C48" s="2">
        <f>Dashboard!B3</f>
        <v/>
      </c>
      <c r="D48" s="6">
        <f>SUMPRODUCT((SegmentLibrary!A:A=C48),SegmentLibrary!G:G*POWER(1+SegmentLibrary!H:H/100,A48-1),SegmentLibrary!E:E,INDEX(Parameters!B:D,MOD(A48-1,12)+1,2))</f>
        <v/>
      </c>
      <c r="E48" s="7">
        <f>D48/Dashboard!B5</f>
        <v/>
      </c>
      <c r="F48" s="6">
        <f>SUMPRODUCT((SegmentLibrary!A:A=C48),SegmentLibrary!G:G*POWER(1+SegmentLibrary!H:H/100,A48-1),SegmentLibrary!F:F,INDEX(Parameters!B:D,MOD(A48-1,12)+1,2))</f>
        <v/>
      </c>
      <c r="G48" s="7">
        <f>F48/Dashboard!B5</f>
        <v/>
      </c>
      <c r="H48" s="6">
        <f>D48-F48-Parameters!B6</f>
        <v/>
      </c>
      <c r="I48" s="7">
        <f>H48/Dashboard!B5</f>
        <v/>
      </c>
      <c r="J48" s="8">
        <f>IF(D48&gt;0,H48/D48*100,0)</f>
        <v/>
      </c>
      <c r="K48" s="6">
        <f>SUMPRODUCT((SegmentLibrary!A:A=C48),SegmentLibrary!G:G*POWER(1+SegmentLibrary!H:H/100,A48-1),INDEX(Parameters!B:D,MOD(A48-1,12)+1,2))</f>
        <v/>
      </c>
    </row>
    <row r="49">
      <c r="A49" s="2" t="n">
        <v>48</v>
      </c>
      <c r="B49" s="2">
        <f>IF(Dashboard!B4="1M",TEXT(DATE(YEAR(TODAY()),MONTH(TODAY())+47,1),"mmm dd"),TEXT(DATE(YEAR(TODAY()),MONTH(TODAY())+47,1),"yyyy mmm"))</f>
        <v/>
      </c>
      <c r="C49" s="2">
        <f>Dashboard!B3</f>
        <v/>
      </c>
      <c r="D49" s="6">
        <f>SUMPRODUCT((SegmentLibrary!A:A=C49),SegmentLibrary!G:G*POWER(1+SegmentLibrary!H:H/100,A49-1),SegmentLibrary!E:E,INDEX(Parameters!B:D,MOD(A49-1,12)+1,2))</f>
        <v/>
      </c>
      <c r="E49" s="7">
        <f>D49/Dashboard!B5</f>
        <v/>
      </c>
      <c r="F49" s="6">
        <f>SUMPRODUCT((SegmentLibrary!A:A=C49),SegmentLibrary!G:G*POWER(1+SegmentLibrary!H:H/100,A49-1),SegmentLibrary!F:F,INDEX(Parameters!B:D,MOD(A49-1,12)+1,2))</f>
        <v/>
      </c>
      <c r="G49" s="7">
        <f>F49/Dashboard!B5</f>
        <v/>
      </c>
      <c r="H49" s="6">
        <f>D49-F49-Parameters!B6</f>
        <v/>
      </c>
      <c r="I49" s="7">
        <f>H49/Dashboard!B5</f>
        <v/>
      </c>
      <c r="J49" s="8">
        <f>IF(D49&gt;0,H49/D49*100,0)</f>
        <v/>
      </c>
      <c r="K49" s="6">
        <f>SUMPRODUCT((SegmentLibrary!A:A=C49),SegmentLibrary!G:G*POWER(1+SegmentLibrary!H:H/100,A49-1),INDEX(Parameters!B:D,MOD(A49-1,12)+1,2))</f>
        <v/>
      </c>
    </row>
    <row r="50">
      <c r="A50" s="2" t="n">
        <v>49</v>
      </c>
      <c r="B50" s="2">
        <f>IF(Dashboard!B4="1M",TEXT(DATE(YEAR(TODAY()),MONTH(TODAY())+48,1),"mmm dd"),TEXT(DATE(YEAR(TODAY()),MONTH(TODAY())+48,1),"yyyy mmm"))</f>
        <v/>
      </c>
      <c r="C50" s="2">
        <f>Dashboard!B3</f>
        <v/>
      </c>
      <c r="D50" s="6">
        <f>SUMPRODUCT((SegmentLibrary!A:A=C50),SegmentLibrary!G:G*POWER(1+SegmentLibrary!H:H/100,A50-1),SegmentLibrary!E:E,INDEX(Parameters!B:D,MOD(A50-1,12)+1,2))</f>
        <v/>
      </c>
      <c r="E50" s="7">
        <f>D50/Dashboard!B5</f>
        <v/>
      </c>
      <c r="F50" s="6">
        <f>SUMPRODUCT((SegmentLibrary!A:A=C50),SegmentLibrary!G:G*POWER(1+SegmentLibrary!H:H/100,A50-1),SegmentLibrary!F:F,INDEX(Parameters!B:D,MOD(A50-1,12)+1,2))</f>
        <v/>
      </c>
      <c r="G50" s="7">
        <f>F50/Dashboard!B5</f>
        <v/>
      </c>
      <c r="H50" s="6">
        <f>D50-F50-Parameters!B6</f>
        <v/>
      </c>
      <c r="I50" s="7">
        <f>H50/Dashboard!B5</f>
        <v/>
      </c>
      <c r="J50" s="8">
        <f>IF(D50&gt;0,H50/D50*100,0)</f>
        <v/>
      </c>
      <c r="K50" s="6">
        <f>SUMPRODUCT((SegmentLibrary!A:A=C50),SegmentLibrary!G:G*POWER(1+SegmentLibrary!H:H/100,A50-1),INDEX(Parameters!B:D,MOD(A50-1,12)+1,2))</f>
        <v/>
      </c>
    </row>
    <row r="51">
      <c r="A51" s="2" t="n">
        <v>50</v>
      </c>
      <c r="B51" s="2">
        <f>IF(Dashboard!B4="1M",TEXT(DATE(YEAR(TODAY()),MONTH(TODAY())+49,1),"mmm dd"),TEXT(DATE(YEAR(TODAY()),MONTH(TODAY())+49,1),"yyyy mmm"))</f>
        <v/>
      </c>
      <c r="C51" s="2">
        <f>Dashboard!B3</f>
        <v/>
      </c>
      <c r="D51" s="6">
        <f>SUMPRODUCT((SegmentLibrary!A:A=C51),SegmentLibrary!G:G*POWER(1+SegmentLibrary!H:H/100,A51-1),SegmentLibrary!E:E,INDEX(Parameters!B:D,MOD(A51-1,12)+1,2))</f>
        <v/>
      </c>
      <c r="E51" s="7">
        <f>D51/Dashboard!B5</f>
        <v/>
      </c>
      <c r="F51" s="6">
        <f>SUMPRODUCT((SegmentLibrary!A:A=C51),SegmentLibrary!G:G*POWER(1+SegmentLibrary!H:H/100,A51-1),SegmentLibrary!F:F,INDEX(Parameters!B:D,MOD(A51-1,12)+1,2))</f>
        <v/>
      </c>
      <c r="G51" s="7">
        <f>F51/Dashboard!B5</f>
        <v/>
      </c>
      <c r="H51" s="6">
        <f>D51-F51-Parameters!B6</f>
        <v/>
      </c>
      <c r="I51" s="7">
        <f>H51/Dashboard!B5</f>
        <v/>
      </c>
      <c r="J51" s="8">
        <f>IF(D51&gt;0,H51/D51*100,0)</f>
        <v/>
      </c>
      <c r="K51" s="6">
        <f>SUMPRODUCT((SegmentLibrary!A:A=C51),SegmentLibrary!G:G*POWER(1+SegmentLibrary!H:H/100,A51-1),INDEX(Parameters!B:D,MOD(A51-1,12)+1,2))</f>
        <v/>
      </c>
    </row>
    <row r="52">
      <c r="A52" s="2" t="n">
        <v>51</v>
      </c>
      <c r="B52" s="2">
        <f>IF(Dashboard!B4="1M",TEXT(DATE(YEAR(TODAY()),MONTH(TODAY())+50,1),"mmm dd"),TEXT(DATE(YEAR(TODAY()),MONTH(TODAY())+50,1),"yyyy mmm"))</f>
        <v/>
      </c>
      <c r="C52" s="2">
        <f>Dashboard!B3</f>
        <v/>
      </c>
      <c r="D52" s="6">
        <f>SUMPRODUCT((SegmentLibrary!A:A=C52),SegmentLibrary!G:G*POWER(1+SegmentLibrary!H:H/100,A52-1),SegmentLibrary!E:E,INDEX(Parameters!B:D,MOD(A52-1,12)+1,2))</f>
        <v/>
      </c>
      <c r="E52" s="7">
        <f>D52/Dashboard!B5</f>
        <v/>
      </c>
      <c r="F52" s="6">
        <f>SUMPRODUCT((SegmentLibrary!A:A=C52),SegmentLibrary!G:G*POWER(1+SegmentLibrary!H:H/100,A52-1),SegmentLibrary!F:F,INDEX(Parameters!B:D,MOD(A52-1,12)+1,2))</f>
        <v/>
      </c>
      <c r="G52" s="7">
        <f>F52/Dashboard!B5</f>
        <v/>
      </c>
      <c r="H52" s="6">
        <f>D52-F52-Parameters!B6</f>
        <v/>
      </c>
      <c r="I52" s="7">
        <f>H52/Dashboard!B5</f>
        <v/>
      </c>
      <c r="J52" s="8">
        <f>IF(D52&gt;0,H52/D52*100,0)</f>
        <v/>
      </c>
      <c r="K52" s="6">
        <f>SUMPRODUCT((SegmentLibrary!A:A=C52),SegmentLibrary!G:G*POWER(1+SegmentLibrary!H:H/100,A52-1),INDEX(Parameters!B:D,MOD(A52-1,12)+1,2))</f>
        <v/>
      </c>
    </row>
    <row r="53">
      <c r="A53" s="2" t="n">
        <v>52</v>
      </c>
      <c r="B53" s="2">
        <f>IF(Dashboard!B4="1M",TEXT(DATE(YEAR(TODAY()),MONTH(TODAY())+51,1),"mmm dd"),TEXT(DATE(YEAR(TODAY()),MONTH(TODAY())+51,1),"yyyy mmm"))</f>
        <v/>
      </c>
      <c r="C53" s="2">
        <f>Dashboard!B3</f>
        <v/>
      </c>
      <c r="D53" s="6">
        <f>SUMPRODUCT((SegmentLibrary!A:A=C53),SegmentLibrary!G:G*POWER(1+SegmentLibrary!H:H/100,A53-1),SegmentLibrary!E:E,INDEX(Parameters!B:D,MOD(A53-1,12)+1,2))</f>
        <v/>
      </c>
      <c r="E53" s="7">
        <f>D53/Dashboard!B5</f>
        <v/>
      </c>
      <c r="F53" s="6">
        <f>SUMPRODUCT((SegmentLibrary!A:A=C53),SegmentLibrary!G:G*POWER(1+SegmentLibrary!H:H/100,A53-1),SegmentLibrary!F:F,INDEX(Parameters!B:D,MOD(A53-1,12)+1,2))</f>
        <v/>
      </c>
      <c r="G53" s="7">
        <f>F53/Dashboard!B5</f>
        <v/>
      </c>
      <c r="H53" s="6">
        <f>D53-F53-Parameters!B6</f>
        <v/>
      </c>
      <c r="I53" s="7">
        <f>H53/Dashboard!B5</f>
        <v/>
      </c>
      <c r="J53" s="8">
        <f>IF(D53&gt;0,H53/D53*100,0)</f>
        <v/>
      </c>
      <c r="K53" s="6">
        <f>SUMPRODUCT((SegmentLibrary!A:A=C53),SegmentLibrary!G:G*POWER(1+SegmentLibrary!H:H/100,A53-1),INDEX(Parameters!B:D,MOD(A53-1,12)+1,2))</f>
        <v/>
      </c>
    </row>
    <row r="54">
      <c r="A54" s="2" t="n">
        <v>53</v>
      </c>
      <c r="B54" s="2">
        <f>IF(Dashboard!B4="1M",TEXT(DATE(YEAR(TODAY()),MONTH(TODAY())+52,1),"mmm dd"),TEXT(DATE(YEAR(TODAY()),MONTH(TODAY())+52,1),"yyyy mmm"))</f>
        <v/>
      </c>
      <c r="C54" s="2">
        <f>Dashboard!B3</f>
        <v/>
      </c>
      <c r="D54" s="6">
        <f>SUMPRODUCT((SegmentLibrary!A:A=C54),SegmentLibrary!G:G*POWER(1+SegmentLibrary!H:H/100,A54-1),SegmentLibrary!E:E,INDEX(Parameters!B:D,MOD(A54-1,12)+1,2))</f>
        <v/>
      </c>
      <c r="E54" s="7">
        <f>D54/Dashboard!B5</f>
        <v/>
      </c>
      <c r="F54" s="6">
        <f>SUMPRODUCT((SegmentLibrary!A:A=C54),SegmentLibrary!G:G*POWER(1+SegmentLibrary!H:H/100,A54-1),SegmentLibrary!F:F,INDEX(Parameters!B:D,MOD(A54-1,12)+1,2))</f>
        <v/>
      </c>
      <c r="G54" s="7">
        <f>F54/Dashboard!B5</f>
        <v/>
      </c>
      <c r="H54" s="6">
        <f>D54-F54-Parameters!B6</f>
        <v/>
      </c>
      <c r="I54" s="7">
        <f>H54/Dashboard!B5</f>
        <v/>
      </c>
      <c r="J54" s="8">
        <f>IF(D54&gt;0,H54/D54*100,0)</f>
        <v/>
      </c>
      <c r="K54" s="6">
        <f>SUMPRODUCT((SegmentLibrary!A:A=C54),SegmentLibrary!G:G*POWER(1+SegmentLibrary!H:H/100,A54-1),INDEX(Parameters!B:D,MOD(A54-1,12)+1,2))</f>
        <v/>
      </c>
    </row>
    <row r="55">
      <c r="A55" s="2" t="n">
        <v>54</v>
      </c>
      <c r="B55" s="2">
        <f>IF(Dashboard!B4="1M",TEXT(DATE(YEAR(TODAY()),MONTH(TODAY())+53,1),"mmm dd"),TEXT(DATE(YEAR(TODAY()),MONTH(TODAY())+53,1),"yyyy mmm"))</f>
        <v/>
      </c>
      <c r="C55" s="2">
        <f>Dashboard!B3</f>
        <v/>
      </c>
      <c r="D55" s="6">
        <f>SUMPRODUCT((SegmentLibrary!A:A=C55),SegmentLibrary!G:G*POWER(1+SegmentLibrary!H:H/100,A55-1),SegmentLibrary!E:E,INDEX(Parameters!B:D,MOD(A55-1,12)+1,2))</f>
        <v/>
      </c>
      <c r="E55" s="7">
        <f>D55/Dashboard!B5</f>
        <v/>
      </c>
      <c r="F55" s="6">
        <f>SUMPRODUCT((SegmentLibrary!A:A=C55),SegmentLibrary!G:G*POWER(1+SegmentLibrary!H:H/100,A55-1),SegmentLibrary!F:F,INDEX(Parameters!B:D,MOD(A55-1,12)+1,2))</f>
        <v/>
      </c>
      <c r="G55" s="7">
        <f>F55/Dashboard!B5</f>
        <v/>
      </c>
      <c r="H55" s="6">
        <f>D55-F55-Parameters!B6</f>
        <v/>
      </c>
      <c r="I55" s="7">
        <f>H55/Dashboard!B5</f>
        <v/>
      </c>
      <c r="J55" s="8">
        <f>IF(D55&gt;0,H55/D55*100,0)</f>
        <v/>
      </c>
      <c r="K55" s="6">
        <f>SUMPRODUCT((SegmentLibrary!A:A=C55),SegmentLibrary!G:G*POWER(1+SegmentLibrary!H:H/100,A55-1),INDEX(Parameters!B:D,MOD(A55-1,12)+1,2))</f>
        <v/>
      </c>
    </row>
    <row r="56">
      <c r="A56" s="2" t="n">
        <v>55</v>
      </c>
      <c r="B56" s="2">
        <f>IF(Dashboard!B4="1M",TEXT(DATE(YEAR(TODAY()),MONTH(TODAY())+54,1),"mmm dd"),TEXT(DATE(YEAR(TODAY()),MONTH(TODAY())+54,1),"yyyy mmm"))</f>
        <v/>
      </c>
      <c r="C56" s="2">
        <f>Dashboard!B3</f>
        <v/>
      </c>
      <c r="D56" s="6">
        <f>SUMPRODUCT((SegmentLibrary!A:A=C56),SegmentLibrary!G:G*POWER(1+SegmentLibrary!H:H/100,A56-1),SegmentLibrary!E:E,INDEX(Parameters!B:D,MOD(A56-1,12)+1,2))</f>
        <v/>
      </c>
      <c r="E56" s="7">
        <f>D56/Dashboard!B5</f>
        <v/>
      </c>
      <c r="F56" s="6">
        <f>SUMPRODUCT((SegmentLibrary!A:A=C56),SegmentLibrary!G:G*POWER(1+SegmentLibrary!H:H/100,A56-1),SegmentLibrary!F:F,INDEX(Parameters!B:D,MOD(A56-1,12)+1,2))</f>
        <v/>
      </c>
      <c r="G56" s="7">
        <f>F56/Dashboard!B5</f>
        <v/>
      </c>
      <c r="H56" s="6">
        <f>D56-F56-Parameters!B6</f>
        <v/>
      </c>
      <c r="I56" s="7">
        <f>H56/Dashboard!B5</f>
        <v/>
      </c>
      <c r="J56" s="8">
        <f>IF(D56&gt;0,H56/D56*100,0)</f>
        <v/>
      </c>
      <c r="K56" s="6">
        <f>SUMPRODUCT((SegmentLibrary!A:A=C56),SegmentLibrary!G:G*POWER(1+SegmentLibrary!H:H/100,A56-1),INDEX(Parameters!B:D,MOD(A56-1,12)+1,2))</f>
        <v/>
      </c>
    </row>
    <row r="57">
      <c r="A57" s="2" t="n">
        <v>56</v>
      </c>
      <c r="B57" s="2">
        <f>IF(Dashboard!B4="1M",TEXT(DATE(YEAR(TODAY()),MONTH(TODAY())+55,1),"mmm dd"),TEXT(DATE(YEAR(TODAY()),MONTH(TODAY())+55,1),"yyyy mmm"))</f>
        <v/>
      </c>
      <c r="C57" s="2">
        <f>Dashboard!B3</f>
        <v/>
      </c>
      <c r="D57" s="6">
        <f>SUMPRODUCT((SegmentLibrary!A:A=C57),SegmentLibrary!G:G*POWER(1+SegmentLibrary!H:H/100,A57-1),SegmentLibrary!E:E,INDEX(Parameters!B:D,MOD(A57-1,12)+1,2))</f>
        <v/>
      </c>
      <c r="E57" s="7">
        <f>D57/Dashboard!B5</f>
        <v/>
      </c>
      <c r="F57" s="6">
        <f>SUMPRODUCT((SegmentLibrary!A:A=C57),SegmentLibrary!G:G*POWER(1+SegmentLibrary!H:H/100,A57-1),SegmentLibrary!F:F,INDEX(Parameters!B:D,MOD(A57-1,12)+1,2))</f>
        <v/>
      </c>
      <c r="G57" s="7">
        <f>F57/Dashboard!B5</f>
        <v/>
      </c>
      <c r="H57" s="6">
        <f>D57-F57-Parameters!B6</f>
        <v/>
      </c>
      <c r="I57" s="7">
        <f>H57/Dashboard!B5</f>
        <v/>
      </c>
      <c r="J57" s="8">
        <f>IF(D57&gt;0,H57/D57*100,0)</f>
        <v/>
      </c>
      <c r="K57" s="6">
        <f>SUMPRODUCT((SegmentLibrary!A:A=C57),SegmentLibrary!G:G*POWER(1+SegmentLibrary!H:H/100,A57-1),INDEX(Parameters!B:D,MOD(A57-1,12)+1,2))</f>
        <v/>
      </c>
    </row>
    <row r="58">
      <c r="A58" s="2" t="n">
        <v>57</v>
      </c>
      <c r="B58" s="2">
        <f>IF(Dashboard!B4="1M",TEXT(DATE(YEAR(TODAY()),MONTH(TODAY())+56,1),"mmm dd"),TEXT(DATE(YEAR(TODAY()),MONTH(TODAY())+56,1),"yyyy mmm"))</f>
        <v/>
      </c>
      <c r="C58" s="2">
        <f>Dashboard!B3</f>
        <v/>
      </c>
      <c r="D58" s="6">
        <f>SUMPRODUCT((SegmentLibrary!A:A=C58),SegmentLibrary!G:G*POWER(1+SegmentLibrary!H:H/100,A58-1),SegmentLibrary!E:E,INDEX(Parameters!B:D,MOD(A58-1,12)+1,2))</f>
        <v/>
      </c>
      <c r="E58" s="7">
        <f>D58/Dashboard!B5</f>
        <v/>
      </c>
      <c r="F58" s="6">
        <f>SUMPRODUCT((SegmentLibrary!A:A=C58),SegmentLibrary!G:G*POWER(1+SegmentLibrary!H:H/100,A58-1),SegmentLibrary!F:F,INDEX(Parameters!B:D,MOD(A58-1,12)+1,2))</f>
        <v/>
      </c>
      <c r="G58" s="7">
        <f>F58/Dashboard!B5</f>
        <v/>
      </c>
      <c r="H58" s="6">
        <f>D58-F58-Parameters!B6</f>
        <v/>
      </c>
      <c r="I58" s="7">
        <f>H58/Dashboard!B5</f>
        <v/>
      </c>
      <c r="J58" s="8">
        <f>IF(D58&gt;0,H58/D58*100,0)</f>
        <v/>
      </c>
      <c r="K58" s="6">
        <f>SUMPRODUCT((SegmentLibrary!A:A=C58),SegmentLibrary!G:G*POWER(1+SegmentLibrary!H:H/100,A58-1),INDEX(Parameters!B:D,MOD(A58-1,12)+1,2))</f>
        <v/>
      </c>
    </row>
    <row r="59">
      <c r="A59" s="2" t="n">
        <v>58</v>
      </c>
      <c r="B59" s="2">
        <f>IF(Dashboard!B4="1M",TEXT(DATE(YEAR(TODAY()),MONTH(TODAY())+57,1),"mmm dd"),TEXT(DATE(YEAR(TODAY()),MONTH(TODAY())+57,1),"yyyy mmm"))</f>
        <v/>
      </c>
      <c r="C59" s="2">
        <f>Dashboard!B3</f>
        <v/>
      </c>
      <c r="D59" s="6">
        <f>SUMPRODUCT((SegmentLibrary!A:A=C59),SegmentLibrary!G:G*POWER(1+SegmentLibrary!H:H/100,A59-1),SegmentLibrary!E:E,INDEX(Parameters!B:D,MOD(A59-1,12)+1,2))</f>
        <v/>
      </c>
      <c r="E59" s="7">
        <f>D59/Dashboard!B5</f>
        <v/>
      </c>
      <c r="F59" s="6">
        <f>SUMPRODUCT((SegmentLibrary!A:A=C59),SegmentLibrary!G:G*POWER(1+SegmentLibrary!H:H/100,A59-1),SegmentLibrary!F:F,INDEX(Parameters!B:D,MOD(A59-1,12)+1,2))</f>
        <v/>
      </c>
      <c r="G59" s="7">
        <f>F59/Dashboard!B5</f>
        <v/>
      </c>
      <c r="H59" s="6">
        <f>D59-F59-Parameters!B6</f>
        <v/>
      </c>
      <c r="I59" s="7">
        <f>H59/Dashboard!B5</f>
        <v/>
      </c>
      <c r="J59" s="8">
        <f>IF(D59&gt;0,H59/D59*100,0)</f>
        <v/>
      </c>
      <c r="K59" s="6">
        <f>SUMPRODUCT((SegmentLibrary!A:A=C59),SegmentLibrary!G:G*POWER(1+SegmentLibrary!H:H/100,A59-1),INDEX(Parameters!B:D,MOD(A59-1,12)+1,2))</f>
        <v/>
      </c>
    </row>
    <row r="60">
      <c r="A60" s="2" t="n">
        <v>59</v>
      </c>
      <c r="B60" s="2">
        <f>IF(Dashboard!B4="1M",TEXT(DATE(YEAR(TODAY()),MONTH(TODAY())+58,1),"mmm dd"),TEXT(DATE(YEAR(TODAY()),MONTH(TODAY())+58,1),"yyyy mmm"))</f>
        <v/>
      </c>
      <c r="C60" s="2">
        <f>Dashboard!B3</f>
        <v/>
      </c>
      <c r="D60" s="6">
        <f>SUMPRODUCT((SegmentLibrary!A:A=C60),SegmentLibrary!G:G*POWER(1+SegmentLibrary!H:H/100,A60-1),SegmentLibrary!E:E,INDEX(Parameters!B:D,MOD(A60-1,12)+1,2))</f>
        <v/>
      </c>
      <c r="E60" s="7">
        <f>D60/Dashboard!B5</f>
        <v/>
      </c>
      <c r="F60" s="6">
        <f>SUMPRODUCT((SegmentLibrary!A:A=C60),SegmentLibrary!G:G*POWER(1+SegmentLibrary!H:H/100,A60-1),SegmentLibrary!F:F,INDEX(Parameters!B:D,MOD(A60-1,12)+1,2))</f>
        <v/>
      </c>
      <c r="G60" s="7">
        <f>F60/Dashboard!B5</f>
        <v/>
      </c>
      <c r="H60" s="6">
        <f>D60-F60-Parameters!B6</f>
        <v/>
      </c>
      <c r="I60" s="7">
        <f>H60/Dashboard!B5</f>
        <v/>
      </c>
      <c r="J60" s="8">
        <f>IF(D60&gt;0,H60/D60*100,0)</f>
        <v/>
      </c>
      <c r="K60" s="6">
        <f>SUMPRODUCT((SegmentLibrary!A:A=C60),SegmentLibrary!G:G*POWER(1+SegmentLibrary!H:H/100,A60-1),INDEX(Parameters!B:D,MOD(A60-1,12)+1,2))</f>
        <v/>
      </c>
    </row>
    <row r="61">
      <c r="A61" s="2" t="n">
        <v>60</v>
      </c>
      <c r="B61" s="2">
        <f>IF(Dashboard!B4="1M",TEXT(DATE(YEAR(TODAY()),MONTH(TODAY())+59,1),"mmm dd"),TEXT(DATE(YEAR(TODAY()),MONTH(TODAY())+59,1),"yyyy mmm"))</f>
        <v/>
      </c>
      <c r="C61" s="2">
        <f>Dashboard!B3</f>
        <v/>
      </c>
      <c r="D61" s="6">
        <f>SUMPRODUCT((SegmentLibrary!A:A=C61),SegmentLibrary!G:G*POWER(1+SegmentLibrary!H:H/100,A61-1),SegmentLibrary!E:E,INDEX(Parameters!B:D,MOD(A61-1,12)+1,2))</f>
        <v/>
      </c>
      <c r="E61" s="7">
        <f>D61/Dashboard!B5</f>
        <v/>
      </c>
      <c r="F61" s="6">
        <f>SUMPRODUCT((SegmentLibrary!A:A=C61),SegmentLibrary!G:G*POWER(1+SegmentLibrary!H:H/100,A61-1),SegmentLibrary!F:F,INDEX(Parameters!B:D,MOD(A61-1,12)+1,2))</f>
        <v/>
      </c>
      <c r="G61" s="7">
        <f>F61/Dashboard!B5</f>
        <v/>
      </c>
      <c r="H61" s="6">
        <f>D61-F61-Parameters!B6</f>
        <v/>
      </c>
      <c r="I61" s="7">
        <f>H61/Dashboard!B5</f>
        <v/>
      </c>
      <c r="J61" s="8">
        <f>IF(D61&gt;0,H61/D61*100,0)</f>
        <v/>
      </c>
      <c r="K61" s="6">
        <f>SUMPRODUCT((SegmentLibrary!A:A=C61),SegmentLibrary!G:G*POWER(1+SegmentLibrary!H:H/100,A61-1),INDEX(Parameters!B:D,MOD(A61-1,12)+1,2))</f>
        <v/>
      </c>
    </row>
    <row r="62">
      <c r="A62" s="2" t="n">
        <v>61</v>
      </c>
      <c r="B62" s="2">
        <f>IF(Dashboard!B4="1M",TEXT(DATE(YEAR(TODAY()),MONTH(TODAY())+60,1),"mmm dd"),TEXT(DATE(YEAR(TODAY()),MONTH(TODAY())+60,1),"yyyy mmm"))</f>
        <v/>
      </c>
      <c r="C62" s="2">
        <f>Dashboard!B3</f>
        <v/>
      </c>
      <c r="D62" s="6">
        <f>SUMPRODUCT((SegmentLibrary!A:A=C62),SegmentLibrary!G:G*POWER(1+SegmentLibrary!H:H/100,A62-1),SegmentLibrary!E:E,INDEX(Parameters!B:D,MOD(A62-1,12)+1,2))</f>
        <v/>
      </c>
      <c r="E62" s="7">
        <f>D62/Dashboard!B5</f>
        <v/>
      </c>
      <c r="F62" s="6">
        <f>SUMPRODUCT((SegmentLibrary!A:A=C62),SegmentLibrary!G:G*POWER(1+SegmentLibrary!H:H/100,A62-1),SegmentLibrary!F:F,INDEX(Parameters!B:D,MOD(A62-1,12)+1,2))</f>
        <v/>
      </c>
      <c r="G62" s="7">
        <f>F62/Dashboard!B5</f>
        <v/>
      </c>
      <c r="H62" s="6">
        <f>D62-F62-Parameters!B6</f>
        <v/>
      </c>
      <c r="I62" s="7">
        <f>H62/Dashboard!B5</f>
        <v/>
      </c>
      <c r="J62" s="8">
        <f>IF(D62&gt;0,H62/D62*100,0)</f>
        <v/>
      </c>
      <c r="K62" s="6">
        <f>SUMPRODUCT((SegmentLibrary!A:A=C62),SegmentLibrary!G:G*POWER(1+SegmentLibrary!H:H/100,A62-1),INDEX(Parameters!B:D,MOD(A62-1,12)+1,2))</f>
        <v/>
      </c>
    </row>
    <row r="63">
      <c r="A63" s="2" t="n">
        <v>62</v>
      </c>
      <c r="B63" s="2">
        <f>IF(Dashboard!B4="1M",TEXT(DATE(YEAR(TODAY()),MONTH(TODAY())+61,1),"mmm dd"),TEXT(DATE(YEAR(TODAY()),MONTH(TODAY())+61,1),"yyyy mmm"))</f>
        <v/>
      </c>
      <c r="C63" s="2">
        <f>Dashboard!B3</f>
        <v/>
      </c>
      <c r="D63" s="6">
        <f>SUMPRODUCT((SegmentLibrary!A:A=C63),SegmentLibrary!G:G*POWER(1+SegmentLibrary!H:H/100,A63-1),SegmentLibrary!E:E,INDEX(Parameters!B:D,MOD(A63-1,12)+1,2))</f>
        <v/>
      </c>
      <c r="E63" s="7">
        <f>D63/Dashboard!B5</f>
        <v/>
      </c>
      <c r="F63" s="6">
        <f>SUMPRODUCT((SegmentLibrary!A:A=C63),SegmentLibrary!G:G*POWER(1+SegmentLibrary!H:H/100,A63-1),SegmentLibrary!F:F,INDEX(Parameters!B:D,MOD(A63-1,12)+1,2))</f>
        <v/>
      </c>
      <c r="G63" s="7">
        <f>F63/Dashboard!B5</f>
        <v/>
      </c>
      <c r="H63" s="6">
        <f>D63-F63-Parameters!B6</f>
        <v/>
      </c>
      <c r="I63" s="7">
        <f>H63/Dashboard!B5</f>
        <v/>
      </c>
      <c r="J63" s="8">
        <f>IF(D63&gt;0,H63/D63*100,0)</f>
        <v/>
      </c>
      <c r="K63" s="6">
        <f>SUMPRODUCT((SegmentLibrary!A:A=C63),SegmentLibrary!G:G*POWER(1+SegmentLibrary!H:H/100,A63-1),INDEX(Parameters!B:D,MOD(A63-1,12)+1,2))</f>
        <v/>
      </c>
    </row>
    <row r="64">
      <c r="A64" s="2" t="n">
        <v>63</v>
      </c>
      <c r="B64" s="2">
        <f>IF(Dashboard!B4="1M",TEXT(DATE(YEAR(TODAY()),MONTH(TODAY())+62,1),"mmm dd"),TEXT(DATE(YEAR(TODAY()),MONTH(TODAY())+62,1),"yyyy mmm"))</f>
        <v/>
      </c>
      <c r="C64" s="2">
        <f>Dashboard!B3</f>
        <v/>
      </c>
      <c r="D64" s="6">
        <f>SUMPRODUCT((SegmentLibrary!A:A=C64),SegmentLibrary!G:G*POWER(1+SegmentLibrary!H:H/100,A64-1),SegmentLibrary!E:E,INDEX(Parameters!B:D,MOD(A64-1,12)+1,2))</f>
        <v/>
      </c>
      <c r="E64" s="7">
        <f>D64/Dashboard!B5</f>
        <v/>
      </c>
      <c r="F64" s="6">
        <f>SUMPRODUCT((SegmentLibrary!A:A=C64),SegmentLibrary!G:G*POWER(1+SegmentLibrary!H:H/100,A64-1),SegmentLibrary!F:F,INDEX(Parameters!B:D,MOD(A64-1,12)+1,2))</f>
        <v/>
      </c>
      <c r="G64" s="7">
        <f>F64/Dashboard!B5</f>
        <v/>
      </c>
      <c r="H64" s="6">
        <f>D64-F64-Parameters!B6</f>
        <v/>
      </c>
      <c r="I64" s="7">
        <f>H64/Dashboard!B5</f>
        <v/>
      </c>
      <c r="J64" s="8">
        <f>IF(D64&gt;0,H64/D64*100,0)</f>
        <v/>
      </c>
      <c r="K64" s="6">
        <f>SUMPRODUCT((SegmentLibrary!A:A=C64),SegmentLibrary!G:G*POWER(1+SegmentLibrary!H:H/100,A64-1),INDEX(Parameters!B:D,MOD(A64-1,12)+1,2))</f>
        <v/>
      </c>
    </row>
    <row r="65">
      <c r="A65" s="2" t="n">
        <v>64</v>
      </c>
      <c r="B65" s="2">
        <f>IF(Dashboard!B4="1M",TEXT(DATE(YEAR(TODAY()),MONTH(TODAY())+63,1),"mmm dd"),TEXT(DATE(YEAR(TODAY()),MONTH(TODAY())+63,1),"yyyy mmm"))</f>
        <v/>
      </c>
      <c r="C65" s="2">
        <f>Dashboard!B3</f>
        <v/>
      </c>
      <c r="D65" s="6">
        <f>SUMPRODUCT((SegmentLibrary!A:A=C65),SegmentLibrary!G:G*POWER(1+SegmentLibrary!H:H/100,A65-1),SegmentLibrary!E:E,INDEX(Parameters!B:D,MOD(A65-1,12)+1,2))</f>
        <v/>
      </c>
      <c r="E65" s="7">
        <f>D65/Dashboard!B5</f>
        <v/>
      </c>
      <c r="F65" s="6">
        <f>SUMPRODUCT((SegmentLibrary!A:A=C65),SegmentLibrary!G:G*POWER(1+SegmentLibrary!H:H/100,A65-1),SegmentLibrary!F:F,INDEX(Parameters!B:D,MOD(A65-1,12)+1,2))</f>
        <v/>
      </c>
      <c r="G65" s="7">
        <f>F65/Dashboard!B5</f>
        <v/>
      </c>
      <c r="H65" s="6">
        <f>D65-F65-Parameters!B6</f>
        <v/>
      </c>
      <c r="I65" s="7">
        <f>H65/Dashboard!B5</f>
        <v/>
      </c>
      <c r="J65" s="8">
        <f>IF(D65&gt;0,H65/D65*100,0)</f>
        <v/>
      </c>
      <c r="K65" s="6">
        <f>SUMPRODUCT((SegmentLibrary!A:A=C65),SegmentLibrary!G:G*POWER(1+SegmentLibrary!H:H/100,A65-1),INDEX(Parameters!B:D,MOD(A65-1,12)+1,2))</f>
        <v/>
      </c>
    </row>
    <row r="66">
      <c r="A66" s="2" t="n">
        <v>65</v>
      </c>
      <c r="B66" s="2">
        <f>IF(Dashboard!B4="1M",TEXT(DATE(YEAR(TODAY()),MONTH(TODAY())+64,1),"mmm dd"),TEXT(DATE(YEAR(TODAY()),MONTH(TODAY())+64,1),"yyyy mmm"))</f>
        <v/>
      </c>
      <c r="C66" s="2">
        <f>Dashboard!B3</f>
        <v/>
      </c>
      <c r="D66" s="6">
        <f>SUMPRODUCT((SegmentLibrary!A:A=C66),SegmentLibrary!G:G*POWER(1+SegmentLibrary!H:H/100,A66-1),SegmentLibrary!E:E,INDEX(Parameters!B:D,MOD(A66-1,12)+1,2))</f>
        <v/>
      </c>
      <c r="E66" s="7">
        <f>D66/Dashboard!B5</f>
        <v/>
      </c>
      <c r="F66" s="6">
        <f>SUMPRODUCT((SegmentLibrary!A:A=C66),SegmentLibrary!G:G*POWER(1+SegmentLibrary!H:H/100,A66-1),SegmentLibrary!F:F,INDEX(Parameters!B:D,MOD(A66-1,12)+1,2))</f>
        <v/>
      </c>
      <c r="G66" s="7">
        <f>F66/Dashboard!B5</f>
        <v/>
      </c>
      <c r="H66" s="6">
        <f>D66-F66-Parameters!B6</f>
        <v/>
      </c>
      <c r="I66" s="7">
        <f>H66/Dashboard!B5</f>
        <v/>
      </c>
      <c r="J66" s="8">
        <f>IF(D66&gt;0,H66/D66*100,0)</f>
        <v/>
      </c>
      <c r="K66" s="6">
        <f>SUMPRODUCT((SegmentLibrary!A:A=C66),SegmentLibrary!G:G*POWER(1+SegmentLibrary!H:H/100,A66-1),INDEX(Parameters!B:D,MOD(A66-1,12)+1,2))</f>
        <v/>
      </c>
    </row>
    <row r="67">
      <c r="A67" s="2" t="n">
        <v>66</v>
      </c>
      <c r="B67" s="2">
        <f>IF(Dashboard!B4="1M",TEXT(DATE(YEAR(TODAY()),MONTH(TODAY())+65,1),"mmm dd"),TEXT(DATE(YEAR(TODAY()),MONTH(TODAY())+65,1),"yyyy mmm"))</f>
        <v/>
      </c>
      <c r="C67" s="2">
        <f>Dashboard!B3</f>
        <v/>
      </c>
      <c r="D67" s="6">
        <f>SUMPRODUCT((SegmentLibrary!A:A=C67),SegmentLibrary!G:G*POWER(1+SegmentLibrary!H:H/100,A67-1),SegmentLibrary!E:E,INDEX(Parameters!B:D,MOD(A67-1,12)+1,2))</f>
        <v/>
      </c>
      <c r="E67" s="7">
        <f>D67/Dashboard!B5</f>
        <v/>
      </c>
      <c r="F67" s="6">
        <f>SUMPRODUCT((SegmentLibrary!A:A=C67),SegmentLibrary!G:G*POWER(1+SegmentLibrary!H:H/100,A67-1),SegmentLibrary!F:F,INDEX(Parameters!B:D,MOD(A67-1,12)+1,2))</f>
        <v/>
      </c>
      <c r="G67" s="7">
        <f>F67/Dashboard!B5</f>
        <v/>
      </c>
      <c r="H67" s="6">
        <f>D67-F67-Parameters!B6</f>
        <v/>
      </c>
      <c r="I67" s="7">
        <f>H67/Dashboard!B5</f>
        <v/>
      </c>
      <c r="J67" s="8">
        <f>IF(D67&gt;0,H67/D67*100,0)</f>
        <v/>
      </c>
      <c r="K67" s="6">
        <f>SUMPRODUCT((SegmentLibrary!A:A=C67),SegmentLibrary!G:G*POWER(1+SegmentLibrary!H:H/100,A67-1),INDEX(Parameters!B:D,MOD(A67-1,12)+1,2))</f>
        <v/>
      </c>
    </row>
    <row r="68">
      <c r="A68" s="2" t="n">
        <v>67</v>
      </c>
      <c r="B68" s="2">
        <f>IF(Dashboard!B4="1M",TEXT(DATE(YEAR(TODAY()),MONTH(TODAY())+66,1),"mmm dd"),TEXT(DATE(YEAR(TODAY()),MONTH(TODAY())+66,1),"yyyy mmm"))</f>
        <v/>
      </c>
      <c r="C68" s="2">
        <f>Dashboard!B3</f>
        <v/>
      </c>
      <c r="D68" s="6">
        <f>SUMPRODUCT((SegmentLibrary!A:A=C68),SegmentLibrary!G:G*POWER(1+SegmentLibrary!H:H/100,A68-1),SegmentLibrary!E:E,INDEX(Parameters!B:D,MOD(A68-1,12)+1,2))</f>
        <v/>
      </c>
      <c r="E68" s="7">
        <f>D68/Dashboard!B5</f>
        <v/>
      </c>
      <c r="F68" s="6">
        <f>SUMPRODUCT((SegmentLibrary!A:A=C68),SegmentLibrary!G:G*POWER(1+SegmentLibrary!H:H/100,A68-1),SegmentLibrary!F:F,INDEX(Parameters!B:D,MOD(A68-1,12)+1,2))</f>
        <v/>
      </c>
      <c r="G68" s="7">
        <f>F68/Dashboard!B5</f>
        <v/>
      </c>
      <c r="H68" s="6">
        <f>D68-F68-Parameters!B6</f>
        <v/>
      </c>
      <c r="I68" s="7">
        <f>H68/Dashboard!B5</f>
        <v/>
      </c>
      <c r="J68" s="8">
        <f>IF(D68&gt;0,H68/D68*100,0)</f>
        <v/>
      </c>
      <c r="K68" s="6">
        <f>SUMPRODUCT((SegmentLibrary!A:A=C68),SegmentLibrary!G:G*POWER(1+SegmentLibrary!H:H/100,A68-1),INDEX(Parameters!B:D,MOD(A68-1,12)+1,2))</f>
        <v/>
      </c>
    </row>
    <row r="69">
      <c r="A69" s="2" t="n">
        <v>68</v>
      </c>
      <c r="B69" s="2">
        <f>IF(Dashboard!B4="1M",TEXT(DATE(YEAR(TODAY()),MONTH(TODAY())+67,1),"mmm dd"),TEXT(DATE(YEAR(TODAY()),MONTH(TODAY())+67,1),"yyyy mmm"))</f>
        <v/>
      </c>
      <c r="C69" s="2">
        <f>Dashboard!B3</f>
        <v/>
      </c>
      <c r="D69" s="6">
        <f>SUMPRODUCT((SegmentLibrary!A:A=C69),SegmentLibrary!G:G*POWER(1+SegmentLibrary!H:H/100,A69-1),SegmentLibrary!E:E,INDEX(Parameters!B:D,MOD(A69-1,12)+1,2))</f>
        <v/>
      </c>
      <c r="E69" s="7">
        <f>D69/Dashboard!B5</f>
        <v/>
      </c>
      <c r="F69" s="6">
        <f>SUMPRODUCT((SegmentLibrary!A:A=C69),SegmentLibrary!G:G*POWER(1+SegmentLibrary!H:H/100,A69-1),SegmentLibrary!F:F,INDEX(Parameters!B:D,MOD(A69-1,12)+1,2))</f>
        <v/>
      </c>
      <c r="G69" s="7">
        <f>F69/Dashboard!B5</f>
        <v/>
      </c>
      <c r="H69" s="6">
        <f>D69-F69-Parameters!B6</f>
        <v/>
      </c>
      <c r="I69" s="7">
        <f>H69/Dashboard!B5</f>
        <v/>
      </c>
      <c r="J69" s="8">
        <f>IF(D69&gt;0,H69/D69*100,0)</f>
        <v/>
      </c>
      <c r="K69" s="6">
        <f>SUMPRODUCT((SegmentLibrary!A:A=C69),SegmentLibrary!G:G*POWER(1+SegmentLibrary!H:H/100,A69-1),INDEX(Parameters!B:D,MOD(A69-1,12)+1,2))</f>
        <v/>
      </c>
    </row>
    <row r="70">
      <c r="A70" s="2" t="n">
        <v>69</v>
      </c>
      <c r="B70" s="2">
        <f>IF(Dashboard!B4="1M",TEXT(DATE(YEAR(TODAY()),MONTH(TODAY())+68,1),"mmm dd"),TEXT(DATE(YEAR(TODAY()),MONTH(TODAY())+68,1),"yyyy mmm"))</f>
        <v/>
      </c>
      <c r="C70" s="2">
        <f>Dashboard!B3</f>
        <v/>
      </c>
      <c r="D70" s="6">
        <f>SUMPRODUCT((SegmentLibrary!A:A=C70),SegmentLibrary!G:G*POWER(1+SegmentLibrary!H:H/100,A70-1),SegmentLibrary!E:E,INDEX(Parameters!B:D,MOD(A70-1,12)+1,2))</f>
        <v/>
      </c>
      <c r="E70" s="7">
        <f>D70/Dashboard!B5</f>
        <v/>
      </c>
      <c r="F70" s="6">
        <f>SUMPRODUCT((SegmentLibrary!A:A=C70),SegmentLibrary!G:G*POWER(1+SegmentLibrary!H:H/100,A70-1),SegmentLibrary!F:F,INDEX(Parameters!B:D,MOD(A70-1,12)+1,2))</f>
        <v/>
      </c>
      <c r="G70" s="7">
        <f>F70/Dashboard!B5</f>
        <v/>
      </c>
      <c r="H70" s="6">
        <f>D70-F70-Parameters!B6</f>
        <v/>
      </c>
      <c r="I70" s="7">
        <f>H70/Dashboard!B5</f>
        <v/>
      </c>
      <c r="J70" s="8">
        <f>IF(D70&gt;0,H70/D70*100,0)</f>
        <v/>
      </c>
      <c r="K70" s="6">
        <f>SUMPRODUCT((SegmentLibrary!A:A=C70),SegmentLibrary!G:G*POWER(1+SegmentLibrary!H:H/100,A70-1),INDEX(Parameters!B:D,MOD(A70-1,12)+1,2))</f>
        <v/>
      </c>
    </row>
    <row r="71">
      <c r="A71" s="2" t="n">
        <v>70</v>
      </c>
      <c r="B71" s="2">
        <f>IF(Dashboard!B4="1M",TEXT(DATE(YEAR(TODAY()),MONTH(TODAY())+69,1),"mmm dd"),TEXT(DATE(YEAR(TODAY()),MONTH(TODAY())+69,1),"yyyy mmm"))</f>
        <v/>
      </c>
      <c r="C71" s="2">
        <f>Dashboard!B3</f>
        <v/>
      </c>
      <c r="D71" s="6">
        <f>SUMPRODUCT((SegmentLibrary!A:A=C71),SegmentLibrary!G:G*POWER(1+SegmentLibrary!H:H/100,A71-1),SegmentLibrary!E:E,INDEX(Parameters!B:D,MOD(A71-1,12)+1,2))</f>
        <v/>
      </c>
      <c r="E71" s="7">
        <f>D71/Dashboard!B5</f>
        <v/>
      </c>
      <c r="F71" s="6">
        <f>SUMPRODUCT((SegmentLibrary!A:A=C71),SegmentLibrary!G:G*POWER(1+SegmentLibrary!H:H/100,A71-1),SegmentLibrary!F:F,INDEX(Parameters!B:D,MOD(A71-1,12)+1,2))</f>
        <v/>
      </c>
      <c r="G71" s="7">
        <f>F71/Dashboard!B5</f>
        <v/>
      </c>
      <c r="H71" s="6">
        <f>D71-F71-Parameters!B6</f>
        <v/>
      </c>
      <c r="I71" s="7">
        <f>H71/Dashboard!B5</f>
        <v/>
      </c>
      <c r="J71" s="8">
        <f>IF(D71&gt;0,H71/D71*100,0)</f>
        <v/>
      </c>
      <c r="K71" s="6">
        <f>SUMPRODUCT((SegmentLibrary!A:A=C71),SegmentLibrary!G:G*POWER(1+SegmentLibrary!H:H/100,A71-1),INDEX(Parameters!B:D,MOD(A71-1,12)+1,2))</f>
        <v/>
      </c>
    </row>
    <row r="72">
      <c r="A72" s="2" t="n">
        <v>71</v>
      </c>
      <c r="B72" s="2">
        <f>IF(Dashboard!B4="1M",TEXT(DATE(YEAR(TODAY()),MONTH(TODAY())+70,1),"mmm dd"),TEXT(DATE(YEAR(TODAY()),MONTH(TODAY())+70,1),"yyyy mmm"))</f>
        <v/>
      </c>
      <c r="C72" s="2">
        <f>Dashboard!B3</f>
        <v/>
      </c>
      <c r="D72" s="6">
        <f>SUMPRODUCT((SegmentLibrary!A:A=C72),SegmentLibrary!G:G*POWER(1+SegmentLibrary!H:H/100,A72-1),SegmentLibrary!E:E,INDEX(Parameters!B:D,MOD(A72-1,12)+1,2))</f>
        <v/>
      </c>
      <c r="E72" s="7">
        <f>D72/Dashboard!B5</f>
        <v/>
      </c>
      <c r="F72" s="6">
        <f>SUMPRODUCT((SegmentLibrary!A:A=C72),SegmentLibrary!G:G*POWER(1+SegmentLibrary!H:H/100,A72-1),SegmentLibrary!F:F,INDEX(Parameters!B:D,MOD(A72-1,12)+1,2))</f>
        <v/>
      </c>
      <c r="G72" s="7">
        <f>F72/Dashboard!B5</f>
        <v/>
      </c>
      <c r="H72" s="6">
        <f>D72-F72-Parameters!B6</f>
        <v/>
      </c>
      <c r="I72" s="7">
        <f>H72/Dashboard!B5</f>
        <v/>
      </c>
      <c r="J72" s="8">
        <f>IF(D72&gt;0,H72/D72*100,0)</f>
        <v/>
      </c>
      <c r="K72" s="6">
        <f>SUMPRODUCT((SegmentLibrary!A:A=C72),SegmentLibrary!G:G*POWER(1+SegmentLibrary!H:H/100,A72-1),INDEX(Parameters!B:D,MOD(A72-1,12)+1,2))</f>
        <v/>
      </c>
    </row>
    <row r="73">
      <c r="A73" s="2" t="n">
        <v>72</v>
      </c>
      <c r="B73" s="2">
        <f>IF(Dashboard!B4="1M",TEXT(DATE(YEAR(TODAY()),MONTH(TODAY())+71,1),"mmm dd"),TEXT(DATE(YEAR(TODAY()),MONTH(TODAY())+71,1),"yyyy mmm"))</f>
        <v/>
      </c>
      <c r="C73" s="2">
        <f>Dashboard!B3</f>
        <v/>
      </c>
      <c r="D73" s="6">
        <f>SUMPRODUCT((SegmentLibrary!A:A=C73),SegmentLibrary!G:G*POWER(1+SegmentLibrary!H:H/100,A73-1),SegmentLibrary!E:E,INDEX(Parameters!B:D,MOD(A73-1,12)+1,2))</f>
        <v/>
      </c>
      <c r="E73" s="7">
        <f>D73/Dashboard!B5</f>
        <v/>
      </c>
      <c r="F73" s="6">
        <f>SUMPRODUCT((SegmentLibrary!A:A=C73),SegmentLibrary!G:G*POWER(1+SegmentLibrary!H:H/100,A73-1),SegmentLibrary!F:F,INDEX(Parameters!B:D,MOD(A73-1,12)+1,2))</f>
        <v/>
      </c>
      <c r="G73" s="7">
        <f>F73/Dashboard!B5</f>
        <v/>
      </c>
      <c r="H73" s="6">
        <f>D73-F73-Parameters!B6</f>
        <v/>
      </c>
      <c r="I73" s="7">
        <f>H73/Dashboard!B5</f>
        <v/>
      </c>
      <c r="J73" s="8">
        <f>IF(D73&gt;0,H73/D73*100,0)</f>
        <v/>
      </c>
      <c r="K73" s="6">
        <f>SUMPRODUCT((SegmentLibrary!A:A=C73),SegmentLibrary!G:G*POWER(1+SegmentLibrary!H:H/100,A73-1),INDEX(Parameters!B:D,MOD(A73-1,12)+1,2))</f>
        <v/>
      </c>
    </row>
    <row r="74">
      <c r="A74" s="2" t="n">
        <v>73</v>
      </c>
      <c r="B74" s="2">
        <f>IF(Dashboard!B4="1M",TEXT(DATE(YEAR(TODAY()),MONTH(TODAY())+72,1),"mmm dd"),TEXT(DATE(YEAR(TODAY()),MONTH(TODAY())+72,1),"yyyy mmm"))</f>
        <v/>
      </c>
      <c r="C74" s="2">
        <f>Dashboard!B3</f>
        <v/>
      </c>
      <c r="D74" s="6">
        <f>SUMPRODUCT((SegmentLibrary!A:A=C74),SegmentLibrary!G:G*POWER(1+SegmentLibrary!H:H/100,A74-1),SegmentLibrary!E:E,INDEX(Parameters!B:D,MOD(A74-1,12)+1,2))</f>
        <v/>
      </c>
      <c r="E74" s="7">
        <f>D74/Dashboard!B5</f>
        <v/>
      </c>
      <c r="F74" s="6">
        <f>SUMPRODUCT((SegmentLibrary!A:A=C74),SegmentLibrary!G:G*POWER(1+SegmentLibrary!H:H/100,A74-1),SegmentLibrary!F:F,INDEX(Parameters!B:D,MOD(A74-1,12)+1,2))</f>
        <v/>
      </c>
      <c r="G74" s="7">
        <f>F74/Dashboard!B5</f>
        <v/>
      </c>
      <c r="H74" s="6">
        <f>D74-F74-Parameters!B6</f>
        <v/>
      </c>
      <c r="I74" s="7">
        <f>H74/Dashboard!B5</f>
        <v/>
      </c>
      <c r="J74" s="8">
        <f>IF(D74&gt;0,H74/D74*100,0)</f>
        <v/>
      </c>
      <c r="K74" s="6">
        <f>SUMPRODUCT((SegmentLibrary!A:A=C74),SegmentLibrary!G:G*POWER(1+SegmentLibrary!H:H/100,A74-1),INDEX(Parameters!B:D,MOD(A74-1,12)+1,2))</f>
        <v/>
      </c>
    </row>
    <row r="75">
      <c r="A75" s="2" t="n">
        <v>74</v>
      </c>
      <c r="B75" s="2">
        <f>IF(Dashboard!B4="1M",TEXT(DATE(YEAR(TODAY()),MONTH(TODAY())+73,1),"mmm dd"),TEXT(DATE(YEAR(TODAY()),MONTH(TODAY())+73,1),"yyyy mmm"))</f>
        <v/>
      </c>
      <c r="C75" s="2">
        <f>Dashboard!B3</f>
        <v/>
      </c>
      <c r="D75" s="6">
        <f>SUMPRODUCT((SegmentLibrary!A:A=C75),SegmentLibrary!G:G*POWER(1+SegmentLibrary!H:H/100,A75-1),SegmentLibrary!E:E,INDEX(Parameters!B:D,MOD(A75-1,12)+1,2))</f>
        <v/>
      </c>
      <c r="E75" s="7">
        <f>D75/Dashboard!B5</f>
        <v/>
      </c>
      <c r="F75" s="6">
        <f>SUMPRODUCT((SegmentLibrary!A:A=C75),SegmentLibrary!G:G*POWER(1+SegmentLibrary!H:H/100,A75-1),SegmentLibrary!F:F,INDEX(Parameters!B:D,MOD(A75-1,12)+1,2))</f>
        <v/>
      </c>
      <c r="G75" s="7">
        <f>F75/Dashboard!B5</f>
        <v/>
      </c>
      <c r="H75" s="6">
        <f>D75-F75-Parameters!B6</f>
        <v/>
      </c>
      <c r="I75" s="7">
        <f>H75/Dashboard!B5</f>
        <v/>
      </c>
      <c r="J75" s="8">
        <f>IF(D75&gt;0,H75/D75*100,0)</f>
        <v/>
      </c>
      <c r="K75" s="6">
        <f>SUMPRODUCT((SegmentLibrary!A:A=C75),SegmentLibrary!G:G*POWER(1+SegmentLibrary!H:H/100,A75-1),INDEX(Parameters!B:D,MOD(A75-1,12)+1,2))</f>
        <v/>
      </c>
    </row>
    <row r="76">
      <c r="A76" s="2" t="n">
        <v>75</v>
      </c>
      <c r="B76" s="2">
        <f>IF(Dashboard!B4="1M",TEXT(DATE(YEAR(TODAY()),MONTH(TODAY())+74,1),"mmm dd"),TEXT(DATE(YEAR(TODAY()),MONTH(TODAY())+74,1),"yyyy mmm"))</f>
        <v/>
      </c>
      <c r="C76" s="2">
        <f>Dashboard!B3</f>
        <v/>
      </c>
      <c r="D76" s="6">
        <f>SUMPRODUCT((SegmentLibrary!A:A=C76),SegmentLibrary!G:G*POWER(1+SegmentLibrary!H:H/100,A76-1),SegmentLibrary!E:E,INDEX(Parameters!B:D,MOD(A76-1,12)+1,2))</f>
        <v/>
      </c>
      <c r="E76" s="7">
        <f>D76/Dashboard!B5</f>
        <v/>
      </c>
      <c r="F76" s="6">
        <f>SUMPRODUCT((SegmentLibrary!A:A=C76),SegmentLibrary!G:G*POWER(1+SegmentLibrary!H:H/100,A76-1),SegmentLibrary!F:F,INDEX(Parameters!B:D,MOD(A76-1,12)+1,2))</f>
        <v/>
      </c>
      <c r="G76" s="7">
        <f>F76/Dashboard!B5</f>
        <v/>
      </c>
      <c r="H76" s="6">
        <f>D76-F76-Parameters!B6</f>
        <v/>
      </c>
      <c r="I76" s="7">
        <f>H76/Dashboard!B5</f>
        <v/>
      </c>
      <c r="J76" s="8">
        <f>IF(D76&gt;0,H76/D76*100,0)</f>
        <v/>
      </c>
      <c r="K76" s="6">
        <f>SUMPRODUCT((SegmentLibrary!A:A=C76),SegmentLibrary!G:G*POWER(1+SegmentLibrary!H:H/100,A76-1),INDEX(Parameters!B:D,MOD(A76-1,12)+1,2))</f>
        <v/>
      </c>
    </row>
    <row r="77">
      <c r="A77" s="2" t="n">
        <v>76</v>
      </c>
      <c r="B77" s="2">
        <f>IF(Dashboard!B4="1M",TEXT(DATE(YEAR(TODAY()),MONTH(TODAY())+75,1),"mmm dd"),TEXT(DATE(YEAR(TODAY()),MONTH(TODAY())+75,1),"yyyy mmm"))</f>
        <v/>
      </c>
      <c r="C77" s="2">
        <f>Dashboard!B3</f>
        <v/>
      </c>
      <c r="D77" s="6">
        <f>SUMPRODUCT((SegmentLibrary!A:A=C77),SegmentLibrary!G:G*POWER(1+SegmentLibrary!H:H/100,A77-1),SegmentLibrary!E:E,INDEX(Parameters!B:D,MOD(A77-1,12)+1,2))</f>
        <v/>
      </c>
      <c r="E77" s="7">
        <f>D77/Dashboard!B5</f>
        <v/>
      </c>
      <c r="F77" s="6">
        <f>SUMPRODUCT((SegmentLibrary!A:A=C77),SegmentLibrary!G:G*POWER(1+SegmentLibrary!H:H/100,A77-1),SegmentLibrary!F:F,INDEX(Parameters!B:D,MOD(A77-1,12)+1,2))</f>
        <v/>
      </c>
      <c r="G77" s="7">
        <f>F77/Dashboard!B5</f>
        <v/>
      </c>
      <c r="H77" s="6">
        <f>D77-F77-Parameters!B6</f>
        <v/>
      </c>
      <c r="I77" s="7">
        <f>H77/Dashboard!B5</f>
        <v/>
      </c>
      <c r="J77" s="8">
        <f>IF(D77&gt;0,H77/D77*100,0)</f>
        <v/>
      </c>
      <c r="K77" s="6">
        <f>SUMPRODUCT((SegmentLibrary!A:A=C77),SegmentLibrary!G:G*POWER(1+SegmentLibrary!H:H/100,A77-1),INDEX(Parameters!B:D,MOD(A77-1,12)+1,2))</f>
        <v/>
      </c>
    </row>
    <row r="78">
      <c r="A78" s="2" t="n">
        <v>77</v>
      </c>
      <c r="B78" s="2">
        <f>IF(Dashboard!B4="1M",TEXT(DATE(YEAR(TODAY()),MONTH(TODAY())+76,1),"mmm dd"),TEXT(DATE(YEAR(TODAY()),MONTH(TODAY())+76,1),"yyyy mmm"))</f>
        <v/>
      </c>
      <c r="C78" s="2">
        <f>Dashboard!B3</f>
        <v/>
      </c>
      <c r="D78" s="6">
        <f>SUMPRODUCT((SegmentLibrary!A:A=C78),SegmentLibrary!G:G*POWER(1+SegmentLibrary!H:H/100,A78-1),SegmentLibrary!E:E,INDEX(Parameters!B:D,MOD(A78-1,12)+1,2))</f>
        <v/>
      </c>
      <c r="E78" s="7">
        <f>D78/Dashboard!B5</f>
        <v/>
      </c>
      <c r="F78" s="6">
        <f>SUMPRODUCT((SegmentLibrary!A:A=C78),SegmentLibrary!G:G*POWER(1+SegmentLibrary!H:H/100,A78-1),SegmentLibrary!F:F,INDEX(Parameters!B:D,MOD(A78-1,12)+1,2))</f>
        <v/>
      </c>
      <c r="G78" s="7">
        <f>F78/Dashboard!B5</f>
        <v/>
      </c>
      <c r="H78" s="6">
        <f>D78-F78-Parameters!B6</f>
        <v/>
      </c>
      <c r="I78" s="7">
        <f>H78/Dashboard!B5</f>
        <v/>
      </c>
      <c r="J78" s="8">
        <f>IF(D78&gt;0,H78/D78*100,0)</f>
        <v/>
      </c>
      <c r="K78" s="6">
        <f>SUMPRODUCT((SegmentLibrary!A:A=C78),SegmentLibrary!G:G*POWER(1+SegmentLibrary!H:H/100,A78-1),INDEX(Parameters!B:D,MOD(A78-1,12)+1,2))</f>
        <v/>
      </c>
    </row>
    <row r="79">
      <c r="A79" s="2" t="n">
        <v>78</v>
      </c>
      <c r="B79" s="2">
        <f>IF(Dashboard!B4="1M",TEXT(DATE(YEAR(TODAY()),MONTH(TODAY())+77,1),"mmm dd"),TEXT(DATE(YEAR(TODAY()),MONTH(TODAY())+77,1),"yyyy mmm"))</f>
        <v/>
      </c>
      <c r="C79" s="2">
        <f>Dashboard!B3</f>
        <v/>
      </c>
      <c r="D79" s="6">
        <f>SUMPRODUCT((SegmentLibrary!A:A=C79),SegmentLibrary!G:G*POWER(1+SegmentLibrary!H:H/100,A79-1),SegmentLibrary!E:E,INDEX(Parameters!B:D,MOD(A79-1,12)+1,2))</f>
        <v/>
      </c>
      <c r="E79" s="7">
        <f>D79/Dashboard!B5</f>
        <v/>
      </c>
      <c r="F79" s="6">
        <f>SUMPRODUCT((SegmentLibrary!A:A=C79),SegmentLibrary!G:G*POWER(1+SegmentLibrary!H:H/100,A79-1),SegmentLibrary!F:F,INDEX(Parameters!B:D,MOD(A79-1,12)+1,2))</f>
        <v/>
      </c>
      <c r="G79" s="7">
        <f>F79/Dashboard!B5</f>
        <v/>
      </c>
      <c r="H79" s="6">
        <f>D79-F79-Parameters!B6</f>
        <v/>
      </c>
      <c r="I79" s="7">
        <f>H79/Dashboard!B5</f>
        <v/>
      </c>
      <c r="J79" s="8">
        <f>IF(D79&gt;0,H79/D79*100,0)</f>
        <v/>
      </c>
      <c r="K79" s="6">
        <f>SUMPRODUCT((SegmentLibrary!A:A=C79),SegmentLibrary!G:G*POWER(1+SegmentLibrary!H:H/100,A79-1),INDEX(Parameters!B:D,MOD(A79-1,12)+1,2))</f>
        <v/>
      </c>
    </row>
    <row r="80">
      <c r="A80" s="2" t="n">
        <v>79</v>
      </c>
      <c r="B80" s="2">
        <f>IF(Dashboard!B4="1M",TEXT(DATE(YEAR(TODAY()),MONTH(TODAY())+78,1),"mmm dd"),TEXT(DATE(YEAR(TODAY()),MONTH(TODAY())+78,1),"yyyy mmm"))</f>
        <v/>
      </c>
      <c r="C80" s="2">
        <f>Dashboard!B3</f>
        <v/>
      </c>
      <c r="D80" s="6">
        <f>SUMPRODUCT((SegmentLibrary!A:A=C80),SegmentLibrary!G:G*POWER(1+SegmentLibrary!H:H/100,A80-1),SegmentLibrary!E:E,INDEX(Parameters!B:D,MOD(A80-1,12)+1,2))</f>
        <v/>
      </c>
      <c r="E80" s="7">
        <f>D80/Dashboard!B5</f>
        <v/>
      </c>
      <c r="F80" s="6">
        <f>SUMPRODUCT((SegmentLibrary!A:A=C80),SegmentLibrary!G:G*POWER(1+SegmentLibrary!H:H/100,A80-1),SegmentLibrary!F:F,INDEX(Parameters!B:D,MOD(A80-1,12)+1,2))</f>
        <v/>
      </c>
      <c r="G80" s="7">
        <f>F80/Dashboard!B5</f>
        <v/>
      </c>
      <c r="H80" s="6">
        <f>D80-F80-Parameters!B6</f>
        <v/>
      </c>
      <c r="I80" s="7">
        <f>H80/Dashboard!B5</f>
        <v/>
      </c>
      <c r="J80" s="8">
        <f>IF(D80&gt;0,H80/D80*100,0)</f>
        <v/>
      </c>
      <c r="K80" s="6">
        <f>SUMPRODUCT((SegmentLibrary!A:A=C80),SegmentLibrary!G:G*POWER(1+SegmentLibrary!H:H/100,A80-1),INDEX(Parameters!B:D,MOD(A80-1,12)+1,2))</f>
        <v/>
      </c>
    </row>
    <row r="81">
      <c r="A81" s="2" t="n">
        <v>80</v>
      </c>
      <c r="B81" s="2">
        <f>IF(Dashboard!B4="1M",TEXT(DATE(YEAR(TODAY()),MONTH(TODAY())+79,1),"mmm dd"),TEXT(DATE(YEAR(TODAY()),MONTH(TODAY())+79,1),"yyyy mmm"))</f>
        <v/>
      </c>
      <c r="C81" s="2">
        <f>Dashboard!B3</f>
        <v/>
      </c>
      <c r="D81" s="6">
        <f>SUMPRODUCT((SegmentLibrary!A:A=C81),SegmentLibrary!G:G*POWER(1+SegmentLibrary!H:H/100,A81-1),SegmentLibrary!E:E,INDEX(Parameters!B:D,MOD(A81-1,12)+1,2))</f>
        <v/>
      </c>
      <c r="E81" s="7">
        <f>D81/Dashboard!B5</f>
        <v/>
      </c>
      <c r="F81" s="6">
        <f>SUMPRODUCT((SegmentLibrary!A:A=C81),SegmentLibrary!G:G*POWER(1+SegmentLibrary!H:H/100,A81-1),SegmentLibrary!F:F,INDEX(Parameters!B:D,MOD(A81-1,12)+1,2))</f>
        <v/>
      </c>
      <c r="G81" s="7">
        <f>F81/Dashboard!B5</f>
        <v/>
      </c>
      <c r="H81" s="6">
        <f>D81-F81-Parameters!B6</f>
        <v/>
      </c>
      <c r="I81" s="7">
        <f>H81/Dashboard!B5</f>
        <v/>
      </c>
      <c r="J81" s="8">
        <f>IF(D81&gt;0,H81/D81*100,0)</f>
        <v/>
      </c>
      <c r="K81" s="6">
        <f>SUMPRODUCT((SegmentLibrary!A:A=C81),SegmentLibrary!G:G*POWER(1+SegmentLibrary!H:H/100,A81-1),INDEX(Parameters!B:D,MOD(A81-1,12)+1,2))</f>
        <v/>
      </c>
    </row>
    <row r="82">
      <c r="A82" s="2" t="n">
        <v>81</v>
      </c>
      <c r="B82" s="2">
        <f>IF(Dashboard!B4="1M",TEXT(DATE(YEAR(TODAY()),MONTH(TODAY())+80,1),"mmm dd"),TEXT(DATE(YEAR(TODAY()),MONTH(TODAY())+80,1),"yyyy mmm"))</f>
        <v/>
      </c>
      <c r="C82" s="2">
        <f>Dashboard!B3</f>
        <v/>
      </c>
      <c r="D82" s="6">
        <f>SUMPRODUCT((SegmentLibrary!A:A=C82),SegmentLibrary!G:G*POWER(1+SegmentLibrary!H:H/100,A82-1),SegmentLibrary!E:E,INDEX(Parameters!B:D,MOD(A82-1,12)+1,2))</f>
        <v/>
      </c>
      <c r="E82" s="7">
        <f>D82/Dashboard!B5</f>
        <v/>
      </c>
      <c r="F82" s="6">
        <f>SUMPRODUCT((SegmentLibrary!A:A=C82),SegmentLibrary!G:G*POWER(1+SegmentLibrary!H:H/100,A82-1),SegmentLibrary!F:F,INDEX(Parameters!B:D,MOD(A82-1,12)+1,2))</f>
        <v/>
      </c>
      <c r="G82" s="7">
        <f>F82/Dashboard!B5</f>
        <v/>
      </c>
      <c r="H82" s="6">
        <f>D82-F82-Parameters!B6</f>
        <v/>
      </c>
      <c r="I82" s="7">
        <f>H82/Dashboard!B5</f>
        <v/>
      </c>
      <c r="J82" s="8">
        <f>IF(D82&gt;0,H82/D82*100,0)</f>
        <v/>
      </c>
      <c r="K82" s="6">
        <f>SUMPRODUCT((SegmentLibrary!A:A=C82),SegmentLibrary!G:G*POWER(1+SegmentLibrary!H:H/100,A82-1),INDEX(Parameters!B:D,MOD(A82-1,12)+1,2))</f>
        <v/>
      </c>
    </row>
    <row r="83">
      <c r="A83" s="2" t="n">
        <v>82</v>
      </c>
      <c r="B83" s="2">
        <f>IF(Dashboard!B4="1M",TEXT(DATE(YEAR(TODAY()),MONTH(TODAY())+81,1),"mmm dd"),TEXT(DATE(YEAR(TODAY()),MONTH(TODAY())+81,1),"yyyy mmm"))</f>
        <v/>
      </c>
      <c r="C83" s="2">
        <f>Dashboard!B3</f>
        <v/>
      </c>
      <c r="D83" s="6">
        <f>SUMPRODUCT((SegmentLibrary!A:A=C83),SegmentLibrary!G:G*POWER(1+SegmentLibrary!H:H/100,A83-1),SegmentLibrary!E:E,INDEX(Parameters!B:D,MOD(A83-1,12)+1,2))</f>
        <v/>
      </c>
      <c r="E83" s="7">
        <f>D83/Dashboard!B5</f>
        <v/>
      </c>
      <c r="F83" s="6">
        <f>SUMPRODUCT((SegmentLibrary!A:A=C83),SegmentLibrary!G:G*POWER(1+SegmentLibrary!H:H/100,A83-1),SegmentLibrary!F:F,INDEX(Parameters!B:D,MOD(A83-1,12)+1,2))</f>
        <v/>
      </c>
      <c r="G83" s="7">
        <f>F83/Dashboard!B5</f>
        <v/>
      </c>
      <c r="H83" s="6">
        <f>D83-F83-Parameters!B6</f>
        <v/>
      </c>
      <c r="I83" s="7">
        <f>H83/Dashboard!B5</f>
        <v/>
      </c>
      <c r="J83" s="8">
        <f>IF(D83&gt;0,H83/D83*100,0)</f>
        <v/>
      </c>
      <c r="K83" s="6">
        <f>SUMPRODUCT((SegmentLibrary!A:A=C83),SegmentLibrary!G:G*POWER(1+SegmentLibrary!H:H/100,A83-1),INDEX(Parameters!B:D,MOD(A83-1,12)+1,2))</f>
        <v/>
      </c>
    </row>
    <row r="84">
      <c r="A84" s="2" t="n">
        <v>83</v>
      </c>
      <c r="B84" s="2">
        <f>IF(Dashboard!B4="1M",TEXT(DATE(YEAR(TODAY()),MONTH(TODAY())+82,1),"mmm dd"),TEXT(DATE(YEAR(TODAY()),MONTH(TODAY())+82,1),"yyyy mmm"))</f>
        <v/>
      </c>
      <c r="C84" s="2">
        <f>Dashboard!B3</f>
        <v/>
      </c>
      <c r="D84" s="6">
        <f>SUMPRODUCT((SegmentLibrary!A:A=C84),SegmentLibrary!G:G*POWER(1+SegmentLibrary!H:H/100,A84-1),SegmentLibrary!E:E,INDEX(Parameters!B:D,MOD(A84-1,12)+1,2))</f>
        <v/>
      </c>
      <c r="E84" s="7">
        <f>D84/Dashboard!B5</f>
        <v/>
      </c>
      <c r="F84" s="6">
        <f>SUMPRODUCT((SegmentLibrary!A:A=C84),SegmentLibrary!G:G*POWER(1+SegmentLibrary!H:H/100,A84-1),SegmentLibrary!F:F,INDEX(Parameters!B:D,MOD(A84-1,12)+1,2))</f>
        <v/>
      </c>
      <c r="G84" s="7">
        <f>F84/Dashboard!B5</f>
        <v/>
      </c>
      <c r="H84" s="6">
        <f>D84-F84-Parameters!B6</f>
        <v/>
      </c>
      <c r="I84" s="7">
        <f>H84/Dashboard!B5</f>
        <v/>
      </c>
      <c r="J84" s="8">
        <f>IF(D84&gt;0,H84/D84*100,0)</f>
        <v/>
      </c>
      <c r="K84" s="6">
        <f>SUMPRODUCT((SegmentLibrary!A:A=C84),SegmentLibrary!G:G*POWER(1+SegmentLibrary!H:H/100,A84-1),INDEX(Parameters!B:D,MOD(A84-1,12)+1,2))</f>
        <v/>
      </c>
    </row>
    <row r="85">
      <c r="A85" s="2" t="n">
        <v>84</v>
      </c>
      <c r="B85" s="2">
        <f>IF(Dashboard!B4="1M",TEXT(DATE(YEAR(TODAY()),MONTH(TODAY())+83,1),"mmm dd"),TEXT(DATE(YEAR(TODAY()),MONTH(TODAY())+83,1),"yyyy mmm"))</f>
        <v/>
      </c>
      <c r="C85" s="2">
        <f>Dashboard!B3</f>
        <v/>
      </c>
      <c r="D85" s="6">
        <f>SUMPRODUCT((SegmentLibrary!A:A=C85),SegmentLibrary!G:G*POWER(1+SegmentLibrary!H:H/100,A85-1),SegmentLibrary!E:E,INDEX(Parameters!B:D,MOD(A85-1,12)+1,2))</f>
        <v/>
      </c>
      <c r="E85" s="7">
        <f>D85/Dashboard!B5</f>
        <v/>
      </c>
      <c r="F85" s="6">
        <f>SUMPRODUCT((SegmentLibrary!A:A=C85),SegmentLibrary!G:G*POWER(1+SegmentLibrary!H:H/100,A85-1),SegmentLibrary!F:F,INDEX(Parameters!B:D,MOD(A85-1,12)+1,2))</f>
        <v/>
      </c>
      <c r="G85" s="7">
        <f>F85/Dashboard!B5</f>
        <v/>
      </c>
      <c r="H85" s="6">
        <f>D85-F85-Parameters!B6</f>
        <v/>
      </c>
      <c r="I85" s="7">
        <f>H85/Dashboard!B5</f>
        <v/>
      </c>
      <c r="J85" s="8">
        <f>IF(D85&gt;0,H85/D85*100,0)</f>
        <v/>
      </c>
      <c r="K85" s="6">
        <f>SUMPRODUCT((SegmentLibrary!A:A=C85),SegmentLibrary!G:G*POWER(1+SegmentLibrary!H:H/100,A85-1),INDEX(Parameters!B:D,MOD(A85-1,12)+1,2))</f>
        <v/>
      </c>
    </row>
    <row r="86">
      <c r="A86" s="2" t="n">
        <v>85</v>
      </c>
      <c r="B86" s="2">
        <f>IF(Dashboard!B4="1M",TEXT(DATE(YEAR(TODAY()),MONTH(TODAY())+84,1),"mmm dd"),TEXT(DATE(YEAR(TODAY()),MONTH(TODAY())+84,1),"yyyy mmm"))</f>
        <v/>
      </c>
      <c r="C86" s="2">
        <f>Dashboard!B3</f>
        <v/>
      </c>
      <c r="D86" s="6">
        <f>SUMPRODUCT((SegmentLibrary!A:A=C86),SegmentLibrary!G:G*POWER(1+SegmentLibrary!H:H/100,A86-1),SegmentLibrary!E:E,INDEX(Parameters!B:D,MOD(A86-1,12)+1,2))</f>
        <v/>
      </c>
      <c r="E86" s="7">
        <f>D86/Dashboard!B5</f>
        <v/>
      </c>
      <c r="F86" s="6">
        <f>SUMPRODUCT((SegmentLibrary!A:A=C86),SegmentLibrary!G:G*POWER(1+SegmentLibrary!H:H/100,A86-1),SegmentLibrary!F:F,INDEX(Parameters!B:D,MOD(A86-1,12)+1,2))</f>
        <v/>
      </c>
      <c r="G86" s="7">
        <f>F86/Dashboard!B5</f>
        <v/>
      </c>
      <c r="H86" s="6">
        <f>D86-F86-Parameters!B6</f>
        <v/>
      </c>
      <c r="I86" s="7">
        <f>H86/Dashboard!B5</f>
        <v/>
      </c>
      <c r="J86" s="8">
        <f>IF(D86&gt;0,H86/D86*100,0)</f>
        <v/>
      </c>
      <c r="K86" s="6">
        <f>SUMPRODUCT((SegmentLibrary!A:A=C86),SegmentLibrary!G:G*POWER(1+SegmentLibrary!H:H/100,A86-1),INDEX(Parameters!B:D,MOD(A86-1,12)+1,2))</f>
        <v/>
      </c>
    </row>
    <row r="87">
      <c r="A87" s="2" t="n">
        <v>86</v>
      </c>
      <c r="B87" s="2">
        <f>IF(Dashboard!B4="1M",TEXT(DATE(YEAR(TODAY()),MONTH(TODAY())+85,1),"mmm dd"),TEXT(DATE(YEAR(TODAY()),MONTH(TODAY())+85,1),"yyyy mmm"))</f>
        <v/>
      </c>
      <c r="C87" s="2">
        <f>Dashboard!B3</f>
        <v/>
      </c>
      <c r="D87" s="6">
        <f>SUMPRODUCT((SegmentLibrary!A:A=C87),SegmentLibrary!G:G*POWER(1+SegmentLibrary!H:H/100,A87-1),SegmentLibrary!E:E,INDEX(Parameters!B:D,MOD(A87-1,12)+1,2))</f>
        <v/>
      </c>
      <c r="E87" s="7">
        <f>D87/Dashboard!B5</f>
        <v/>
      </c>
      <c r="F87" s="6">
        <f>SUMPRODUCT((SegmentLibrary!A:A=C87),SegmentLibrary!G:G*POWER(1+SegmentLibrary!H:H/100,A87-1),SegmentLibrary!F:F,INDEX(Parameters!B:D,MOD(A87-1,12)+1,2))</f>
        <v/>
      </c>
      <c r="G87" s="7">
        <f>F87/Dashboard!B5</f>
        <v/>
      </c>
      <c r="H87" s="6">
        <f>D87-F87-Parameters!B6</f>
        <v/>
      </c>
      <c r="I87" s="7">
        <f>H87/Dashboard!B5</f>
        <v/>
      </c>
      <c r="J87" s="8">
        <f>IF(D87&gt;0,H87/D87*100,0)</f>
        <v/>
      </c>
      <c r="K87" s="6">
        <f>SUMPRODUCT((SegmentLibrary!A:A=C87),SegmentLibrary!G:G*POWER(1+SegmentLibrary!H:H/100,A87-1),INDEX(Parameters!B:D,MOD(A87-1,12)+1,2))</f>
        <v/>
      </c>
    </row>
    <row r="88">
      <c r="A88" s="2" t="n">
        <v>87</v>
      </c>
      <c r="B88" s="2">
        <f>IF(Dashboard!B4="1M",TEXT(DATE(YEAR(TODAY()),MONTH(TODAY())+86,1),"mmm dd"),TEXT(DATE(YEAR(TODAY()),MONTH(TODAY())+86,1),"yyyy mmm"))</f>
        <v/>
      </c>
      <c r="C88" s="2">
        <f>Dashboard!B3</f>
        <v/>
      </c>
      <c r="D88" s="6">
        <f>SUMPRODUCT((SegmentLibrary!A:A=C88),SegmentLibrary!G:G*POWER(1+SegmentLibrary!H:H/100,A88-1),SegmentLibrary!E:E,INDEX(Parameters!B:D,MOD(A88-1,12)+1,2))</f>
        <v/>
      </c>
      <c r="E88" s="7">
        <f>D88/Dashboard!B5</f>
        <v/>
      </c>
      <c r="F88" s="6">
        <f>SUMPRODUCT((SegmentLibrary!A:A=C88),SegmentLibrary!G:G*POWER(1+SegmentLibrary!H:H/100,A88-1),SegmentLibrary!F:F,INDEX(Parameters!B:D,MOD(A88-1,12)+1,2))</f>
        <v/>
      </c>
      <c r="G88" s="7">
        <f>F88/Dashboard!B5</f>
        <v/>
      </c>
      <c r="H88" s="6">
        <f>D88-F88-Parameters!B6</f>
        <v/>
      </c>
      <c r="I88" s="7">
        <f>H88/Dashboard!B5</f>
        <v/>
      </c>
      <c r="J88" s="8">
        <f>IF(D88&gt;0,H88/D88*100,0)</f>
        <v/>
      </c>
      <c r="K88" s="6">
        <f>SUMPRODUCT((SegmentLibrary!A:A=C88),SegmentLibrary!G:G*POWER(1+SegmentLibrary!H:H/100,A88-1),INDEX(Parameters!B:D,MOD(A88-1,12)+1,2))</f>
        <v/>
      </c>
    </row>
    <row r="89">
      <c r="A89" s="2" t="n">
        <v>88</v>
      </c>
      <c r="B89" s="2">
        <f>IF(Dashboard!B4="1M",TEXT(DATE(YEAR(TODAY()),MONTH(TODAY())+87,1),"mmm dd"),TEXT(DATE(YEAR(TODAY()),MONTH(TODAY())+87,1),"yyyy mmm"))</f>
        <v/>
      </c>
      <c r="C89" s="2">
        <f>Dashboard!B3</f>
        <v/>
      </c>
      <c r="D89" s="6">
        <f>SUMPRODUCT((SegmentLibrary!A:A=C89),SegmentLibrary!G:G*POWER(1+SegmentLibrary!H:H/100,A89-1),SegmentLibrary!E:E,INDEX(Parameters!B:D,MOD(A89-1,12)+1,2))</f>
        <v/>
      </c>
      <c r="E89" s="7">
        <f>D89/Dashboard!B5</f>
        <v/>
      </c>
      <c r="F89" s="6">
        <f>SUMPRODUCT((SegmentLibrary!A:A=C89),SegmentLibrary!G:G*POWER(1+SegmentLibrary!H:H/100,A89-1),SegmentLibrary!F:F,INDEX(Parameters!B:D,MOD(A89-1,12)+1,2))</f>
        <v/>
      </c>
      <c r="G89" s="7">
        <f>F89/Dashboard!B5</f>
        <v/>
      </c>
      <c r="H89" s="6">
        <f>D89-F89-Parameters!B6</f>
        <v/>
      </c>
      <c r="I89" s="7">
        <f>H89/Dashboard!B5</f>
        <v/>
      </c>
      <c r="J89" s="8">
        <f>IF(D89&gt;0,H89/D89*100,0)</f>
        <v/>
      </c>
      <c r="K89" s="6">
        <f>SUMPRODUCT((SegmentLibrary!A:A=C89),SegmentLibrary!G:G*POWER(1+SegmentLibrary!H:H/100,A89-1),INDEX(Parameters!B:D,MOD(A89-1,12)+1,2))</f>
        <v/>
      </c>
    </row>
    <row r="90">
      <c r="A90" s="2" t="n">
        <v>89</v>
      </c>
      <c r="B90" s="2">
        <f>IF(Dashboard!B4="1M",TEXT(DATE(YEAR(TODAY()),MONTH(TODAY())+88,1),"mmm dd"),TEXT(DATE(YEAR(TODAY()),MONTH(TODAY())+88,1),"yyyy mmm"))</f>
        <v/>
      </c>
      <c r="C90" s="2">
        <f>Dashboard!B3</f>
        <v/>
      </c>
      <c r="D90" s="6">
        <f>SUMPRODUCT((SegmentLibrary!A:A=C90),SegmentLibrary!G:G*POWER(1+SegmentLibrary!H:H/100,A90-1),SegmentLibrary!E:E,INDEX(Parameters!B:D,MOD(A90-1,12)+1,2))</f>
        <v/>
      </c>
      <c r="E90" s="7">
        <f>D90/Dashboard!B5</f>
        <v/>
      </c>
      <c r="F90" s="6">
        <f>SUMPRODUCT((SegmentLibrary!A:A=C90),SegmentLibrary!G:G*POWER(1+SegmentLibrary!H:H/100,A90-1),SegmentLibrary!F:F,INDEX(Parameters!B:D,MOD(A90-1,12)+1,2))</f>
        <v/>
      </c>
      <c r="G90" s="7">
        <f>F90/Dashboard!B5</f>
        <v/>
      </c>
      <c r="H90" s="6">
        <f>D90-F90-Parameters!B6</f>
        <v/>
      </c>
      <c r="I90" s="7">
        <f>H90/Dashboard!B5</f>
        <v/>
      </c>
      <c r="J90" s="8">
        <f>IF(D90&gt;0,H90/D90*100,0)</f>
        <v/>
      </c>
      <c r="K90" s="6">
        <f>SUMPRODUCT((SegmentLibrary!A:A=C90),SegmentLibrary!G:G*POWER(1+SegmentLibrary!H:H/100,A90-1),INDEX(Parameters!B:D,MOD(A90-1,12)+1,2))</f>
        <v/>
      </c>
    </row>
    <row r="91">
      <c r="A91" s="2" t="n">
        <v>90</v>
      </c>
      <c r="B91" s="2">
        <f>IF(Dashboard!B4="1M",TEXT(DATE(YEAR(TODAY()),MONTH(TODAY())+89,1),"mmm dd"),TEXT(DATE(YEAR(TODAY()),MONTH(TODAY())+89,1),"yyyy mmm"))</f>
        <v/>
      </c>
      <c r="C91" s="2">
        <f>Dashboard!B3</f>
        <v/>
      </c>
      <c r="D91" s="6">
        <f>SUMPRODUCT((SegmentLibrary!A:A=C91),SegmentLibrary!G:G*POWER(1+SegmentLibrary!H:H/100,A91-1),SegmentLibrary!E:E,INDEX(Parameters!B:D,MOD(A91-1,12)+1,2))</f>
        <v/>
      </c>
      <c r="E91" s="7">
        <f>D91/Dashboard!B5</f>
        <v/>
      </c>
      <c r="F91" s="6">
        <f>SUMPRODUCT((SegmentLibrary!A:A=C91),SegmentLibrary!G:G*POWER(1+SegmentLibrary!H:H/100,A91-1),SegmentLibrary!F:F,INDEX(Parameters!B:D,MOD(A91-1,12)+1,2))</f>
        <v/>
      </c>
      <c r="G91" s="7">
        <f>F91/Dashboard!B5</f>
        <v/>
      </c>
      <c r="H91" s="6">
        <f>D91-F91-Parameters!B6</f>
        <v/>
      </c>
      <c r="I91" s="7">
        <f>H91/Dashboard!B5</f>
        <v/>
      </c>
      <c r="J91" s="8">
        <f>IF(D91&gt;0,H91/D91*100,0)</f>
        <v/>
      </c>
      <c r="K91" s="6">
        <f>SUMPRODUCT((SegmentLibrary!A:A=C91),SegmentLibrary!G:G*POWER(1+SegmentLibrary!H:H/100,A91-1),INDEX(Parameters!B:D,MOD(A91-1,12)+1,2))</f>
        <v/>
      </c>
    </row>
    <row r="92">
      <c r="A92" s="2" t="n">
        <v>91</v>
      </c>
      <c r="B92" s="2">
        <f>IF(Dashboard!B4="1M",TEXT(DATE(YEAR(TODAY()),MONTH(TODAY())+90,1),"mmm dd"),TEXT(DATE(YEAR(TODAY()),MONTH(TODAY())+90,1),"yyyy mmm"))</f>
        <v/>
      </c>
      <c r="C92" s="2">
        <f>Dashboard!B3</f>
        <v/>
      </c>
      <c r="D92" s="6">
        <f>SUMPRODUCT((SegmentLibrary!A:A=C92),SegmentLibrary!G:G*POWER(1+SegmentLibrary!H:H/100,A92-1),SegmentLibrary!E:E,INDEX(Parameters!B:D,MOD(A92-1,12)+1,2))</f>
        <v/>
      </c>
      <c r="E92" s="7">
        <f>D92/Dashboard!B5</f>
        <v/>
      </c>
      <c r="F92" s="6">
        <f>SUMPRODUCT((SegmentLibrary!A:A=C92),SegmentLibrary!G:G*POWER(1+SegmentLibrary!H:H/100,A92-1),SegmentLibrary!F:F,INDEX(Parameters!B:D,MOD(A92-1,12)+1,2))</f>
        <v/>
      </c>
      <c r="G92" s="7">
        <f>F92/Dashboard!B5</f>
        <v/>
      </c>
      <c r="H92" s="6">
        <f>D92-F92-Parameters!B6</f>
        <v/>
      </c>
      <c r="I92" s="7">
        <f>H92/Dashboard!B5</f>
        <v/>
      </c>
      <c r="J92" s="8">
        <f>IF(D92&gt;0,H92/D92*100,0)</f>
        <v/>
      </c>
      <c r="K92" s="6">
        <f>SUMPRODUCT((SegmentLibrary!A:A=C92),SegmentLibrary!G:G*POWER(1+SegmentLibrary!H:H/100,A92-1),INDEX(Parameters!B:D,MOD(A92-1,12)+1,2))</f>
        <v/>
      </c>
    </row>
    <row r="93">
      <c r="A93" s="2" t="n">
        <v>92</v>
      </c>
      <c r="B93" s="2">
        <f>IF(Dashboard!B4="1M",TEXT(DATE(YEAR(TODAY()),MONTH(TODAY())+91,1),"mmm dd"),TEXT(DATE(YEAR(TODAY()),MONTH(TODAY())+91,1),"yyyy mmm"))</f>
        <v/>
      </c>
      <c r="C93" s="2">
        <f>Dashboard!B3</f>
        <v/>
      </c>
      <c r="D93" s="6">
        <f>SUMPRODUCT((SegmentLibrary!A:A=C93),SegmentLibrary!G:G*POWER(1+SegmentLibrary!H:H/100,A93-1),SegmentLibrary!E:E,INDEX(Parameters!B:D,MOD(A93-1,12)+1,2))</f>
        <v/>
      </c>
      <c r="E93" s="7">
        <f>D93/Dashboard!B5</f>
        <v/>
      </c>
      <c r="F93" s="6">
        <f>SUMPRODUCT((SegmentLibrary!A:A=C93),SegmentLibrary!G:G*POWER(1+SegmentLibrary!H:H/100,A93-1),SegmentLibrary!F:F,INDEX(Parameters!B:D,MOD(A93-1,12)+1,2))</f>
        <v/>
      </c>
      <c r="G93" s="7">
        <f>F93/Dashboard!B5</f>
        <v/>
      </c>
      <c r="H93" s="6">
        <f>D93-F93-Parameters!B6</f>
        <v/>
      </c>
      <c r="I93" s="7">
        <f>H93/Dashboard!B5</f>
        <v/>
      </c>
      <c r="J93" s="8">
        <f>IF(D93&gt;0,H93/D93*100,0)</f>
        <v/>
      </c>
      <c r="K93" s="6">
        <f>SUMPRODUCT((SegmentLibrary!A:A=C93),SegmentLibrary!G:G*POWER(1+SegmentLibrary!H:H/100,A93-1),INDEX(Parameters!B:D,MOD(A93-1,12)+1,2))</f>
        <v/>
      </c>
    </row>
    <row r="94">
      <c r="A94" s="2" t="n">
        <v>93</v>
      </c>
      <c r="B94" s="2">
        <f>IF(Dashboard!B4="1M",TEXT(DATE(YEAR(TODAY()),MONTH(TODAY())+92,1),"mmm dd"),TEXT(DATE(YEAR(TODAY()),MONTH(TODAY())+92,1),"yyyy mmm"))</f>
        <v/>
      </c>
      <c r="C94" s="2">
        <f>Dashboard!B3</f>
        <v/>
      </c>
      <c r="D94" s="6">
        <f>SUMPRODUCT((SegmentLibrary!A:A=C94),SegmentLibrary!G:G*POWER(1+SegmentLibrary!H:H/100,A94-1),SegmentLibrary!E:E,INDEX(Parameters!B:D,MOD(A94-1,12)+1,2))</f>
        <v/>
      </c>
      <c r="E94" s="7">
        <f>D94/Dashboard!B5</f>
        <v/>
      </c>
      <c r="F94" s="6">
        <f>SUMPRODUCT((SegmentLibrary!A:A=C94),SegmentLibrary!G:G*POWER(1+SegmentLibrary!H:H/100,A94-1),SegmentLibrary!F:F,INDEX(Parameters!B:D,MOD(A94-1,12)+1,2))</f>
        <v/>
      </c>
      <c r="G94" s="7">
        <f>F94/Dashboard!B5</f>
        <v/>
      </c>
      <c r="H94" s="6">
        <f>D94-F94-Parameters!B6</f>
        <v/>
      </c>
      <c r="I94" s="7">
        <f>H94/Dashboard!B5</f>
        <v/>
      </c>
      <c r="J94" s="8">
        <f>IF(D94&gt;0,H94/D94*100,0)</f>
        <v/>
      </c>
      <c r="K94" s="6">
        <f>SUMPRODUCT((SegmentLibrary!A:A=C94),SegmentLibrary!G:G*POWER(1+SegmentLibrary!H:H/100,A94-1),INDEX(Parameters!B:D,MOD(A94-1,12)+1,2))</f>
        <v/>
      </c>
    </row>
    <row r="95">
      <c r="A95" s="2" t="n">
        <v>94</v>
      </c>
      <c r="B95" s="2">
        <f>IF(Dashboard!B4="1M",TEXT(DATE(YEAR(TODAY()),MONTH(TODAY())+93,1),"mmm dd"),TEXT(DATE(YEAR(TODAY()),MONTH(TODAY())+93,1),"yyyy mmm"))</f>
        <v/>
      </c>
      <c r="C95" s="2">
        <f>Dashboard!B3</f>
        <v/>
      </c>
      <c r="D95" s="6">
        <f>SUMPRODUCT((SegmentLibrary!A:A=C95),SegmentLibrary!G:G*POWER(1+SegmentLibrary!H:H/100,A95-1),SegmentLibrary!E:E,INDEX(Parameters!B:D,MOD(A95-1,12)+1,2))</f>
        <v/>
      </c>
      <c r="E95" s="7">
        <f>D95/Dashboard!B5</f>
        <v/>
      </c>
      <c r="F95" s="6">
        <f>SUMPRODUCT((SegmentLibrary!A:A=C95),SegmentLibrary!G:G*POWER(1+SegmentLibrary!H:H/100,A95-1),SegmentLibrary!F:F,INDEX(Parameters!B:D,MOD(A95-1,12)+1,2))</f>
        <v/>
      </c>
      <c r="G95" s="7">
        <f>F95/Dashboard!B5</f>
        <v/>
      </c>
      <c r="H95" s="6">
        <f>D95-F95-Parameters!B6</f>
        <v/>
      </c>
      <c r="I95" s="7">
        <f>H95/Dashboard!B5</f>
        <v/>
      </c>
      <c r="J95" s="8">
        <f>IF(D95&gt;0,H95/D95*100,0)</f>
        <v/>
      </c>
      <c r="K95" s="6">
        <f>SUMPRODUCT((SegmentLibrary!A:A=C95),SegmentLibrary!G:G*POWER(1+SegmentLibrary!H:H/100,A95-1),INDEX(Parameters!B:D,MOD(A95-1,12)+1,2))</f>
        <v/>
      </c>
    </row>
    <row r="96">
      <c r="A96" s="2" t="n">
        <v>95</v>
      </c>
      <c r="B96" s="2">
        <f>IF(Dashboard!B4="1M",TEXT(DATE(YEAR(TODAY()),MONTH(TODAY())+94,1),"mmm dd"),TEXT(DATE(YEAR(TODAY()),MONTH(TODAY())+94,1),"yyyy mmm"))</f>
        <v/>
      </c>
      <c r="C96" s="2">
        <f>Dashboard!B3</f>
        <v/>
      </c>
      <c r="D96" s="6">
        <f>SUMPRODUCT((SegmentLibrary!A:A=C96),SegmentLibrary!G:G*POWER(1+SegmentLibrary!H:H/100,A96-1),SegmentLibrary!E:E,INDEX(Parameters!B:D,MOD(A96-1,12)+1,2))</f>
        <v/>
      </c>
      <c r="E96" s="7">
        <f>D96/Dashboard!B5</f>
        <v/>
      </c>
      <c r="F96" s="6">
        <f>SUMPRODUCT((SegmentLibrary!A:A=C96),SegmentLibrary!G:G*POWER(1+SegmentLibrary!H:H/100,A96-1),SegmentLibrary!F:F,INDEX(Parameters!B:D,MOD(A96-1,12)+1,2))</f>
        <v/>
      </c>
      <c r="G96" s="7">
        <f>F96/Dashboard!B5</f>
        <v/>
      </c>
      <c r="H96" s="6">
        <f>D96-F96-Parameters!B6</f>
        <v/>
      </c>
      <c r="I96" s="7">
        <f>H96/Dashboard!B5</f>
        <v/>
      </c>
      <c r="J96" s="8">
        <f>IF(D96&gt;0,H96/D96*100,0)</f>
        <v/>
      </c>
      <c r="K96" s="6">
        <f>SUMPRODUCT((SegmentLibrary!A:A=C96),SegmentLibrary!G:G*POWER(1+SegmentLibrary!H:H/100,A96-1),INDEX(Parameters!B:D,MOD(A96-1,12)+1,2))</f>
        <v/>
      </c>
    </row>
    <row r="97">
      <c r="A97" s="2" t="n">
        <v>96</v>
      </c>
      <c r="B97" s="2">
        <f>IF(Dashboard!B4="1M",TEXT(DATE(YEAR(TODAY()),MONTH(TODAY())+95,1),"mmm dd"),TEXT(DATE(YEAR(TODAY()),MONTH(TODAY())+95,1),"yyyy mmm"))</f>
        <v/>
      </c>
      <c r="C97" s="2">
        <f>Dashboard!B3</f>
        <v/>
      </c>
      <c r="D97" s="6">
        <f>SUMPRODUCT((SegmentLibrary!A:A=C97),SegmentLibrary!G:G*POWER(1+SegmentLibrary!H:H/100,A97-1),SegmentLibrary!E:E,INDEX(Parameters!B:D,MOD(A97-1,12)+1,2))</f>
        <v/>
      </c>
      <c r="E97" s="7">
        <f>D97/Dashboard!B5</f>
        <v/>
      </c>
      <c r="F97" s="6">
        <f>SUMPRODUCT((SegmentLibrary!A:A=C97),SegmentLibrary!G:G*POWER(1+SegmentLibrary!H:H/100,A97-1),SegmentLibrary!F:F,INDEX(Parameters!B:D,MOD(A97-1,12)+1,2))</f>
        <v/>
      </c>
      <c r="G97" s="7">
        <f>F97/Dashboard!B5</f>
        <v/>
      </c>
      <c r="H97" s="6">
        <f>D97-F97-Parameters!B6</f>
        <v/>
      </c>
      <c r="I97" s="7">
        <f>H97/Dashboard!B5</f>
        <v/>
      </c>
      <c r="J97" s="8">
        <f>IF(D97&gt;0,H97/D97*100,0)</f>
        <v/>
      </c>
      <c r="K97" s="6">
        <f>SUMPRODUCT((SegmentLibrary!A:A=C97),SegmentLibrary!G:G*POWER(1+SegmentLibrary!H:H/100,A97-1),INDEX(Parameters!B:D,MOD(A97-1,12)+1,2))</f>
        <v/>
      </c>
    </row>
    <row r="98">
      <c r="A98" s="2" t="n">
        <v>97</v>
      </c>
      <c r="B98" s="2">
        <f>IF(Dashboard!B4="1M",TEXT(DATE(YEAR(TODAY()),MONTH(TODAY())+96,1),"mmm dd"),TEXT(DATE(YEAR(TODAY()),MONTH(TODAY())+96,1),"yyyy mmm"))</f>
        <v/>
      </c>
      <c r="C98" s="2">
        <f>Dashboard!B3</f>
        <v/>
      </c>
      <c r="D98" s="6">
        <f>SUMPRODUCT((SegmentLibrary!A:A=C98),SegmentLibrary!G:G*POWER(1+SegmentLibrary!H:H/100,A98-1),SegmentLibrary!E:E,INDEX(Parameters!B:D,MOD(A98-1,12)+1,2))</f>
        <v/>
      </c>
      <c r="E98" s="7">
        <f>D98/Dashboard!B5</f>
        <v/>
      </c>
      <c r="F98" s="6">
        <f>SUMPRODUCT((SegmentLibrary!A:A=C98),SegmentLibrary!G:G*POWER(1+SegmentLibrary!H:H/100,A98-1),SegmentLibrary!F:F,INDEX(Parameters!B:D,MOD(A98-1,12)+1,2))</f>
        <v/>
      </c>
      <c r="G98" s="7">
        <f>F98/Dashboard!B5</f>
        <v/>
      </c>
      <c r="H98" s="6">
        <f>D98-F98-Parameters!B6</f>
        <v/>
      </c>
      <c r="I98" s="7">
        <f>H98/Dashboard!B5</f>
        <v/>
      </c>
      <c r="J98" s="8">
        <f>IF(D98&gt;0,H98/D98*100,0)</f>
        <v/>
      </c>
      <c r="K98" s="6">
        <f>SUMPRODUCT((SegmentLibrary!A:A=C98),SegmentLibrary!G:G*POWER(1+SegmentLibrary!H:H/100,A98-1),INDEX(Parameters!B:D,MOD(A98-1,12)+1,2))</f>
        <v/>
      </c>
    </row>
    <row r="99">
      <c r="A99" s="2" t="n">
        <v>98</v>
      </c>
      <c r="B99" s="2">
        <f>IF(Dashboard!B4="1M",TEXT(DATE(YEAR(TODAY()),MONTH(TODAY())+97,1),"mmm dd"),TEXT(DATE(YEAR(TODAY()),MONTH(TODAY())+97,1),"yyyy mmm"))</f>
        <v/>
      </c>
      <c r="C99" s="2">
        <f>Dashboard!B3</f>
        <v/>
      </c>
      <c r="D99" s="6">
        <f>SUMPRODUCT((SegmentLibrary!A:A=C99),SegmentLibrary!G:G*POWER(1+SegmentLibrary!H:H/100,A99-1),SegmentLibrary!E:E,INDEX(Parameters!B:D,MOD(A99-1,12)+1,2))</f>
        <v/>
      </c>
      <c r="E99" s="7">
        <f>D99/Dashboard!B5</f>
        <v/>
      </c>
      <c r="F99" s="6">
        <f>SUMPRODUCT((SegmentLibrary!A:A=C99),SegmentLibrary!G:G*POWER(1+SegmentLibrary!H:H/100,A99-1),SegmentLibrary!F:F,INDEX(Parameters!B:D,MOD(A99-1,12)+1,2))</f>
        <v/>
      </c>
      <c r="G99" s="7">
        <f>F99/Dashboard!B5</f>
        <v/>
      </c>
      <c r="H99" s="6">
        <f>D99-F99-Parameters!B6</f>
        <v/>
      </c>
      <c r="I99" s="7">
        <f>H99/Dashboard!B5</f>
        <v/>
      </c>
      <c r="J99" s="8">
        <f>IF(D99&gt;0,H99/D99*100,0)</f>
        <v/>
      </c>
      <c r="K99" s="6">
        <f>SUMPRODUCT((SegmentLibrary!A:A=C99),SegmentLibrary!G:G*POWER(1+SegmentLibrary!H:H/100,A99-1),INDEX(Parameters!B:D,MOD(A99-1,12)+1,2))</f>
        <v/>
      </c>
    </row>
    <row r="100">
      <c r="A100" s="2" t="n">
        <v>99</v>
      </c>
      <c r="B100" s="2">
        <f>IF(Dashboard!B4="1M",TEXT(DATE(YEAR(TODAY()),MONTH(TODAY())+98,1),"mmm dd"),TEXT(DATE(YEAR(TODAY()),MONTH(TODAY())+98,1),"yyyy mmm"))</f>
        <v/>
      </c>
      <c r="C100" s="2">
        <f>Dashboard!B3</f>
        <v/>
      </c>
      <c r="D100" s="6">
        <f>SUMPRODUCT((SegmentLibrary!A:A=C100),SegmentLibrary!G:G*POWER(1+SegmentLibrary!H:H/100,A100-1),SegmentLibrary!E:E,INDEX(Parameters!B:D,MOD(A100-1,12)+1,2))</f>
        <v/>
      </c>
      <c r="E100" s="7">
        <f>D100/Dashboard!B5</f>
        <v/>
      </c>
      <c r="F100" s="6">
        <f>SUMPRODUCT((SegmentLibrary!A:A=C100),SegmentLibrary!G:G*POWER(1+SegmentLibrary!H:H/100,A100-1),SegmentLibrary!F:F,INDEX(Parameters!B:D,MOD(A100-1,12)+1,2))</f>
        <v/>
      </c>
      <c r="G100" s="7">
        <f>F100/Dashboard!B5</f>
        <v/>
      </c>
      <c r="H100" s="6">
        <f>D100-F100-Parameters!B6</f>
        <v/>
      </c>
      <c r="I100" s="7">
        <f>H100/Dashboard!B5</f>
        <v/>
      </c>
      <c r="J100" s="8">
        <f>IF(D100&gt;0,H100/D100*100,0)</f>
        <v/>
      </c>
      <c r="K100" s="6">
        <f>SUMPRODUCT((SegmentLibrary!A:A=C100),SegmentLibrary!G:G*POWER(1+SegmentLibrary!H:H/100,A100-1),INDEX(Parameters!B:D,MOD(A100-1,12)+1,2))</f>
        <v/>
      </c>
    </row>
    <row r="101">
      <c r="A101" s="2" t="n">
        <v>100</v>
      </c>
      <c r="B101" s="2">
        <f>IF(Dashboard!B4="1M",TEXT(DATE(YEAR(TODAY()),MONTH(TODAY())+99,1),"mmm dd"),TEXT(DATE(YEAR(TODAY()),MONTH(TODAY())+99,1),"yyyy mmm"))</f>
        <v/>
      </c>
      <c r="C101" s="2">
        <f>Dashboard!B3</f>
        <v/>
      </c>
      <c r="D101" s="6">
        <f>SUMPRODUCT((SegmentLibrary!A:A=C101),SegmentLibrary!G:G*POWER(1+SegmentLibrary!H:H/100,A101-1),SegmentLibrary!E:E,INDEX(Parameters!B:D,MOD(A101-1,12)+1,2))</f>
        <v/>
      </c>
      <c r="E101" s="7">
        <f>D101/Dashboard!B5</f>
        <v/>
      </c>
      <c r="F101" s="6">
        <f>SUMPRODUCT((SegmentLibrary!A:A=C101),SegmentLibrary!G:G*POWER(1+SegmentLibrary!H:H/100,A101-1),SegmentLibrary!F:F,INDEX(Parameters!B:D,MOD(A101-1,12)+1,2))</f>
        <v/>
      </c>
      <c r="G101" s="7">
        <f>F101/Dashboard!B5</f>
        <v/>
      </c>
      <c r="H101" s="6">
        <f>D101-F101-Parameters!B6</f>
        <v/>
      </c>
      <c r="I101" s="7">
        <f>H101/Dashboard!B5</f>
        <v/>
      </c>
      <c r="J101" s="8">
        <f>IF(D101&gt;0,H101/D101*100,0)</f>
        <v/>
      </c>
      <c r="K101" s="6">
        <f>SUMPRODUCT((SegmentLibrary!A:A=C101),SegmentLibrary!G:G*POWER(1+SegmentLibrary!H:H/100,A101-1),INDEX(Parameters!B:D,MOD(A101-1,12)+1,2))</f>
        <v/>
      </c>
    </row>
    <row r="102">
      <c r="A102" s="2" t="n">
        <v>101</v>
      </c>
      <c r="B102" s="2">
        <f>IF(Dashboard!B4="1M",TEXT(DATE(YEAR(TODAY()),MONTH(TODAY())+100,1),"mmm dd"),TEXT(DATE(YEAR(TODAY()),MONTH(TODAY())+100,1),"yyyy mmm"))</f>
        <v/>
      </c>
      <c r="C102" s="2">
        <f>Dashboard!B3</f>
        <v/>
      </c>
      <c r="D102" s="6">
        <f>SUMPRODUCT((SegmentLibrary!A:A=C102),SegmentLibrary!G:G*POWER(1+SegmentLibrary!H:H/100,A102-1),SegmentLibrary!E:E,INDEX(Parameters!B:D,MOD(A102-1,12)+1,2))</f>
        <v/>
      </c>
      <c r="E102" s="7">
        <f>D102/Dashboard!B5</f>
        <v/>
      </c>
      <c r="F102" s="6">
        <f>SUMPRODUCT((SegmentLibrary!A:A=C102),SegmentLibrary!G:G*POWER(1+SegmentLibrary!H:H/100,A102-1),SegmentLibrary!F:F,INDEX(Parameters!B:D,MOD(A102-1,12)+1,2))</f>
        <v/>
      </c>
      <c r="G102" s="7">
        <f>F102/Dashboard!B5</f>
        <v/>
      </c>
      <c r="H102" s="6">
        <f>D102-F102-Parameters!B6</f>
        <v/>
      </c>
      <c r="I102" s="7">
        <f>H102/Dashboard!B5</f>
        <v/>
      </c>
      <c r="J102" s="8">
        <f>IF(D102&gt;0,H102/D102*100,0)</f>
        <v/>
      </c>
      <c r="K102" s="6">
        <f>SUMPRODUCT((SegmentLibrary!A:A=C102),SegmentLibrary!G:G*POWER(1+SegmentLibrary!H:H/100,A102-1),INDEX(Parameters!B:D,MOD(A102-1,12)+1,2))</f>
        <v/>
      </c>
    </row>
    <row r="103">
      <c r="A103" s="2" t="n">
        <v>102</v>
      </c>
      <c r="B103" s="2">
        <f>IF(Dashboard!B4="1M",TEXT(DATE(YEAR(TODAY()),MONTH(TODAY())+101,1),"mmm dd"),TEXT(DATE(YEAR(TODAY()),MONTH(TODAY())+101,1),"yyyy mmm"))</f>
        <v/>
      </c>
      <c r="C103" s="2">
        <f>Dashboard!B3</f>
        <v/>
      </c>
      <c r="D103" s="6">
        <f>SUMPRODUCT((SegmentLibrary!A:A=C103),SegmentLibrary!G:G*POWER(1+SegmentLibrary!H:H/100,A103-1),SegmentLibrary!E:E,INDEX(Parameters!B:D,MOD(A103-1,12)+1,2))</f>
        <v/>
      </c>
      <c r="E103" s="7">
        <f>D103/Dashboard!B5</f>
        <v/>
      </c>
      <c r="F103" s="6">
        <f>SUMPRODUCT((SegmentLibrary!A:A=C103),SegmentLibrary!G:G*POWER(1+SegmentLibrary!H:H/100,A103-1),SegmentLibrary!F:F,INDEX(Parameters!B:D,MOD(A103-1,12)+1,2))</f>
        <v/>
      </c>
      <c r="G103" s="7">
        <f>F103/Dashboard!B5</f>
        <v/>
      </c>
      <c r="H103" s="6">
        <f>D103-F103-Parameters!B6</f>
        <v/>
      </c>
      <c r="I103" s="7">
        <f>H103/Dashboard!B5</f>
        <v/>
      </c>
      <c r="J103" s="8">
        <f>IF(D103&gt;0,H103/D103*100,0)</f>
        <v/>
      </c>
      <c r="K103" s="6">
        <f>SUMPRODUCT((SegmentLibrary!A:A=C103),SegmentLibrary!G:G*POWER(1+SegmentLibrary!H:H/100,A103-1),INDEX(Parameters!B:D,MOD(A103-1,12)+1,2))</f>
        <v/>
      </c>
    </row>
    <row r="104">
      <c r="A104" s="2" t="n">
        <v>103</v>
      </c>
      <c r="B104" s="2">
        <f>IF(Dashboard!B4="1M",TEXT(DATE(YEAR(TODAY()),MONTH(TODAY())+102,1),"mmm dd"),TEXT(DATE(YEAR(TODAY()),MONTH(TODAY())+102,1),"yyyy mmm"))</f>
        <v/>
      </c>
      <c r="C104" s="2">
        <f>Dashboard!B3</f>
        <v/>
      </c>
      <c r="D104" s="6">
        <f>SUMPRODUCT((SegmentLibrary!A:A=C104),SegmentLibrary!G:G*POWER(1+SegmentLibrary!H:H/100,A104-1),SegmentLibrary!E:E,INDEX(Parameters!B:D,MOD(A104-1,12)+1,2))</f>
        <v/>
      </c>
      <c r="E104" s="7">
        <f>D104/Dashboard!B5</f>
        <v/>
      </c>
      <c r="F104" s="6">
        <f>SUMPRODUCT((SegmentLibrary!A:A=C104),SegmentLibrary!G:G*POWER(1+SegmentLibrary!H:H/100,A104-1),SegmentLibrary!F:F,INDEX(Parameters!B:D,MOD(A104-1,12)+1,2))</f>
        <v/>
      </c>
      <c r="G104" s="7">
        <f>F104/Dashboard!B5</f>
        <v/>
      </c>
      <c r="H104" s="6">
        <f>D104-F104-Parameters!B6</f>
        <v/>
      </c>
      <c r="I104" s="7">
        <f>H104/Dashboard!B5</f>
        <v/>
      </c>
      <c r="J104" s="8">
        <f>IF(D104&gt;0,H104/D104*100,0)</f>
        <v/>
      </c>
      <c r="K104" s="6">
        <f>SUMPRODUCT((SegmentLibrary!A:A=C104),SegmentLibrary!G:G*POWER(1+SegmentLibrary!H:H/100,A104-1),INDEX(Parameters!B:D,MOD(A104-1,12)+1,2))</f>
        <v/>
      </c>
    </row>
    <row r="105">
      <c r="A105" s="2" t="n">
        <v>104</v>
      </c>
      <c r="B105" s="2">
        <f>IF(Dashboard!B4="1M",TEXT(DATE(YEAR(TODAY()),MONTH(TODAY())+103,1),"mmm dd"),TEXT(DATE(YEAR(TODAY()),MONTH(TODAY())+103,1),"yyyy mmm"))</f>
        <v/>
      </c>
      <c r="C105" s="2">
        <f>Dashboard!B3</f>
        <v/>
      </c>
      <c r="D105" s="6">
        <f>SUMPRODUCT((SegmentLibrary!A:A=C105),SegmentLibrary!G:G*POWER(1+SegmentLibrary!H:H/100,A105-1),SegmentLibrary!E:E,INDEX(Parameters!B:D,MOD(A105-1,12)+1,2))</f>
        <v/>
      </c>
      <c r="E105" s="7">
        <f>D105/Dashboard!B5</f>
        <v/>
      </c>
      <c r="F105" s="6">
        <f>SUMPRODUCT((SegmentLibrary!A:A=C105),SegmentLibrary!G:G*POWER(1+SegmentLibrary!H:H/100,A105-1),SegmentLibrary!F:F,INDEX(Parameters!B:D,MOD(A105-1,12)+1,2))</f>
        <v/>
      </c>
      <c r="G105" s="7">
        <f>F105/Dashboard!B5</f>
        <v/>
      </c>
      <c r="H105" s="6">
        <f>D105-F105-Parameters!B6</f>
        <v/>
      </c>
      <c r="I105" s="7">
        <f>H105/Dashboard!B5</f>
        <v/>
      </c>
      <c r="J105" s="8">
        <f>IF(D105&gt;0,H105/D105*100,0)</f>
        <v/>
      </c>
      <c r="K105" s="6">
        <f>SUMPRODUCT((SegmentLibrary!A:A=C105),SegmentLibrary!G:G*POWER(1+SegmentLibrary!H:H/100,A105-1),INDEX(Parameters!B:D,MOD(A105-1,12)+1,2))</f>
        <v/>
      </c>
    </row>
    <row r="106">
      <c r="A106" s="2" t="n">
        <v>105</v>
      </c>
      <c r="B106" s="2">
        <f>IF(Dashboard!B4="1M",TEXT(DATE(YEAR(TODAY()),MONTH(TODAY())+104,1),"mmm dd"),TEXT(DATE(YEAR(TODAY()),MONTH(TODAY())+104,1),"yyyy mmm"))</f>
        <v/>
      </c>
      <c r="C106" s="2">
        <f>Dashboard!B3</f>
        <v/>
      </c>
      <c r="D106" s="6">
        <f>SUMPRODUCT((SegmentLibrary!A:A=C106),SegmentLibrary!G:G*POWER(1+SegmentLibrary!H:H/100,A106-1),SegmentLibrary!E:E,INDEX(Parameters!B:D,MOD(A106-1,12)+1,2))</f>
        <v/>
      </c>
      <c r="E106" s="7">
        <f>D106/Dashboard!B5</f>
        <v/>
      </c>
      <c r="F106" s="6">
        <f>SUMPRODUCT((SegmentLibrary!A:A=C106),SegmentLibrary!G:G*POWER(1+SegmentLibrary!H:H/100,A106-1),SegmentLibrary!F:F,INDEX(Parameters!B:D,MOD(A106-1,12)+1,2))</f>
        <v/>
      </c>
      <c r="G106" s="7">
        <f>F106/Dashboard!B5</f>
        <v/>
      </c>
      <c r="H106" s="6">
        <f>D106-F106-Parameters!B6</f>
        <v/>
      </c>
      <c r="I106" s="7">
        <f>H106/Dashboard!B5</f>
        <v/>
      </c>
      <c r="J106" s="8">
        <f>IF(D106&gt;0,H106/D106*100,0)</f>
        <v/>
      </c>
      <c r="K106" s="6">
        <f>SUMPRODUCT((SegmentLibrary!A:A=C106),SegmentLibrary!G:G*POWER(1+SegmentLibrary!H:H/100,A106-1),INDEX(Parameters!B:D,MOD(A106-1,12)+1,2))</f>
        <v/>
      </c>
    </row>
    <row r="107">
      <c r="A107" s="2" t="n">
        <v>106</v>
      </c>
      <c r="B107" s="2">
        <f>IF(Dashboard!B4="1M",TEXT(DATE(YEAR(TODAY()),MONTH(TODAY())+105,1),"mmm dd"),TEXT(DATE(YEAR(TODAY()),MONTH(TODAY())+105,1),"yyyy mmm"))</f>
        <v/>
      </c>
      <c r="C107" s="2">
        <f>Dashboard!B3</f>
        <v/>
      </c>
      <c r="D107" s="6">
        <f>SUMPRODUCT((SegmentLibrary!A:A=C107),SegmentLibrary!G:G*POWER(1+SegmentLibrary!H:H/100,A107-1),SegmentLibrary!E:E,INDEX(Parameters!B:D,MOD(A107-1,12)+1,2))</f>
        <v/>
      </c>
      <c r="E107" s="7">
        <f>D107/Dashboard!B5</f>
        <v/>
      </c>
      <c r="F107" s="6">
        <f>SUMPRODUCT((SegmentLibrary!A:A=C107),SegmentLibrary!G:G*POWER(1+SegmentLibrary!H:H/100,A107-1),SegmentLibrary!F:F,INDEX(Parameters!B:D,MOD(A107-1,12)+1,2))</f>
        <v/>
      </c>
      <c r="G107" s="7">
        <f>F107/Dashboard!B5</f>
        <v/>
      </c>
      <c r="H107" s="6">
        <f>D107-F107-Parameters!B6</f>
        <v/>
      </c>
      <c r="I107" s="7">
        <f>H107/Dashboard!B5</f>
        <v/>
      </c>
      <c r="J107" s="8">
        <f>IF(D107&gt;0,H107/D107*100,0)</f>
        <v/>
      </c>
      <c r="K107" s="6">
        <f>SUMPRODUCT((SegmentLibrary!A:A=C107),SegmentLibrary!G:G*POWER(1+SegmentLibrary!H:H/100,A107-1),INDEX(Parameters!B:D,MOD(A107-1,12)+1,2))</f>
        <v/>
      </c>
    </row>
    <row r="108">
      <c r="A108" s="2" t="n">
        <v>107</v>
      </c>
      <c r="B108" s="2">
        <f>IF(Dashboard!B4="1M",TEXT(DATE(YEAR(TODAY()),MONTH(TODAY())+106,1),"mmm dd"),TEXT(DATE(YEAR(TODAY()),MONTH(TODAY())+106,1),"yyyy mmm"))</f>
        <v/>
      </c>
      <c r="C108" s="2">
        <f>Dashboard!B3</f>
        <v/>
      </c>
      <c r="D108" s="6">
        <f>SUMPRODUCT((SegmentLibrary!A:A=C108),SegmentLibrary!G:G*POWER(1+SegmentLibrary!H:H/100,A108-1),SegmentLibrary!E:E,INDEX(Parameters!B:D,MOD(A108-1,12)+1,2))</f>
        <v/>
      </c>
      <c r="E108" s="7">
        <f>D108/Dashboard!B5</f>
        <v/>
      </c>
      <c r="F108" s="6">
        <f>SUMPRODUCT((SegmentLibrary!A:A=C108),SegmentLibrary!G:G*POWER(1+SegmentLibrary!H:H/100,A108-1),SegmentLibrary!F:F,INDEX(Parameters!B:D,MOD(A108-1,12)+1,2))</f>
        <v/>
      </c>
      <c r="G108" s="7">
        <f>F108/Dashboard!B5</f>
        <v/>
      </c>
      <c r="H108" s="6">
        <f>D108-F108-Parameters!B6</f>
        <v/>
      </c>
      <c r="I108" s="7">
        <f>H108/Dashboard!B5</f>
        <v/>
      </c>
      <c r="J108" s="8">
        <f>IF(D108&gt;0,H108/D108*100,0)</f>
        <v/>
      </c>
      <c r="K108" s="6">
        <f>SUMPRODUCT((SegmentLibrary!A:A=C108),SegmentLibrary!G:G*POWER(1+SegmentLibrary!H:H/100,A108-1),INDEX(Parameters!B:D,MOD(A108-1,12)+1,2))</f>
        <v/>
      </c>
    </row>
    <row r="109">
      <c r="A109" s="2" t="n">
        <v>108</v>
      </c>
      <c r="B109" s="2">
        <f>IF(Dashboard!B4="1M",TEXT(DATE(YEAR(TODAY()),MONTH(TODAY())+107,1),"mmm dd"),TEXT(DATE(YEAR(TODAY()),MONTH(TODAY())+107,1),"yyyy mmm"))</f>
        <v/>
      </c>
      <c r="C109" s="2">
        <f>Dashboard!B3</f>
        <v/>
      </c>
      <c r="D109" s="6">
        <f>SUMPRODUCT((SegmentLibrary!A:A=C109),SegmentLibrary!G:G*POWER(1+SegmentLibrary!H:H/100,A109-1),SegmentLibrary!E:E,INDEX(Parameters!B:D,MOD(A109-1,12)+1,2))</f>
        <v/>
      </c>
      <c r="E109" s="7">
        <f>D109/Dashboard!B5</f>
        <v/>
      </c>
      <c r="F109" s="6">
        <f>SUMPRODUCT((SegmentLibrary!A:A=C109),SegmentLibrary!G:G*POWER(1+SegmentLibrary!H:H/100,A109-1),SegmentLibrary!F:F,INDEX(Parameters!B:D,MOD(A109-1,12)+1,2))</f>
        <v/>
      </c>
      <c r="G109" s="7">
        <f>F109/Dashboard!B5</f>
        <v/>
      </c>
      <c r="H109" s="6">
        <f>D109-F109-Parameters!B6</f>
        <v/>
      </c>
      <c r="I109" s="7">
        <f>H109/Dashboard!B5</f>
        <v/>
      </c>
      <c r="J109" s="8">
        <f>IF(D109&gt;0,H109/D109*100,0)</f>
        <v/>
      </c>
      <c r="K109" s="6">
        <f>SUMPRODUCT((SegmentLibrary!A:A=C109),SegmentLibrary!G:G*POWER(1+SegmentLibrary!H:H/100,A109-1),INDEX(Parameters!B:D,MOD(A109-1,12)+1,2))</f>
        <v/>
      </c>
    </row>
    <row r="110">
      <c r="A110" s="2" t="n">
        <v>109</v>
      </c>
      <c r="B110" s="2">
        <f>IF(Dashboard!B4="1M",TEXT(DATE(YEAR(TODAY()),MONTH(TODAY())+108,1),"mmm dd"),TEXT(DATE(YEAR(TODAY()),MONTH(TODAY())+108,1),"yyyy mmm"))</f>
        <v/>
      </c>
      <c r="C110" s="2">
        <f>Dashboard!B3</f>
        <v/>
      </c>
      <c r="D110" s="6">
        <f>SUMPRODUCT((SegmentLibrary!A:A=C110),SegmentLibrary!G:G*POWER(1+SegmentLibrary!H:H/100,A110-1),SegmentLibrary!E:E,INDEX(Parameters!B:D,MOD(A110-1,12)+1,2))</f>
        <v/>
      </c>
      <c r="E110" s="7">
        <f>D110/Dashboard!B5</f>
        <v/>
      </c>
      <c r="F110" s="6">
        <f>SUMPRODUCT((SegmentLibrary!A:A=C110),SegmentLibrary!G:G*POWER(1+SegmentLibrary!H:H/100,A110-1),SegmentLibrary!F:F,INDEX(Parameters!B:D,MOD(A110-1,12)+1,2))</f>
        <v/>
      </c>
      <c r="G110" s="7">
        <f>F110/Dashboard!B5</f>
        <v/>
      </c>
      <c r="H110" s="6">
        <f>D110-F110-Parameters!B6</f>
        <v/>
      </c>
      <c r="I110" s="7">
        <f>H110/Dashboard!B5</f>
        <v/>
      </c>
      <c r="J110" s="8">
        <f>IF(D110&gt;0,H110/D110*100,0)</f>
        <v/>
      </c>
      <c r="K110" s="6">
        <f>SUMPRODUCT((SegmentLibrary!A:A=C110),SegmentLibrary!G:G*POWER(1+SegmentLibrary!H:H/100,A110-1),INDEX(Parameters!B:D,MOD(A110-1,12)+1,2))</f>
        <v/>
      </c>
    </row>
    <row r="111">
      <c r="A111" s="2" t="n">
        <v>110</v>
      </c>
      <c r="B111" s="2">
        <f>IF(Dashboard!B4="1M",TEXT(DATE(YEAR(TODAY()),MONTH(TODAY())+109,1),"mmm dd"),TEXT(DATE(YEAR(TODAY()),MONTH(TODAY())+109,1),"yyyy mmm"))</f>
        <v/>
      </c>
      <c r="C111" s="2">
        <f>Dashboard!B3</f>
        <v/>
      </c>
      <c r="D111" s="6">
        <f>SUMPRODUCT((SegmentLibrary!A:A=C111),SegmentLibrary!G:G*POWER(1+SegmentLibrary!H:H/100,A111-1),SegmentLibrary!E:E,INDEX(Parameters!B:D,MOD(A111-1,12)+1,2))</f>
        <v/>
      </c>
      <c r="E111" s="7">
        <f>D111/Dashboard!B5</f>
        <v/>
      </c>
      <c r="F111" s="6">
        <f>SUMPRODUCT((SegmentLibrary!A:A=C111),SegmentLibrary!G:G*POWER(1+SegmentLibrary!H:H/100,A111-1),SegmentLibrary!F:F,INDEX(Parameters!B:D,MOD(A111-1,12)+1,2))</f>
        <v/>
      </c>
      <c r="G111" s="7">
        <f>F111/Dashboard!B5</f>
        <v/>
      </c>
      <c r="H111" s="6">
        <f>D111-F111-Parameters!B6</f>
        <v/>
      </c>
      <c r="I111" s="7">
        <f>H111/Dashboard!B5</f>
        <v/>
      </c>
      <c r="J111" s="8">
        <f>IF(D111&gt;0,H111/D111*100,0)</f>
        <v/>
      </c>
      <c r="K111" s="6">
        <f>SUMPRODUCT((SegmentLibrary!A:A=C111),SegmentLibrary!G:G*POWER(1+SegmentLibrary!H:H/100,A111-1),INDEX(Parameters!B:D,MOD(A111-1,12)+1,2))</f>
        <v/>
      </c>
    </row>
    <row r="112">
      <c r="A112" s="2" t="n">
        <v>111</v>
      </c>
      <c r="B112" s="2">
        <f>IF(Dashboard!B4="1M",TEXT(DATE(YEAR(TODAY()),MONTH(TODAY())+110,1),"mmm dd"),TEXT(DATE(YEAR(TODAY()),MONTH(TODAY())+110,1),"yyyy mmm"))</f>
        <v/>
      </c>
      <c r="C112" s="2">
        <f>Dashboard!B3</f>
        <v/>
      </c>
      <c r="D112" s="6">
        <f>SUMPRODUCT((SegmentLibrary!A:A=C112),SegmentLibrary!G:G*POWER(1+SegmentLibrary!H:H/100,A112-1),SegmentLibrary!E:E,INDEX(Parameters!B:D,MOD(A112-1,12)+1,2))</f>
        <v/>
      </c>
      <c r="E112" s="7">
        <f>D112/Dashboard!B5</f>
        <v/>
      </c>
      <c r="F112" s="6">
        <f>SUMPRODUCT((SegmentLibrary!A:A=C112),SegmentLibrary!G:G*POWER(1+SegmentLibrary!H:H/100,A112-1),SegmentLibrary!F:F,INDEX(Parameters!B:D,MOD(A112-1,12)+1,2))</f>
        <v/>
      </c>
      <c r="G112" s="7">
        <f>F112/Dashboard!B5</f>
        <v/>
      </c>
      <c r="H112" s="6">
        <f>D112-F112-Parameters!B6</f>
        <v/>
      </c>
      <c r="I112" s="7">
        <f>H112/Dashboard!B5</f>
        <v/>
      </c>
      <c r="J112" s="8">
        <f>IF(D112&gt;0,H112/D112*100,0)</f>
        <v/>
      </c>
      <c r="K112" s="6">
        <f>SUMPRODUCT((SegmentLibrary!A:A=C112),SegmentLibrary!G:G*POWER(1+SegmentLibrary!H:H/100,A112-1),INDEX(Parameters!B:D,MOD(A112-1,12)+1,2))</f>
        <v/>
      </c>
    </row>
    <row r="113">
      <c r="A113" s="2" t="n">
        <v>112</v>
      </c>
      <c r="B113" s="2">
        <f>IF(Dashboard!B4="1M",TEXT(DATE(YEAR(TODAY()),MONTH(TODAY())+111,1),"mmm dd"),TEXT(DATE(YEAR(TODAY()),MONTH(TODAY())+111,1),"yyyy mmm"))</f>
        <v/>
      </c>
      <c r="C113" s="2">
        <f>Dashboard!B3</f>
        <v/>
      </c>
      <c r="D113" s="6">
        <f>SUMPRODUCT((SegmentLibrary!A:A=C113),SegmentLibrary!G:G*POWER(1+SegmentLibrary!H:H/100,A113-1),SegmentLibrary!E:E,INDEX(Parameters!B:D,MOD(A113-1,12)+1,2))</f>
        <v/>
      </c>
      <c r="E113" s="7">
        <f>D113/Dashboard!B5</f>
        <v/>
      </c>
      <c r="F113" s="6">
        <f>SUMPRODUCT((SegmentLibrary!A:A=C113),SegmentLibrary!G:G*POWER(1+SegmentLibrary!H:H/100,A113-1),SegmentLibrary!F:F,INDEX(Parameters!B:D,MOD(A113-1,12)+1,2))</f>
        <v/>
      </c>
      <c r="G113" s="7">
        <f>F113/Dashboard!B5</f>
        <v/>
      </c>
      <c r="H113" s="6">
        <f>D113-F113-Parameters!B6</f>
        <v/>
      </c>
      <c r="I113" s="7">
        <f>H113/Dashboard!B5</f>
        <v/>
      </c>
      <c r="J113" s="8">
        <f>IF(D113&gt;0,H113/D113*100,0)</f>
        <v/>
      </c>
      <c r="K113" s="6">
        <f>SUMPRODUCT((SegmentLibrary!A:A=C113),SegmentLibrary!G:G*POWER(1+SegmentLibrary!H:H/100,A113-1),INDEX(Parameters!B:D,MOD(A113-1,12)+1,2))</f>
        <v/>
      </c>
    </row>
    <row r="114">
      <c r="A114" s="2" t="n">
        <v>113</v>
      </c>
      <c r="B114" s="2">
        <f>IF(Dashboard!B4="1M",TEXT(DATE(YEAR(TODAY()),MONTH(TODAY())+112,1),"mmm dd"),TEXT(DATE(YEAR(TODAY()),MONTH(TODAY())+112,1),"yyyy mmm"))</f>
        <v/>
      </c>
      <c r="C114" s="2">
        <f>Dashboard!B3</f>
        <v/>
      </c>
      <c r="D114" s="6">
        <f>SUMPRODUCT((SegmentLibrary!A:A=C114),SegmentLibrary!G:G*POWER(1+SegmentLibrary!H:H/100,A114-1),SegmentLibrary!E:E,INDEX(Parameters!B:D,MOD(A114-1,12)+1,2))</f>
        <v/>
      </c>
      <c r="E114" s="7">
        <f>D114/Dashboard!B5</f>
        <v/>
      </c>
      <c r="F114" s="6">
        <f>SUMPRODUCT((SegmentLibrary!A:A=C114),SegmentLibrary!G:G*POWER(1+SegmentLibrary!H:H/100,A114-1),SegmentLibrary!F:F,INDEX(Parameters!B:D,MOD(A114-1,12)+1,2))</f>
        <v/>
      </c>
      <c r="G114" s="7">
        <f>F114/Dashboard!B5</f>
        <v/>
      </c>
      <c r="H114" s="6">
        <f>D114-F114-Parameters!B6</f>
        <v/>
      </c>
      <c r="I114" s="7">
        <f>H114/Dashboard!B5</f>
        <v/>
      </c>
      <c r="J114" s="8">
        <f>IF(D114&gt;0,H114/D114*100,0)</f>
        <v/>
      </c>
      <c r="K114" s="6">
        <f>SUMPRODUCT((SegmentLibrary!A:A=C114),SegmentLibrary!G:G*POWER(1+SegmentLibrary!H:H/100,A114-1),INDEX(Parameters!B:D,MOD(A114-1,12)+1,2))</f>
        <v/>
      </c>
    </row>
    <row r="115">
      <c r="A115" s="2" t="n">
        <v>114</v>
      </c>
      <c r="B115" s="2">
        <f>IF(Dashboard!B4="1M",TEXT(DATE(YEAR(TODAY()),MONTH(TODAY())+113,1),"mmm dd"),TEXT(DATE(YEAR(TODAY()),MONTH(TODAY())+113,1),"yyyy mmm"))</f>
        <v/>
      </c>
      <c r="C115" s="2">
        <f>Dashboard!B3</f>
        <v/>
      </c>
      <c r="D115" s="6">
        <f>SUMPRODUCT((SegmentLibrary!A:A=C115),SegmentLibrary!G:G*POWER(1+SegmentLibrary!H:H/100,A115-1),SegmentLibrary!E:E,INDEX(Parameters!B:D,MOD(A115-1,12)+1,2))</f>
        <v/>
      </c>
      <c r="E115" s="7">
        <f>D115/Dashboard!B5</f>
        <v/>
      </c>
      <c r="F115" s="6">
        <f>SUMPRODUCT((SegmentLibrary!A:A=C115),SegmentLibrary!G:G*POWER(1+SegmentLibrary!H:H/100,A115-1),SegmentLibrary!F:F,INDEX(Parameters!B:D,MOD(A115-1,12)+1,2))</f>
        <v/>
      </c>
      <c r="G115" s="7">
        <f>F115/Dashboard!B5</f>
        <v/>
      </c>
      <c r="H115" s="6">
        <f>D115-F115-Parameters!B6</f>
        <v/>
      </c>
      <c r="I115" s="7">
        <f>H115/Dashboard!B5</f>
        <v/>
      </c>
      <c r="J115" s="8">
        <f>IF(D115&gt;0,H115/D115*100,0)</f>
        <v/>
      </c>
      <c r="K115" s="6">
        <f>SUMPRODUCT((SegmentLibrary!A:A=C115),SegmentLibrary!G:G*POWER(1+SegmentLibrary!H:H/100,A115-1),INDEX(Parameters!B:D,MOD(A115-1,12)+1,2))</f>
        <v/>
      </c>
    </row>
    <row r="116">
      <c r="A116" s="2" t="n">
        <v>115</v>
      </c>
      <c r="B116" s="2">
        <f>IF(Dashboard!B4="1M",TEXT(DATE(YEAR(TODAY()),MONTH(TODAY())+114,1),"mmm dd"),TEXT(DATE(YEAR(TODAY()),MONTH(TODAY())+114,1),"yyyy mmm"))</f>
        <v/>
      </c>
      <c r="C116" s="2">
        <f>Dashboard!B3</f>
        <v/>
      </c>
      <c r="D116" s="6">
        <f>SUMPRODUCT((SegmentLibrary!A:A=C116),SegmentLibrary!G:G*POWER(1+SegmentLibrary!H:H/100,A116-1),SegmentLibrary!E:E,INDEX(Parameters!B:D,MOD(A116-1,12)+1,2))</f>
        <v/>
      </c>
      <c r="E116" s="7">
        <f>D116/Dashboard!B5</f>
        <v/>
      </c>
      <c r="F116" s="6">
        <f>SUMPRODUCT((SegmentLibrary!A:A=C116),SegmentLibrary!G:G*POWER(1+SegmentLibrary!H:H/100,A116-1),SegmentLibrary!F:F,INDEX(Parameters!B:D,MOD(A116-1,12)+1,2))</f>
        <v/>
      </c>
      <c r="G116" s="7">
        <f>F116/Dashboard!B5</f>
        <v/>
      </c>
      <c r="H116" s="6">
        <f>D116-F116-Parameters!B6</f>
        <v/>
      </c>
      <c r="I116" s="7">
        <f>H116/Dashboard!B5</f>
        <v/>
      </c>
      <c r="J116" s="8">
        <f>IF(D116&gt;0,H116/D116*100,0)</f>
        <v/>
      </c>
      <c r="K116" s="6">
        <f>SUMPRODUCT((SegmentLibrary!A:A=C116),SegmentLibrary!G:G*POWER(1+SegmentLibrary!H:H/100,A116-1),INDEX(Parameters!B:D,MOD(A116-1,12)+1,2))</f>
        <v/>
      </c>
    </row>
    <row r="117">
      <c r="A117" s="2" t="n">
        <v>116</v>
      </c>
      <c r="B117" s="2">
        <f>IF(Dashboard!B4="1M",TEXT(DATE(YEAR(TODAY()),MONTH(TODAY())+115,1),"mmm dd"),TEXT(DATE(YEAR(TODAY()),MONTH(TODAY())+115,1),"yyyy mmm"))</f>
        <v/>
      </c>
      <c r="C117" s="2">
        <f>Dashboard!B3</f>
        <v/>
      </c>
      <c r="D117" s="6">
        <f>SUMPRODUCT((SegmentLibrary!A:A=C117),SegmentLibrary!G:G*POWER(1+SegmentLibrary!H:H/100,A117-1),SegmentLibrary!E:E,INDEX(Parameters!B:D,MOD(A117-1,12)+1,2))</f>
        <v/>
      </c>
      <c r="E117" s="7">
        <f>D117/Dashboard!B5</f>
        <v/>
      </c>
      <c r="F117" s="6">
        <f>SUMPRODUCT((SegmentLibrary!A:A=C117),SegmentLibrary!G:G*POWER(1+SegmentLibrary!H:H/100,A117-1),SegmentLibrary!F:F,INDEX(Parameters!B:D,MOD(A117-1,12)+1,2))</f>
        <v/>
      </c>
      <c r="G117" s="7">
        <f>F117/Dashboard!B5</f>
        <v/>
      </c>
      <c r="H117" s="6">
        <f>D117-F117-Parameters!B6</f>
        <v/>
      </c>
      <c r="I117" s="7">
        <f>H117/Dashboard!B5</f>
        <v/>
      </c>
      <c r="J117" s="8">
        <f>IF(D117&gt;0,H117/D117*100,0)</f>
        <v/>
      </c>
      <c r="K117" s="6">
        <f>SUMPRODUCT((SegmentLibrary!A:A=C117),SegmentLibrary!G:G*POWER(1+SegmentLibrary!H:H/100,A117-1),INDEX(Parameters!B:D,MOD(A117-1,12)+1,2))</f>
        <v/>
      </c>
    </row>
    <row r="118">
      <c r="A118" s="2" t="n">
        <v>117</v>
      </c>
      <c r="B118" s="2">
        <f>IF(Dashboard!B4="1M",TEXT(DATE(YEAR(TODAY()),MONTH(TODAY())+116,1),"mmm dd"),TEXT(DATE(YEAR(TODAY()),MONTH(TODAY())+116,1),"yyyy mmm"))</f>
        <v/>
      </c>
      <c r="C118" s="2">
        <f>Dashboard!B3</f>
        <v/>
      </c>
      <c r="D118" s="6">
        <f>SUMPRODUCT((SegmentLibrary!A:A=C118),SegmentLibrary!G:G*POWER(1+SegmentLibrary!H:H/100,A118-1),SegmentLibrary!E:E,INDEX(Parameters!B:D,MOD(A118-1,12)+1,2))</f>
        <v/>
      </c>
      <c r="E118" s="7">
        <f>D118/Dashboard!B5</f>
        <v/>
      </c>
      <c r="F118" s="6">
        <f>SUMPRODUCT((SegmentLibrary!A:A=C118),SegmentLibrary!G:G*POWER(1+SegmentLibrary!H:H/100,A118-1),SegmentLibrary!F:F,INDEX(Parameters!B:D,MOD(A118-1,12)+1,2))</f>
        <v/>
      </c>
      <c r="G118" s="7">
        <f>F118/Dashboard!B5</f>
        <v/>
      </c>
      <c r="H118" s="6">
        <f>D118-F118-Parameters!B6</f>
        <v/>
      </c>
      <c r="I118" s="7">
        <f>H118/Dashboard!B5</f>
        <v/>
      </c>
      <c r="J118" s="8">
        <f>IF(D118&gt;0,H118/D118*100,0)</f>
        <v/>
      </c>
      <c r="K118" s="6">
        <f>SUMPRODUCT((SegmentLibrary!A:A=C118),SegmentLibrary!G:G*POWER(1+SegmentLibrary!H:H/100,A118-1),INDEX(Parameters!B:D,MOD(A118-1,12)+1,2))</f>
        <v/>
      </c>
    </row>
    <row r="119">
      <c r="A119" s="2" t="n">
        <v>118</v>
      </c>
      <c r="B119" s="2">
        <f>IF(Dashboard!B4="1M",TEXT(DATE(YEAR(TODAY()),MONTH(TODAY())+117,1),"mmm dd"),TEXT(DATE(YEAR(TODAY()),MONTH(TODAY())+117,1),"yyyy mmm"))</f>
        <v/>
      </c>
      <c r="C119" s="2">
        <f>Dashboard!B3</f>
        <v/>
      </c>
      <c r="D119" s="6">
        <f>SUMPRODUCT((SegmentLibrary!A:A=C119),SegmentLibrary!G:G*POWER(1+SegmentLibrary!H:H/100,A119-1),SegmentLibrary!E:E,INDEX(Parameters!B:D,MOD(A119-1,12)+1,2))</f>
        <v/>
      </c>
      <c r="E119" s="7">
        <f>D119/Dashboard!B5</f>
        <v/>
      </c>
      <c r="F119" s="6">
        <f>SUMPRODUCT((SegmentLibrary!A:A=C119),SegmentLibrary!G:G*POWER(1+SegmentLibrary!H:H/100,A119-1),SegmentLibrary!F:F,INDEX(Parameters!B:D,MOD(A119-1,12)+1,2))</f>
        <v/>
      </c>
      <c r="G119" s="7">
        <f>F119/Dashboard!B5</f>
        <v/>
      </c>
      <c r="H119" s="6">
        <f>D119-F119-Parameters!B6</f>
        <v/>
      </c>
      <c r="I119" s="7">
        <f>H119/Dashboard!B5</f>
        <v/>
      </c>
      <c r="J119" s="8">
        <f>IF(D119&gt;0,H119/D119*100,0)</f>
        <v/>
      </c>
      <c r="K119" s="6">
        <f>SUMPRODUCT((SegmentLibrary!A:A=C119),SegmentLibrary!G:G*POWER(1+SegmentLibrary!H:H/100,A119-1),INDEX(Parameters!B:D,MOD(A119-1,12)+1,2))</f>
        <v/>
      </c>
    </row>
    <row r="120">
      <c r="A120" s="2" t="n">
        <v>119</v>
      </c>
      <c r="B120" s="2">
        <f>IF(Dashboard!B4="1M",TEXT(DATE(YEAR(TODAY()),MONTH(TODAY())+118,1),"mmm dd"),TEXT(DATE(YEAR(TODAY()),MONTH(TODAY())+118,1),"yyyy mmm"))</f>
        <v/>
      </c>
      <c r="C120" s="2">
        <f>Dashboard!B3</f>
        <v/>
      </c>
      <c r="D120" s="6">
        <f>SUMPRODUCT((SegmentLibrary!A:A=C120),SegmentLibrary!G:G*POWER(1+SegmentLibrary!H:H/100,A120-1),SegmentLibrary!E:E,INDEX(Parameters!B:D,MOD(A120-1,12)+1,2))</f>
        <v/>
      </c>
      <c r="E120" s="7">
        <f>D120/Dashboard!B5</f>
        <v/>
      </c>
      <c r="F120" s="6">
        <f>SUMPRODUCT((SegmentLibrary!A:A=C120),SegmentLibrary!G:G*POWER(1+SegmentLibrary!H:H/100,A120-1),SegmentLibrary!F:F,INDEX(Parameters!B:D,MOD(A120-1,12)+1,2))</f>
        <v/>
      </c>
      <c r="G120" s="7">
        <f>F120/Dashboard!B5</f>
        <v/>
      </c>
      <c r="H120" s="6">
        <f>D120-F120-Parameters!B6</f>
        <v/>
      </c>
      <c r="I120" s="7">
        <f>H120/Dashboard!B5</f>
        <v/>
      </c>
      <c r="J120" s="8">
        <f>IF(D120&gt;0,H120/D120*100,0)</f>
        <v/>
      </c>
      <c r="K120" s="6">
        <f>SUMPRODUCT((SegmentLibrary!A:A=C120),SegmentLibrary!G:G*POWER(1+SegmentLibrary!H:H/100,A120-1),INDEX(Parameters!B:D,MOD(A120-1,12)+1,2))</f>
        <v/>
      </c>
    </row>
    <row r="121">
      <c r="A121" s="2" t="n">
        <v>120</v>
      </c>
      <c r="B121" s="2">
        <f>IF(Dashboard!B4="1M",TEXT(DATE(YEAR(TODAY()),MONTH(TODAY())+119,1),"mmm dd"),TEXT(DATE(YEAR(TODAY()),MONTH(TODAY())+119,1),"yyyy mmm"))</f>
        <v/>
      </c>
      <c r="C121" s="2">
        <f>Dashboard!B3</f>
        <v/>
      </c>
      <c r="D121" s="6">
        <f>SUMPRODUCT((SegmentLibrary!A:A=C121),SegmentLibrary!G:G*POWER(1+SegmentLibrary!H:H/100,A121-1),SegmentLibrary!E:E,INDEX(Parameters!B:D,MOD(A121-1,12)+1,2))</f>
        <v/>
      </c>
      <c r="E121" s="7">
        <f>D121/Dashboard!B5</f>
        <v/>
      </c>
      <c r="F121" s="6">
        <f>SUMPRODUCT((SegmentLibrary!A:A=C121),SegmentLibrary!G:G*POWER(1+SegmentLibrary!H:H/100,A121-1),SegmentLibrary!F:F,INDEX(Parameters!B:D,MOD(A121-1,12)+1,2))</f>
        <v/>
      </c>
      <c r="G121" s="7">
        <f>F121/Dashboard!B5</f>
        <v/>
      </c>
      <c r="H121" s="6">
        <f>D121-F121-Parameters!B6</f>
        <v/>
      </c>
      <c r="I121" s="7">
        <f>H121/Dashboard!B5</f>
        <v/>
      </c>
      <c r="J121" s="8">
        <f>IF(D121&gt;0,H121/D121*100,0)</f>
        <v/>
      </c>
      <c r="K121" s="6">
        <f>SUMPRODUCT((SegmentLibrary!A:A=C121),SegmentLibrary!G:G*POWER(1+SegmentLibrary!H:H/100,A121-1),INDEX(Parameters!B:D,MOD(A121-1,12)+1,2))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Scenario Analysis</t>
        </is>
      </c>
    </row>
    <row r="2"/>
    <row r="3">
      <c r="A3" s="1" t="inlineStr">
        <is>
          <t>Scenario</t>
        </is>
      </c>
      <c r="B3" s="1" t="inlineStr">
        <is>
          <t>Volume Multiplier</t>
        </is>
      </c>
      <c r="C3" s="1" t="inlineStr">
        <is>
          <t>Price Multiplier</t>
        </is>
      </c>
      <c r="D3" s="1" t="inlineStr">
        <is>
          <t>Cost Multiplier</t>
        </is>
      </c>
      <c r="E3" s="1" t="inlineStr">
        <is>
          <t>OpEx Multiplier</t>
        </is>
      </c>
    </row>
    <row r="4">
      <c r="A4" s="2" t="inlineStr">
        <is>
          <t>Conservative</t>
        </is>
      </c>
      <c r="B4" s="2" t="n">
        <v>0.7</v>
      </c>
      <c r="C4" s="2" t="n">
        <v>0.9</v>
      </c>
      <c r="D4" s="2" t="n">
        <v>1.1</v>
      </c>
      <c r="E4" s="2" t="n">
        <v>1</v>
      </c>
    </row>
    <row r="5">
      <c r="A5" s="2" t="inlineStr">
        <is>
          <t>Base Case</t>
        </is>
      </c>
      <c r="B5" s="2" t="n">
        <v>1</v>
      </c>
      <c r="C5" s="2" t="n">
        <v>1</v>
      </c>
      <c r="D5" s="2" t="n">
        <v>1</v>
      </c>
      <c r="E5" s="2" t="n">
        <v>1</v>
      </c>
    </row>
    <row r="6">
      <c r="A6" s="2" t="inlineStr">
        <is>
          <t>Optimistic</t>
        </is>
      </c>
      <c r="B6" s="2" t="n">
        <v>1.5</v>
      </c>
      <c r="C6" s="2" t="n">
        <v>1.1</v>
      </c>
      <c r="D6" s="2" t="n">
        <v>0.9</v>
      </c>
      <c r="E6" s="2" t="n">
        <v>1</v>
      </c>
    </row>
    <row r="7"/>
    <row r="8">
      <c r="A8" s="9" t="inlineStr">
        <is>
          <t>Scenario Results</t>
        </is>
      </c>
    </row>
    <row r="9">
      <c r="A9" s="1" t="inlineStr">
        <is>
          <t>Scenario</t>
        </is>
      </c>
      <c r="B9" s="1" t="inlineStr">
        <is>
          <t>Total Revenue</t>
        </is>
      </c>
      <c r="C9" s="1" t="inlineStr">
        <is>
          <t>Total Profit</t>
        </is>
      </c>
      <c r="D9" s="1" t="inlineStr">
        <is>
          <t>Profit Margin</t>
        </is>
      </c>
      <c r="E9" s="1" t="inlineStr">
        <is>
          <t>Avg Monthly Revenue</t>
        </is>
      </c>
    </row>
    <row r="10">
      <c r="A10" s="2" t="inlineStr">
        <is>
          <t>Conservative</t>
        </is>
      </c>
      <c r="B10" s="2">
        <f>SUMPRODUCT(Projections!D:D)*0.7*0.9</f>
        <v/>
      </c>
      <c r="C10" s="2">
        <f>(SUMPRODUCT(Projections!D:D)*0.7*0.9)-(SUMPRODUCT(Projections!F:F)*0.7*1.1)-(Parameters!B6*1.0*Parameters!B3)</f>
        <v/>
      </c>
      <c r="D10" s="2">
        <f>IF(B10&gt;0,C10/B10*100,0)</f>
        <v/>
      </c>
      <c r="E10" s="2">
        <f>B10/Parameters!B3</f>
        <v/>
      </c>
    </row>
    <row r="11">
      <c r="A11" s="2" t="inlineStr">
        <is>
          <t>Base Case</t>
        </is>
      </c>
      <c r="B11" s="2">
        <f>SUMPRODUCT(Projections!D:D)*1.0*1.0</f>
        <v/>
      </c>
      <c r="C11" s="2">
        <f>(SUMPRODUCT(Projections!D:D)*1.0*1.0)-(SUMPRODUCT(Projections!F:F)*1.0*1.0)-(Parameters!B6*1.0*Parameters!B3)</f>
        <v/>
      </c>
      <c r="D11" s="2">
        <f>IF(B11&gt;0,C11/B11*100,0)</f>
        <v/>
      </c>
      <c r="E11" s="2">
        <f>B11/Parameters!B3</f>
        <v/>
      </c>
    </row>
    <row r="12">
      <c r="A12" s="2" t="inlineStr">
        <is>
          <t>Optimistic</t>
        </is>
      </c>
      <c r="B12" s="2">
        <f>SUMPRODUCT(Projections!D:D)*1.5*1.1</f>
        <v/>
      </c>
      <c r="C12" s="2">
        <f>(SUMPRODUCT(Projections!D:D)*1.5*1.1)-(SUMPRODUCT(Projections!F:F)*1.5*0.9)-(Parameters!B6*1.0*Parameters!B3)</f>
        <v/>
      </c>
      <c r="D12" s="2">
        <f>IF(B12&gt;0,C12/B12*100,0)</f>
        <v/>
      </c>
      <c r="E12" s="2">
        <f>B12/Parameters!B3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A1" s="10" t="inlineStr">
        <is>
          <t>APAC Revenue Projections Dashboard</t>
        </is>
      </c>
    </row>
    <row r="2"/>
    <row r="3">
      <c r="A3" s="5" t="inlineStr">
        <is>
          <t>Country:</t>
        </is>
      </c>
      <c r="B3" s="2" t="inlineStr">
        <is>
          <t>india</t>
        </is>
      </c>
    </row>
    <row r="4">
      <c r="A4" s="5" t="inlineStr">
        <is>
          <t>Period:</t>
        </is>
      </c>
      <c r="B4" s="2" t="inlineStr">
        <is>
          <t>1Y</t>
        </is>
      </c>
    </row>
    <row r="5">
      <c r="A5" s="5" t="inlineStr">
        <is>
          <t>Exchange Rate:</t>
        </is>
      </c>
      <c r="B5" s="2">
        <f>VLOOKUP(B3,CountryData!A:D,4,FALSE)</f>
        <v/>
      </c>
    </row>
    <row r="6">
      <c r="A6" s="5" t="inlineStr">
        <is>
          <t>Currency:</t>
        </is>
      </c>
      <c r="B6" s="2">
        <f>VLOOKUP(B3,CountryData!A:C,3,FALSE)</f>
        <v/>
      </c>
    </row>
    <row r="7"/>
    <row r="8">
      <c r="A8" s="9" t="inlineStr">
        <is>
          <t>Key Metrics</t>
        </is>
      </c>
    </row>
    <row r="9"/>
    <row r="10">
      <c r="A10" s="5" t="inlineStr">
        <is>
          <t>Total Revenue (Local)</t>
        </is>
      </c>
      <c r="B10" s="6">
        <f>SUM(Projections!D:D)</f>
        <v/>
      </c>
    </row>
    <row r="11">
      <c r="A11" s="5" t="inlineStr">
        <is>
          <t>Total Revenue (USD)</t>
        </is>
      </c>
      <c r="B11" s="6">
        <f>SUM(Projections!D:D)/B5</f>
        <v/>
      </c>
    </row>
    <row r="12">
      <c r="A12" s="5" t="inlineStr">
        <is>
          <t>Total Net Profit (Local)</t>
        </is>
      </c>
      <c r="B12" s="6">
        <f>SUM(Projections!H:H)</f>
        <v/>
      </c>
    </row>
    <row r="13">
      <c r="A13" s="5" t="inlineStr">
        <is>
          <t>Total Net Profit (USD)</t>
        </is>
      </c>
      <c r="B13" s="6">
        <f>SUM(Projections!H:H)/B5</f>
        <v/>
      </c>
    </row>
    <row r="14">
      <c r="A14" s="5" t="inlineStr">
        <is>
          <t>Avg Profit Margin</t>
        </is>
      </c>
      <c r="B14" s="6">
        <f>AVERAGE(Projections!I:I)</f>
        <v/>
      </c>
    </row>
    <row r="15">
      <c r="A15" s="5" t="inlineStr">
        <is>
          <t>Total Transaction Volume</t>
        </is>
      </c>
      <c r="B15" s="6">
        <f>SUM(Projections!J:J)</f>
        <v/>
      </c>
    </row>
  </sheetData>
  <mergeCells count="1">
    <mergeCell ref="A1:H1"/>
  </mergeCells>
  <dataValidations count="2">
    <dataValidation sqref="B3" showDropDown="0" showInputMessage="0" showErrorMessage="0" allowBlank="0" type="list">
      <formula1>"india,singapore,australia,japan,south_korea,thailand,indonesia,philippines"</formula1>
    </dataValidation>
    <dataValidation sqref="B4" showDropDown="0" showInputMessage="0" showErrorMessage="0" allowBlank="0" type="list">
      <formula1>"1M,1Y,2Y,5Y,10Y"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2025-09-23T09:10:18Z</dcterms:created>
  <dcterms:modified xmlns:dcterms="http://purl.org/dc/terms/" xmlns:xsi="http://www.w3.org/2001/XMLSchema-instance" xsi:type="dcterms:W3CDTF">2025-09-23T09:10:18Z</dcterms:modified>
</cp:coreProperties>
</file>