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amelder/Downloads/"/>
    </mc:Choice>
  </mc:AlternateContent>
  <xr:revisionPtr revIDLastSave="0" documentId="13_ncr:1_{8FDB254E-8C1A-4944-AF5C-718EC611C163}" xr6:coauthVersionLast="45" xr6:coauthVersionMax="45" xr10:uidLastSave="{00000000-0000-0000-0000-000000000000}"/>
  <bookViews>
    <workbookView xWindow="0" yWindow="0" windowWidth="33600" windowHeight="21000" activeTab="2" xr2:uid="{B46F0F34-F53A-4448-8158-E2549F3BC521}"/>
  </bookViews>
  <sheets>
    <sheet name="Cost Driver Model (V2)" sheetId="22" r:id="rId1"/>
    <sheet name="FactorControbution(values only)" sheetId="28" r:id="rId2"/>
    <sheet name="Display summaries" sheetId="2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lt2" localSheetId="0">[1]area!#REF!</definedName>
    <definedName name="_alt2">[1]area!#REF!</definedName>
    <definedName name="_Msg1">'[2]Draw Details'!$HL$1037</definedName>
    <definedName name="_test_this" localSheetId="0">#REF!</definedName>
    <definedName name="_test_this">#REF!</definedName>
    <definedName name="\a" localSheetId="0">#REF!</definedName>
    <definedName name="\a">#REF!</definedName>
    <definedName name="\abc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i" localSheetId="0">#REF!</definedName>
    <definedName name="\i">#REF!</definedName>
    <definedName name="\m" localSheetId="0">#REF!</definedName>
    <definedName name="\m">#REF!</definedName>
    <definedName name="\n" localSheetId="0">#REF!</definedName>
    <definedName name="\n">#REF!</definedName>
    <definedName name="\p" localSheetId="0">#REF!</definedName>
    <definedName name="\p">#REF!</definedName>
    <definedName name="\s" localSheetId="0">#REF!</definedName>
    <definedName name="\s">#REF!</definedName>
    <definedName name="\w" localSheetId="0">#REF!</definedName>
    <definedName name="\w">#REF!</definedName>
    <definedName name="\z" localSheetId="0">#REF!</definedName>
    <definedName name="\z">#REF!</definedName>
    <definedName name="Act_Typ">[3]Dropdowns!$B$142:$B$145</definedName>
    <definedName name="Activity_Type">[3]Dropdowns!$B$127:$B$130</definedName>
    <definedName name="Actual_or_Percent">[4]Dropdowns!$B$175:$B$177</definedName>
    <definedName name="Adv">'[5]Work Order'!$A$12</definedName>
    <definedName name="AMIs">[4]Dropdowns!$B$92:$B$102</definedName>
    <definedName name="asdasdf" localSheetId="0">'[6]GC Detail'!#REF!</definedName>
    <definedName name="asdasdf">'[6]GC Detail'!#REF!</definedName>
    <definedName name="BODY" localSheetId="0">#REF!</definedName>
    <definedName name="BODY">#REF!</definedName>
    <definedName name="BondTC">'[7]Under the LIHTC Hood'!$D$62:$D$66</definedName>
    <definedName name="Building_Type">[3]Dropdowns!$B$116:$B$124</definedName>
    <definedName name="Built_For">[8]Under_the_Hood!$C$80:$C$83</definedName>
    <definedName name="CA_FEE_codes" localSheetId="0">#REF!</definedName>
    <definedName name="CA_FEE_codes">#REF!</definedName>
    <definedName name="CD" localSheetId="0">#REF!</definedName>
    <definedName name="CD">#REF!</definedName>
    <definedName name="CH" localSheetId="0">#REF!</definedName>
    <definedName name="CH">#REF!</definedName>
    <definedName name="CM" localSheetId="0">#REF!</definedName>
    <definedName name="CM">#REF!</definedName>
    <definedName name="Counties">'[7]Under the LIHTC Hood'!$D$2:$D$40</definedName>
    <definedName name="CRIT" localSheetId="0">#REF!</definedName>
    <definedName name="CRIT">#REF!</definedName>
    <definedName name="_xlnm.Criteria" localSheetId="0">#REF!</definedName>
    <definedName name="_xlnm.Criteria">#REF!</definedName>
    <definedName name="Criteria_MI" localSheetId="0">#REF!</definedName>
    <definedName name="Criteria_MI">#REF!</definedName>
    <definedName name="Current_HardCost_Adjustments">[9]PSTR!$E$13:$E$20</definedName>
    <definedName name="Current_HardDraw">[9]PSTR!$H$13:$H$20</definedName>
    <definedName name="Current_Interest_Adjustments">[9]PSTR!$E$62:$E$66</definedName>
    <definedName name="Current_InterestDraw">[9]PSTR!$H$62:$H$66</definedName>
    <definedName name="Current_LandCost_Adjustments">[9]PSTR!$E$9:$E$10</definedName>
    <definedName name="Current_LandDraw">[9]PSTR!$H$9:$H$10</definedName>
    <definedName name="Current_SoftCost_Adjustments">[9]PSTR!$E$23:$E$59</definedName>
    <definedName name="Current_SoftDraw">[9]PSTR!$H$23:$H$59</definedName>
    <definedName name="Database_MI" localSheetId="0">#REF!</definedName>
    <definedName name="Database_MI">#REF!</definedName>
    <definedName name="day" localSheetId="0">#REF!</definedName>
    <definedName name="day">#REF!</definedName>
    <definedName name="Debt_Type">[4]Dropdowns!$B$56:$B$58</definedName>
    <definedName name="DevB1">#REF!</definedName>
    <definedName name="DevB1Sub">#REF!</definedName>
    <definedName name="DevB2">#REF!</definedName>
    <definedName name="DevB2Sub">#REF!</definedName>
    <definedName name="DevB3">#REF!</definedName>
    <definedName name="DevB3Sub">#REF!</definedName>
    <definedName name="DevFees">'[7]Under the LIHTC Hood'!$D$70:$D$75</definedName>
    <definedName name="Dont" localSheetId="0">#REF!</definedName>
    <definedName name="Dont">#REF!</definedName>
    <definedName name="ELE" localSheetId="0">#REF!</definedName>
    <definedName name="ELE">#REF!</definedName>
    <definedName name="eligible_tribes">[8]LIHTC_ScoringLists!$B$201:$B$214</definedName>
    <definedName name="Enable">[3]Dropdowns!$B$110:$B$110</definedName>
    <definedName name="EXC" localSheetId="0">#REF!</definedName>
    <definedName name="EXC">#REF!</definedName>
    <definedName name="EXT" localSheetId="0">#REF!</definedName>
    <definedName name="EXT">#REF!</definedName>
    <definedName name="_xlnm.Extract" localSheetId="0">#REF!</definedName>
    <definedName name="_xlnm.Extract">#REF!</definedName>
    <definedName name="Extract_MI" localSheetId="0">#REF!</definedName>
    <definedName name="Extract_MI">#REF!</definedName>
    <definedName name="federal_funding_sources">[8]LIHTC_ScoringLists!$B$171:$B$177</definedName>
    <definedName name="FEE_CODES___DEFINITIONS___GL" localSheetId="0">#REF!</definedName>
    <definedName name="FEE_CODES___DEFINITIONS___GL">#REF!</definedName>
    <definedName name="FivePoints">'[7]ESDS-UnderTheHood'!$J$2:$J$3</definedName>
    <definedName name="FourPoints">'[7]ESDS-UnderTheHood'!$R$2:$R$3</definedName>
    <definedName name="FourSixEight">'[7]ESDS-UnderTheHood'!$N$9:$N$12</definedName>
    <definedName name="Fund_Source">[4]Dropdowns!$B$153:$B$167</definedName>
    <definedName name="FunderType">'[7]Under the Hood'!$C$15:$C$17</definedName>
    <definedName name="FundingType">'[7]Under the Hood'!$C$9:$C$11</definedName>
    <definedName name="G_or_L">[4]Dropdowns!$E$51:$E$53</definedName>
    <definedName name="GC" localSheetId="0">#REF!</definedName>
    <definedName name="GC">#REF!</definedName>
    <definedName name="GL_Numbers" localSheetId="0">#REF!</definedName>
    <definedName name="GL_Numbers">#REF!</definedName>
    <definedName name="HalfToFive">'[7]ESDS-UnderTheHood'!$B$16:$B$26</definedName>
    <definedName name="HalfToTen">'[7]ESDS-UnderTheHood'!$B$29:$B$49</definedName>
    <definedName name="higher_income">[8]LIHTC_ScoringLists!$B$2:$B$16</definedName>
    <definedName name="Historic">[8]LIHTC_ScoringLists!$B$197:$B$199</definedName>
    <definedName name="Homeless75">[8]LIHTC_ScoringLists!$B$126:$B$127</definedName>
    <definedName name="HomelessFW">'[7]Under the LIHTC Hood'!$D$50:$D$52</definedName>
    <definedName name="i" localSheetId="0">#REF!</definedName>
    <definedName name="i">#REF!</definedName>
    <definedName name="ID_of_Interest">[8]Under_the_Hood!$C$73:$C$74</definedName>
    <definedName name="in_within">[8]LIHTC_ScoringLists!$B$225:$B$229</definedName>
    <definedName name="Inc_Higher">[8]LIHTC_ScoringLists!$B$18:$B$38</definedName>
    <definedName name="Inc_Lower">[8]LIHTC_ScoringLists!$B$69:$B$89</definedName>
    <definedName name="Inc_percent">'[3]ScoringLists (9%)'!$B$85:$B$94</definedName>
    <definedName name="INSERT" localSheetId="0">#REF!</definedName>
    <definedName name="INSERT">#REF!</definedName>
    <definedName name="INT" localSheetId="0">#REF!</definedName>
    <definedName name="INT">#REF!</definedName>
    <definedName name="Inv">'[5]Work Order'!$A$39</definedName>
    <definedName name="Is" localSheetId="0">#REF!</definedName>
    <definedName name="Is">#REF!</definedName>
    <definedName name="job_centers">[8]LIHTC_ScoringLists!$B$231:$B$280</definedName>
    <definedName name="KC_HTF">[8]LIHTC_ScoringLists!$B$179:$B$181</definedName>
    <definedName name="KC_only">[8]LIHTC_ScoringLists!$B$221:$B$223</definedName>
    <definedName name="KC_OppArea">'[3]ScoringLists (9%)'!$B$237:$B$240</definedName>
    <definedName name="LC_GL_" localSheetId="0">#REF!</definedName>
    <definedName name="LC_GL_">#REF!</definedName>
    <definedName name="LD" localSheetId="0">#REF!</definedName>
    <definedName name="LD">#REF!</definedName>
    <definedName name="Leveraging_Points">'[3]ScoringLists (9%)'!$B$147:$B$159</definedName>
    <definedName name="LH" localSheetId="0">#REF!</definedName>
    <definedName name="LH">#REF!</definedName>
    <definedName name="LIHTCAMI">'[7]Under the LIHTC Hood'!$D$90:$D$93</definedName>
    <definedName name="LM" localSheetId="0">#REF!</definedName>
    <definedName name="LM">#REF!</definedName>
    <definedName name="local_funding_counties">[8]LIHTC_ScoringLists!$B$140:$B$147</definedName>
    <definedName name="location_eff">[8]LIHTC_ScoringLists!$B$216:$B$219</definedName>
    <definedName name="Location_eff_4percent">'[3]ScoringLists (4%)'!$B$74:$B$76</definedName>
    <definedName name="lower_income">[8]LIHTC_ScoringLists!$B$40:$B$67</definedName>
    <definedName name="MandCheck">'[7]ESDS-UnderTheHood'!$B$2:$B$4</definedName>
    <definedName name="MandOr5">'[7]ESDS-UnderTheHood'!$L$2:$L$5</definedName>
    <definedName name="MEC" localSheetId="0">#REF!</definedName>
    <definedName name="MEC">#REF!</definedName>
    <definedName name="mo" localSheetId="0">#REF!</definedName>
    <definedName name="mo">#REF!</definedName>
    <definedName name="NAME" localSheetId="0">#REF!</definedName>
    <definedName name="NAME">#REF!</definedName>
    <definedName name="Non_LIH_Units">[4]Dropdowns!$B$87:$B$89</definedName>
    <definedName name="NonRes_FundSource">[4]Dropdowns!$E$153:$E$168</definedName>
    <definedName name="NPSponsor">[8]LIHTC_ScoringLists!$B$282:$B$285</definedName>
    <definedName name="nsf" localSheetId="0">'[6]GC Detail'!#REF!</definedName>
    <definedName name="nsf">'[6]GC Detail'!#REF!</definedName>
    <definedName name="OD" localSheetId="0">#REF!</definedName>
    <definedName name="OD">#REF!</definedName>
    <definedName name="OH" localSheetId="0">#REF!</definedName>
    <definedName name="OH">#REF!</definedName>
    <definedName name="OM" localSheetId="0">#REF!</definedName>
    <definedName name="OM">#REF!</definedName>
    <definedName name="OnePoint">'[7]ESDS-UnderTheHood'!$D$16:$D$17</definedName>
    <definedName name="OneToFive">'[7]ESDS-UnderTheHood'!$F$2:$F$7</definedName>
    <definedName name="OneToSix">'[7]ESDS-UnderTheHood'!$L$9:$L$15</definedName>
    <definedName name="OneToTen">'[7]ESDS-UnderTheHood'!$F$16:$F$26</definedName>
    <definedName name="OneTwoFourSix">'[7]ESDS-UnderTheHood'!$J$9:$J$13</definedName>
    <definedName name="OnSite_OffSite">[4]Dropdowns!$B$170:$B$172</definedName>
    <definedName name="OnTime_OnBudget">[3]Dropdowns!$B$147:$B$151</definedName>
    <definedName name="Points1to3">'[7]ESDS-UnderTheHood'!$D$2:$D$5</definedName>
    <definedName name="Population_Types">[10]UnderTheHood!$C$2:$C$19</definedName>
    <definedName name="Previous_HardCost_Adjustments">[9]PSTR!$D$13:$D$20</definedName>
    <definedName name="Previous_HardDraw">[9]PSTR!$G$13:$G$20</definedName>
    <definedName name="Previous_Interest_Adjustments">[9]PSTR!$D$62:$D$66</definedName>
    <definedName name="Previous_InterestDraw">[9]PSTR!$G$62:$G$66</definedName>
    <definedName name="Previous_LandCost_Adjustments">[9]PSTR!$D$9:$D$10</definedName>
    <definedName name="Previous_LandDraw">[9]PSTR!$G$9:$G$10</definedName>
    <definedName name="Previous_SoftCost_Adjustments">[9]PSTR!$D$23:$D$59</definedName>
    <definedName name="Previous_SoftDraw">[9]PSTR!$G$23:$G$59</definedName>
    <definedName name="Print_Area_MI" localSheetId="0">#REF!</definedName>
    <definedName name="Print_Area_MI">#REF!</definedName>
    <definedName name="Print_Titles_MI" localSheetId="0">#REF!</definedName>
    <definedName name="Print_Titles_MI">#REF!</definedName>
    <definedName name="Project_Status">[3]Dropdowns!$B$132:$B$136</definedName>
    <definedName name="Project_Type">[3]Dropdowns!$B$138:$B$140</definedName>
    <definedName name="ProMetrics">#REF!</definedName>
    <definedName name="PSORTED" localSheetId="0">#REF!</definedName>
    <definedName name="PSORTED">#REF!</definedName>
    <definedName name="Pymts">'[5]Work Order'!$A$41:$A$44</definedName>
    <definedName name="q">'[6]GC Detail'!#REF!</definedName>
    <definedName name="RBORDER" localSheetId="0">#REF!</definedName>
    <definedName name="RBORDER">#REF!</definedName>
    <definedName name="really" localSheetId="0">#REF!</definedName>
    <definedName name="really">#REF!</definedName>
    <definedName name="Region">'[3]ESDS-Lookup Table'!$A$2:$A$4</definedName>
    <definedName name="Relo_Units">[3]Dropdowns!$E$68:$E$75</definedName>
    <definedName name="RELOC" localSheetId="0">#REF!</definedName>
    <definedName name="RELOC">#REF!</definedName>
    <definedName name="Res_Type">[3]Dropdowns!$B$40:$B$44</definedName>
    <definedName name="row" localSheetId="0">#REF!</definedName>
    <definedName name="row">#REF!</definedName>
    <definedName name="rsf" localSheetId="0">'[6]GC Detail'!#REF!</definedName>
    <definedName name="rsf">'[6]GC Detail'!#REF!</definedName>
    <definedName name="sadasd" localSheetId="0">#REF!</definedName>
    <definedName name="sadasd">#REF!</definedName>
    <definedName name="SBODY" localSheetId="0">#REF!</definedName>
    <definedName name="SBODY">#REF!</definedName>
    <definedName name="sdsd" localSheetId="0">#REF!</definedName>
    <definedName name="sdsd">#REF!</definedName>
    <definedName name="SevenPoints">'[7]ESDS-UnderTheHood'!$F$29:$F$30</definedName>
    <definedName name="SeventeenPoints">'[7]ESDS-UnderTheHood'!$P$2:$P$3</definedName>
    <definedName name="SF" localSheetId="0">#REF!</definedName>
    <definedName name="SF">#REF!</definedName>
    <definedName name="SITE" localSheetId="0">#REF!</definedName>
    <definedName name="SITE">#REF!</definedName>
    <definedName name="SORTED" localSheetId="0">#REF!</definedName>
    <definedName name="SORTED">#REF!</definedName>
    <definedName name="Spanner_Auto_File">"m:\cadd\uwsuzz2\mockups\roomfin6.x2a"</definedName>
    <definedName name="SPE" localSheetId="0">#REF!</definedName>
    <definedName name="SPE">#REF!</definedName>
    <definedName name="SPEC" localSheetId="0">#REF!</definedName>
    <definedName name="SPEC">#REF!</definedName>
    <definedName name="Spec_Needs">[8]Under_the_Hood!$C$53:$C$65</definedName>
    <definedName name="SpecNeeds">'[7]Under the LIHTC Hood'!$D$55:$D$60</definedName>
    <definedName name="SpecNeeds20">[8]LIHTC_ScoringLists!$B$130:$B$138</definedName>
    <definedName name="STAFF" localSheetId="0">#REF!</definedName>
    <definedName name="STAFF">#REF!</definedName>
    <definedName name="START" localSheetId="0">#REF!</definedName>
    <definedName name="START">#REF!</definedName>
    <definedName name="START2" localSheetId="0">#REF!</definedName>
    <definedName name="START2">#REF!</definedName>
    <definedName name="STARTSOR" localSheetId="0">#REF!</definedName>
    <definedName name="STARTSOR">#REF!</definedName>
    <definedName name="stop" localSheetId="0">#REF!</definedName>
    <definedName name="stop">#REF!</definedName>
    <definedName name="STR" localSheetId="0">#REF!</definedName>
    <definedName name="STR">#REF!</definedName>
    <definedName name="SUMMARY" localSheetId="0">#REF!</definedName>
    <definedName name="SUMMARY">#REF!</definedName>
    <definedName name="SYS" localSheetId="0">#REF!</definedName>
    <definedName name="SYS">#REF!</definedName>
    <definedName name="SYSTEM" localSheetId="0">#REF!</definedName>
    <definedName name="SYSTEM">#REF!</definedName>
    <definedName name="table">'[11]Draw Summary'!$HM$1001:$IV$1011</definedName>
    <definedName name="TAKEOFF" localSheetId="0">#REF!</definedName>
    <definedName name="TAKEOFF">#REF!</definedName>
    <definedName name="TargetedArea">'[7]Under the LIHTC Hood'!$D$83:$D$86</definedName>
    <definedName name="TDC_limit">'[3]ScoringLists (9%)'!$B$309:$B$313</definedName>
    <definedName name="TenPoints">'[7]ESDS-UnderTheHood'!$F$9:$F$10</definedName>
    <definedName name="This" localSheetId="0">#REF!</definedName>
    <definedName name="This">#REF!</definedName>
    <definedName name="ThreeOrFive">'[7]ESDS-UnderTheHood'!$B$9:$B$11</definedName>
    <definedName name="ThreeOrSeven">'[7]ESDS-UnderTheHood'!$P$9:$P$11</definedName>
    <definedName name="ThreePoints">'[7]ESDS-UnderTheHood'!$H$9:$H$10</definedName>
    <definedName name="TITLE" localSheetId="0">#REF!</definedName>
    <definedName name="TITLE">#REF!</definedName>
    <definedName name="TwoFiveSeven">'[7]ESDS-UnderTheHood'!$N$2:$N$5</definedName>
    <definedName name="TwoFourSixEight">'[7]ESDS-UnderTheHood'!$D$29:$D$33</definedName>
    <definedName name="TwoPoints">'[7]ESDS-UnderTheHood'!$H$2:$H$3</definedName>
    <definedName name="TwoThreeFive">'[7]ESDS-UnderTheHood'!$H$16:$H$19</definedName>
    <definedName name="TwoTo7">'[7]ESDS-UnderTheHood'!$D$9:$D$13</definedName>
    <definedName name="Type">'[3]ESDS-Lookup Table'!$B$2:$B$5</definedName>
    <definedName name="UnitAMI">'[7]Under the Hood'!$C$36:$C$40</definedName>
    <definedName name="Units_and_Beds">[4]Dropdowns!$B$77:$B$85</definedName>
    <definedName name="Units_or_Beds">[3]Dropdowns!$B$46:$B$48</definedName>
    <definedName name="VER" localSheetId="0">#REF!</definedName>
    <definedName name="VER">#REF!</definedName>
    <definedName name="What" localSheetId="0">#REF!</definedName>
    <definedName name="What">#REF!</definedName>
    <definedName name="WPF" localSheetId="0">#REF!</definedName>
    <definedName name="WPF">#REF!</definedName>
    <definedName name="Years">[8]LIHTC_ScoringLists!$B$102:$B$124</definedName>
    <definedName name="Yes_No_Either">[3]Dropdowns!$B$30:$B$33</definedName>
    <definedName name="Yes_or_No">'[7]Under the Hood'!$C$42:$C$44</definedName>
    <definedName name="YesNoBonus">'[7]Under the LIHTC Hood'!$D$87:$D$88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28" l="1"/>
  <c r="I23" i="28"/>
  <c r="L23" i="28"/>
  <c r="F23" i="28"/>
  <c r="L17" i="21" l="1"/>
  <c r="L68" i="22" l="1"/>
  <c r="L66" i="22"/>
  <c r="F13" i="22" l="1"/>
  <c r="D36" i="21"/>
  <c r="J36" i="21" s="1"/>
  <c r="E36" i="21"/>
  <c r="F36" i="21"/>
  <c r="G36" i="21"/>
  <c r="H36" i="21"/>
  <c r="H39" i="21" s="1"/>
  <c r="I36" i="21"/>
  <c r="D63" i="21"/>
  <c r="D66" i="21" s="1"/>
  <c r="E63" i="21"/>
  <c r="E66" i="21" s="1"/>
  <c r="F63" i="21"/>
  <c r="F66" i="21"/>
  <c r="G63" i="21"/>
  <c r="G66" i="21" s="1"/>
  <c r="H63" i="21"/>
  <c r="H66" i="21"/>
  <c r="I63" i="21"/>
  <c r="I66" i="21" s="1"/>
  <c r="J62" i="21"/>
  <c r="I61" i="21"/>
  <c r="H61" i="21"/>
  <c r="G61" i="21"/>
  <c r="F61" i="21"/>
  <c r="E61" i="21"/>
  <c r="D61" i="21"/>
  <c r="G39" i="21"/>
  <c r="I39" i="21"/>
  <c r="F39" i="21"/>
  <c r="E39" i="21"/>
  <c r="D39" i="21"/>
  <c r="J39" i="21" s="1"/>
  <c r="J37" i="21" s="1"/>
  <c r="J35" i="21"/>
  <c r="E34" i="21"/>
  <c r="F34" i="21"/>
  <c r="G34" i="21"/>
  <c r="H34" i="21"/>
  <c r="I34" i="21"/>
  <c r="D34" i="21"/>
  <c r="N29" i="22"/>
  <c r="N136" i="22"/>
  <c r="N135" i="22"/>
  <c r="N134" i="22"/>
  <c r="N133" i="22"/>
  <c r="N132" i="22"/>
  <c r="N131" i="22"/>
  <c r="N130" i="22"/>
  <c r="N129" i="22"/>
  <c r="N128" i="22"/>
  <c r="N127" i="22"/>
  <c r="N126" i="22"/>
  <c r="N125" i="22"/>
  <c r="N124" i="22"/>
  <c r="N123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35" i="22"/>
  <c r="N20" i="22"/>
  <c r="N37" i="22"/>
  <c r="N38" i="22"/>
  <c r="N40" i="22"/>
  <c r="N45" i="22"/>
  <c r="N46" i="22"/>
  <c r="N34" i="22"/>
  <c r="N102" i="22"/>
  <c r="N101" i="22"/>
  <c r="N100" i="22"/>
  <c r="N99" i="22"/>
  <c r="N98" i="22"/>
  <c r="N97" i="22"/>
  <c r="N94" i="22"/>
  <c r="N91" i="22"/>
  <c r="N90" i="22"/>
  <c r="N88" i="22"/>
  <c r="N87" i="22"/>
  <c r="N86" i="22"/>
  <c r="N85" i="22"/>
  <c r="N84" i="22"/>
  <c r="N83" i="22"/>
  <c r="N82" i="22"/>
  <c r="N81" i="22"/>
  <c r="N80" i="22"/>
  <c r="N79" i="22"/>
  <c r="N76" i="22"/>
  <c r="N75" i="22"/>
  <c r="N74" i="22"/>
  <c r="N73" i="22"/>
  <c r="N72" i="22"/>
  <c r="N71" i="22"/>
  <c r="N70" i="22"/>
  <c r="N69" i="22"/>
  <c r="N68" i="22"/>
  <c r="N67" i="22"/>
  <c r="N66" i="22"/>
  <c r="N62" i="22"/>
  <c r="N61" i="22"/>
  <c r="N60" i="22"/>
  <c r="N59" i="22"/>
  <c r="N58" i="22"/>
  <c r="N57" i="22"/>
  <c r="N51" i="22"/>
  <c r="N52" i="22"/>
  <c r="N48" i="22"/>
  <c r="N49" i="22"/>
  <c r="N47" i="22"/>
  <c r="N56" i="22"/>
  <c r="N32" i="22"/>
  <c r="N33" i="22"/>
  <c r="N55" i="22"/>
  <c r="N54" i="22"/>
  <c r="N53" i="22"/>
  <c r="N50" i="22"/>
  <c r="N25" i="22"/>
  <c r="N26" i="22"/>
  <c r="N23" i="22"/>
  <c r="P136" i="22"/>
  <c r="P135" i="22"/>
  <c r="P134" i="22"/>
  <c r="P133" i="22"/>
  <c r="P132" i="22"/>
  <c r="P131" i="22"/>
  <c r="P130" i="22"/>
  <c r="P129" i="22"/>
  <c r="P128" i="22"/>
  <c r="P127" i="22"/>
  <c r="P126" i="22"/>
  <c r="P125" i="22"/>
  <c r="P124" i="22"/>
  <c r="P123" i="22"/>
  <c r="P122" i="22"/>
  <c r="P121" i="22"/>
  <c r="P120" i="22"/>
  <c r="P29" i="22"/>
  <c r="P119" i="22"/>
  <c r="P118" i="22"/>
  <c r="P117" i="22"/>
  <c r="P116" i="22"/>
  <c r="P115" i="22"/>
  <c r="P114" i="22"/>
  <c r="P113" i="22"/>
  <c r="P112" i="22"/>
  <c r="P111" i="22"/>
  <c r="P110" i="22"/>
  <c r="P109" i="22"/>
  <c r="P108" i="22"/>
  <c r="P107" i="22"/>
  <c r="P13" i="22"/>
  <c r="P35" i="22"/>
  <c r="P20" i="22"/>
  <c r="P37" i="22"/>
  <c r="P38" i="22"/>
  <c r="P40" i="22"/>
  <c r="P45" i="22"/>
  <c r="P46" i="22"/>
  <c r="P34" i="22"/>
  <c r="P102" i="22"/>
  <c r="P100" i="22"/>
  <c r="P99" i="22"/>
  <c r="P98" i="22"/>
  <c r="P97" i="22"/>
  <c r="P94" i="22"/>
  <c r="P91" i="22"/>
  <c r="P90" i="22"/>
  <c r="P88" i="22"/>
  <c r="P87" i="22"/>
  <c r="P86" i="22"/>
  <c r="P85" i="22"/>
  <c r="P84" i="22"/>
  <c r="P83" i="22"/>
  <c r="P82" i="22"/>
  <c r="P81" i="22"/>
  <c r="P80" i="22"/>
  <c r="P79" i="22"/>
  <c r="P76" i="22"/>
  <c r="P75" i="22"/>
  <c r="P74" i="22"/>
  <c r="P73" i="22"/>
  <c r="P72" i="22"/>
  <c r="P71" i="22"/>
  <c r="P70" i="22"/>
  <c r="P69" i="22"/>
  <c r="P68" i="22"/>
  <c r="P67" i="22"/>
  <c r="P66" i="22"/>
  <c r="P62" i="22"/>
  <c r="P61" i="22"/>
  <c r="P60" i="22"/>
  <c r="P59" i="22"/>
  <c r="P58" i="22"/>
  <c r="P57" i="22"/>
  <c r="P51" i="22"/>
  <c r="P52" i="22"/>
  <c r="P48" i="22"/>
  <c r="P49" i="22"/>
  <c r="P47" i="22"/>
  <c r="P56" i="22"/>
  <c r="P32" i="22"/>
  <c r="P33" i="22"/>
  <c r="P55" i="22"/>
  <c r="P53" i="22"/>
  <c r="P50" i="22"/>
  <c r="P25" i="22"/>
  <c r="P26" i="22"/>
  <c r="P23" i="22"/>
  <c r="R20" i="22"/>
  <c r="L126" i="22"/>
  <c r="L127" i="22"/>
  <c r="L128" i="22"/>
  <c r="L129" i="22"/>
  <c r="L130" i="22"/>
  <c r="L131" i="22"/>
  <c r="L125" i="22"/>
  <c r="L124" i="22"/>
  <c r="J124" i="22"/>
  <c r="L29" i="22"/>
  <c r="L119" i="22"/>
  <c r="L100" i="22"/>
  <c r="L90" i="22"/>
  <c r="J136" i="22"/>
  <c r="L136" i="22"/>
  <c r="J135" i="22"/>
  <c r="L135" i="22"/>
  <c r="J134" i="22"/>
  <c r="L134" i="22"/>
  <c r="J133" i="22"/>
  <c r="L133" i="22"/>
  <c r="J132" i="22"/>
  <c r="L132" i="22"/>
  <c r="F123" i="22"/>
  <c r="H123" i="22"/>
  <c r="J123" i="22"/>
  <c r="L123" i="22"/>
  <c r="F122" i="22"/>
  <c r="H122" i="22"/>
  <c r="J122" i="22"/>
  <c r="L122" i="22"/>
  <c r="F121" i="22"/>
  <c r="H121" i="22"/>
  <c r="J121" i="22"/>
  <c r="L121" i="22"/>
  <c r="F118" i="22"/>
  <c r="H118" i="22"/>
  <c r="J118" i="22"/>
  <c r="L118" i="22"/>
  <c r="F88" i="22"/>
  <c r="H88" i="22"/>
  <c r="J88" i="22"/>
  <c r="L88" i="22"/>
  <c r="F87" i="22"/>
  <c r="H87" i="22"/>
  <c r="J87" i="22"/>
  <c r="L87" i="22"/>
  <c r="F85" i="22"/>
  <c r="H85" i="22"/>
  <c r="J85" i="22"/>
  <c r="L85" i="22"/>
  <c r="F84" i="22"/>
  <c r="H84" i="22"/>
  <c r="J84" i="22"/>
  <c r="L84" i="22"/>
  <c r="F83" i="22"/>
  <c r="H83" i="22"/>
  <c r="J83" i="22"/>
  <c r="L83" i="22"/>
  <c r="F82" i="22"/>
  <c r="H82" i="22"/>
  <c r="J82" i="22"/>
  <c r="L82" i="22"/>
  <c r="F81" i="22"/>
  <c r="H81" i="22"/>
  <c r="J81" i="22"/>
  <c r="L81" i="22"/>
  <c r="F75" i="22"/>
  <c r="H75" i="22"/>
  <c r="J75" i="22"/>
  <c r="L75" i="22"/>
  <c r="F74" i="22"/>
  <c r="H74" i="22"/>
  <c r="J74" i="22"/>
  <c r="L74" i="22"/>
  <c r="F73" i="22"/>
  <c r="H73" i="22"/>
  <c r="J73" i="22"/>
  <c r="L73" i="22"/>
  <c r="F72" i="22"/>
  <c r="H72" i="22"/>
  <c r="J72" i="22"/>
  <c r="L72" i="22"/>
  <c r="F71" i="22"/>
  <c r="H71" i="22"/>
  <c r="J71" i="22"/>
  <c r="L71" i="22"/>
  <c r="F70" i="22"/>
  <c r="H70" i="22"/>
  <c r="J70" i="22"/>
  <c r="L70" i="22"/>
  <c r="F69" i="22"/>
  <c r="H69" i="22"/>
  <c r="J69" i="22"/>
  <c r="L69" i="22"/>
  <c r="F67" i="22"/>
  <c r="H67" i="22"/>
  <c r="J67" i="22"/>
  <c r="L67" i="22"/>
  <c r="F62" i="22"/>
  <c r="H62" i="22"/>
  <c r="J62" i="22"/>
  <c r="L62" i="22"/>
  <c r="F61" i="22"/>
  <c r="H61" i="22"/>
  <c r="J61" i="22"/>
  <c r="L61" i="22"/>
  <c r="F60" i="22"/>
  <c r="H60" i="22"/>
  <c r="J60" i="22"/>
  <c r="L60" i="22"/>
  <c r="F59" i="22"/>
  <c r="H59" i="22"/>
  <c r="J59" i="22"/>
  <c r="L59" i="22"/>
  <c r="F49" i="22"/>
  <c r="H49" i="22"/>
  <c r="J49" i="22"/>
  <c r="L49" i="22"/>
  <c r="F48" i="22"/>
  <c r="H48" i="22"/>
  <c r="J48" i="22"/>
  <c r="L48" i="22"/>
  <c r="F46" i="22"/>
  <c r="H46" i="22"/>
  <c r="J46" i="22"/>
  <c r="L46" i="22"/>
  <c r="H45" i="22"/>
  <c r="J45" i="22"/>
  <c r="L45" i="22"/>
  <c r="L79" i="22"/>
  <c r="H35" i="22"/>
  <c r="H20" i="22"/>
  <c r="H37" i="22"/>
  <c r="H38" i="22"/>
  <c r="H40" i="22"/>
  <c r="H34" i="22"/>
  <c r="H76" i="22"/>
  <c r="J35" i="22"/>
  <c r="J20" i="22"/>
  <c r="J37" i="22"/>
  <c r="J38" i="22"/>
  <c r="J40" i="22"/>
  <c r="J34" i="22"/>
  <c r="J76" i="22"/>
  <c r="R29" i="22"/>
  <c r="H29" i="22"/>
  <c r="J29" i="22"/>
  <c r="J119" i="22"/>
  <c r="F29" i="22"/>
  <c r="R13" i="22"/>
  <c r="L20" i="22"/>
  <c r="H119" i="22"/>
  <c r="J79" i="22"/>
  <c r="H79" i="22"/>
  <c r="F79" i="22"/>
  <c r="I112" i="22"/>
  <c r="J112" i="22"/>
  <c r="I111" i="22"/>
  <c r="J111" i="22"/>
  <c r="R136" i="22"/>
  <c r="H136" i="22"/>
  <c r="F136" i="22"/>
  <c r="R135" i="22"/>
  <c r="H135" i="22"/>
  <c r="F135" i="22"/>
  <c r="R134" i="22"/>
  <c r="H134" i="22"/>
  <c r="F134" i="22"/>
  <c r="R133" i="22"/>
  <c r="H133" i="22"/>
  <c r="F133" i="22"/>
  <c r="R132" i="22"/>
  <c r="H132" i="22"/>
  <c r="F132" i="22"/>
  <c r="R131" i="22"/>
  <c r="J131" i="22"/>
  <c r="H131" i="22"/>
  <c r="F131" i="22"/>
  <c r="R130" i="22"/>
  <c r="J130" i="22"/>
  <c r="H130" i="22"/>
  <c r="F130" i="22"/>
  <c r="R129" i="22"/>
  <c r="J129" i="22"/>
  <c r="H129" i="22"/>
  <c r="F129" i="22"/>
  <c r="R128" i="22"/>
  <c r="J128" i="22"/>
  <c r="H128" i="22"/>
  <c r="F128" i="22"/>
  <c r="R127" i="22"/>
  <c r="J127" i="22"/>
  <c r="H127" i="22"/>
  <c r="F127" i="22"/>
  <c r="R126" i="22"/>
  <c r="R125" i="22"/>
  <c r="J126" i="22"/>
  <c r="H126" i="22"/>
  <c r="F126" i="22"/>
  <c r="F125" i="22"/>
  <c r="F124" i="22"/>
  <c r="H124" i="22"/>
  <c r="R123" i="22"/>
  <c r="R122" i="22"/>
  <c r="R118" i="22"/>
  <c r="R117" i="22"/>
  <c r="L117" i="22"/>
  <c r="J117" i="22"/>
  <c r="H117" i="22"/>
  <c r="F117" i="22"/>
  <c r="R116" i="22"/>
  <c r="L116" i="22"/>
  <c r="J116" i="22"/>
  <c r="H116" i="22"/>
  <c r="F116" i="22"/>
  <c r="R115" i="22"/>
  <c r="L115" i="22"/>
  <c r="J115" i="22"/>
  <c r="H115" i="22"/>
  <c r="F115" i="22"/>
  <c r="L114" i="22"/>
  <c r="R114" i="22"/>
  <c r="F114" i="22"/>
  <c r="H114" i="22"/>
  <c r="J114" i="22"/>
  <c r="R113" i="22"/>
  <c r="L113" i="22"/>
  <c r="J113" i="22"/>
  <c r="H113" i="22"/>
  <c r="F113" i="22"/>
  <c r="R112" i="22"/>
  <c r="L112" i="22"/>
  <c r="H112" i="22"/>
  <c r="H111" i="22"/>
  <c r="H110" i="22"/>
  <c r="F112" i="22"/>
  <c r="R111" i="22"/>
  <c r="R110" i="22"/>
  <c r="L111" i="22"/>
  <c r="F111" i="22"/>
  <c r="F110" i="22"/>
  <c r="L110" i="22"/>
  <c r="L109" i="22"/>
  <c r="R109" i="22"/>
  <c r="F109" i="22"/>
  <c r="H109" i="22"/>
  <c r="J109" i="22"/>
  <c r="R108" i="22"/>
  <c r="L108" i="22"/>
  <c r="H108" i="22"/>
  <c r="F108" i="22"/>
  <c r="I108" i="22"/>
  <c r="J108" i="22"/>
  <c r="R107" i="22"/>
  <c r="L107" i="22"/>
  <c r="H107" i="22"/>
  <c r="F107" i="22"/>
  <c r="I107" i="22"/>
  <c r="J107" i="22"/>
  <c r="F101" i="22"/>
  <c r="R100" i="22"/>
  <c r="J100" i="22"/>
  <c r="H100" i="22"/>
  <c r="F100" i="22"/>
  <c r="R99" i="22"/>
  <c r="R97" i="22"/>
  <c r="R98" i="22"/>
  <c r="R94" i="22"/>
  <c r="L99" i="22"/>
  <c r="J99" i="22"/>
  <c r="H99" i="22"/>
  <c r="F99" i="22"/>
  <c r="L98" i="22"/>
  <c r="J98" i="22"/>
  <c r="H98" i="22"/>
  <c r="F98" i="22"/>
  <c r="L97" i="22"/>
  <c r="L94" i="22"/>
  <c r="J97" i="22"/>
  <c r="J94" i="22"/>
  <c r="H97" i="22"/>
  <c r="H94" i="22"/>
  <c r="F97" i="22"/>
  <c r="F94" i="22"/>
  <c r="R91" i="22"/>
  <c r="L91" i="22"/>
  <c r="J91" i="22"/>
  <c r="H91" i="22"/>
  <c r="F91" i="22"/>
  <c r="R90" i="22"/>
  <c r="J90" i="22"/>
  <c r="H90" i="22"/>
  <c r="F90" i="22"/>
  <c r="R88" i="22"/>
  <c r="R85" i="22"/>
  <c r="R84" i="22"/>
  <c r="R83" i="22"/>
  <c r="R82" i="22"/>
  <c r="R75" i="22"/>
  <c r="R74" i="22"/>
  <c r="R73" i="22"/>
  <c r="R72" i="22"/>
  <c r="R71" i="22"/>
  <c r="R70" i="22"/>
  <c r="R69" i="22"/>
  <c r="R62" i="22"/>
  <c r="R61" i="22"/>
  <c r="R60" i="22"/>
  <c r="R59" i="22"/>
  <c r="R49" i="22"/>
  <c r="R46" i="22"/>
  <c r="R45" i="22"/>
  <c r="F45" i="22"/>
  <c r="F40" i="22"/>
  <c r="R38" i="22"/>
  <c r="L38" i="22"/>
  <c r="R37" i="22"/>
  <c r="L37" i="22"/>
  <c r="F35" i="22"/>
  <c r="R33" i="22"/>
  <c r="L33" i="22"/>
  <c r="J33" i="22"/>
  <c r="H33" i="22"/>
  <c r="F33" i="22"/>
  <c r="J32" i="22"/>
  <c r="H32" i="22"/>
  <c r="F32" i="22"/>
  <c r="F119" i="22"/>
  <c r="R23" i="22"/>
  <c r="L23" i="22"/>
  <c r="J23" i="22"/>
  <c r="H23" i="22"/>
  <c r="F23" i="22"/>
  <c r="F20" i="22"/>
  <c r="F37" i="22"/>
  <c r="L13" i="22"/>
  <c r="L35" i="22"/>
  <c r="F11" i="22"/>
  <c r="R124" i="22"/>
  <c r="R58" i="22"/>
  <c r="F38" i="22"/>
  <c r="L40" i="22"/>
  <c r="F80" i="22"/>
  <c r="H125" i="22"/>
  <c r="F34" i="22"/>
  <c r="F55" i="22"/>
  <c r="F47" i="22"/>
  <c r="R40" i="22"/>
  <c r="J125" i="22"/>
  <c r="R119" i="22"/>
  <c r="J110" i="22"/>
  <c r="L34" i="22"/>
  <c r="J55" i="22"/>
  <c r="H120" i="22"/>
  <c r="F52" i="22"/>
  <c r="F57" i="22"/>
  <c r="F58" i="22"/>
  <c r="F86" i="22"/>
  <c r="H47" i="22"/>
  <c r="F76" i="22"/>
  <c r="L32" i="22"/>
  <c r="R35" i="22"/>
  <c r="R32" i="22"/>
  <c r="F120" i="22"/>
  <c r="L53" i="22"/>
  <c r="L102" i="22"/>
  <c r="L76" i="22"/>
  <c r="L57" i="22"/>
  <c r="R34" i="22"/>
  <c r="R57" i="22"/>
  <c r="F102" i="22"/>
  <c r="F68" i="22"/>
  <c r="F66" i="22"/>
  <c r="F51" i="22"/>
  <c r="F56" i="22"/>
  <c r="F54" i="22"/>
  <c r="L52" i="22"/>
  <c r="F53" i="22"/>
  <c r="L55" i="22"/>
  <c r="L51" i="22"/>
  <c r="R55" i="22"/>
  <c r="H86" i="22"/>
  <c r="J68" i="22"/>
  <c r="J66" i="22"/>
  <c r="J51" i="22"/>
  <c r="J102" i="22"/>
  <c r="J57" i="22"/>
  <c r="J52" i="22"/>
  <c r="J53" i="22"/>
  <c r="H58" i="22"/>
  <c r="H102" i="22"/>
  <c r="H57" i="22"/>
  <c r="H52" i="22"/>
  <c r="H51" i="22"/>
  <c r="H68" i="22"/>
  <c r="H66" i="22"/>
  <c r="H53" i="22"/>
  <c r="R102" i="22"/>
  <c r="R52" i="22"/>
  <c r="R68" i="22"/>
  <c r="R51" i="22"/>
  <c r="R76" i="22"/>
  <c r="J47" i="22"/>
  <c r="H55" i="22"/>
  <c r="H80" i="22"/>
  <c r="R27" i="22"/>
  <c r="J120" i="22"/>
  <c r="L50" i="22"/>
  <c r="R53" i="22"/>
  <c r="F50" i="22"/>
  <c r="F25" i="22"/>
  <c r="F26" i="22"/>
  <c r="H50" i="22"/>
  <c r="H56" i="22"/>
  <c r="H54" i="22"/>
  <c r="H25" i="22"/>
  <c r="J50" i="22"/>
  <c r="J56" i="22"/>
  <c r="J54" i="22"/>
  <c r="J58" i="22"/>
  <c r="J80" i="22"/>
  <c r="J86" i="22"/>
  <c r="J25" i="22"/>
  <c r="L120" i="22"/>
  <c r="R121" i="22"/>
  <c r="R120" i="22"/>
  <c r="R50" i="22"/>
  <c r="L58" i="22"/>
  <c r="R67" i="22"/>
  <c r="R66" i="22"/>
  <c r="R48" i="22"/>
  <c r="R47" i="22"/>
  <c r="R56" i="22"/>
  <c r="R54" i="22"/>
  <c r="L47" i="22"/>
  <c r="L56" i="22"/>
  <c r="L80" i="22"/>
  <c r="L86" i="22"/>
  <c r="L25" i="22"/>
  <c r="L26" i="22" s="1"/>
  <c r="J26" i="22"/>
  <c r="R87" i="22"/>
  <c r="R86" i="22"/>
  <c r="R81" i="22"/>
  <c r="R80" i="22"/>
  <c r="R25" i="22"/>
  <c r="R26" i="22"/>
  <c r="H26" i="22"/>
  <c r="K16" i="21"/>
  <c r="J38" i="21" l="1"/>
  <c r="J66" i="21"/>
  <c r="J63" i="21"/>
  <c r="J65" i="21"/>
  <c r="J64" i="21" l="1"/>
</calcChain>
</file>

<file path=xl/sharedStrings.xml><?xml version="1.0" encoding="utf-8"?>
<sst xmlns="http://schemas.openxmlformats.org/spreadsheetml/2006/main" count="787" uniqueCount="311">
  <si>
    <t>Acquisition</t>
  </si>
  <si>
    <t>Construction</t>
  </si>
  <si>
    <t>CA Units</t>
  </si>
  <si>
    <t>Land</t>
  </si>
  <si>
    <t>Existing Structure</t>
  </si>
  <si>
    <t>Demo</t>
  </si>
  <si>
    <t>New Building</t>
  </si>
  <si>
    <t>Rehab</t>
  </si>
  <si>
    <t>Site Work/Infrastructure</t>
  </si>
  <si>
    <t>Off site infrastructure</t>
  </si>
  <si>
    <t>Environmental Abatement (Building)</t>
  </si>
  <si>
    <t>Environmental Abatement (Land)</t>
  </si>
  <si>
    <t>Contractor Profit</t>
  </si>
  <si>
    <t>Contractor Overhead</t>
  </si>
  <si>
    <t>Construction Contingency</t>
  </si>
  <si>
    <t>Furnishings</t>
  </si>
  <si>
    <t>Appliances</t>
  </si>
  <si>
    <t>Sales Tax</t>
  </si>
  <si>
    <t>Bond Premium</t>
  </si>
  <si>
    <t>Escalation</t>
  </si>
  <si>
    <t>Pre Construction Services</t>
  </si>
  <si>
    <t>Owner Construction Costs:</t>
  </si>
  <si>
    <t>Common Area Furnishings</t>
  </si>
  <si>
    <t xml:space="preserve">Apartment Furnishings </t>
  </si>
  <si>
    <t>Low Voltage Contractor</t>
  </si>
  <si>
    <t>Other Owner Direct Contracts</t>
  </si>
  <si>
    <t>Soft Costs</t>
  </si>
  <si>
    <t>Appraisal</t>
  </si>
  <si>
    <t>Market Study</t>
  </si>
  <si>
    <t>Site Analysis and Concept</t>
  </si>
  <si>
    <t>Base Contract</t>
  </si>
  <si>
    <t>Capital Needs Assessment</t>
  </si>
  <si>
    <t>Reimbursables</t>
  </si>
  <si>
    <t>Engineering</t>
  </si>
  <si>
    <t>Environmental Assessment</t>
  </si>
  <si>
    <t>Geotechnical Study</t>
  </si>
  <si>
    <t>Boundary &amp; Topographic Survey</t>
  </si>
  <si>
    <t>Legal - Real Estate</t>
  </si>
  <si>
    <t>Paid Fee</t>
  </si>
  <si>
    <t>Deferred Fee</t>
  </si>
  <si>
    <t>Project Management/Dev Consultant Fees</t>
  </si>
  <si>
    <t>Other Construction Testing Consultants:</t>
  </si>
  <si>
    <t>Surveyor Monitoring</t>
  </si>
  <si>
    <t>Air Barrier &amp; Window Testing</t>
  </si>
  <si>
    <t>Geotech Monitoring</t>
  </si>
  <si>
    <t>Structural Testing (Special Inspections)</t>
  </si>
  <si>
    <t>HVAC &amp; Plumbing Commissioning</t>
  </si>
  <si>
    <t xml:space="preserve">Other Soft Costs: </t>
  </si>
  <si>
    <t>Construction Easements</t>
  </si>
  <si>
    <t>SCL Transformer Trucking</t>
  </si>
  <si>
    <t>Pre-Development /Bridge Financing</t>
  </si>
  <si>
    <t>Bridge Loan Fees</t>
  </si>
  <si>
    <t>Bridge Loan Interest:</t>
  </si>
  <si>
    <t>Construction Financing</t>
  </si>
  <si>
    <t>Bridge Loan</t>
  </si>
  <si>
    <t>Bank Legal</t>
  </si>
  <si>
    <t>Origination Fee</t>
  </si>
  <si>
    <t>Inspections</t>
  </si>
  <si>
    <t>Construction Loan Interest</t>
  </si>
  <si>
    <t>Const Period Interest (Eligible)</t>
  </si>
  <si>
    <t>Lease-up Period Interest (Ineligible)</t>
  </si>
  <si>
    <t xml:space="preserve">Permanent Financing </t>
  </si>
  <si>
    <t>Perm Loan Fees</t>
  </si>
  <si>
    <t>Perm Loan Legal</t>
  </si>
  <si>
    <t xml:space="preserve">LIHTC Nonprofit Donation </t>
  </si>
  <si>
    <t>Investor Legal</t>
  </si>
  <si>
    <t>State HTF Fees</t>
  </si>
  <si>
    <t>Capitalized Reserves</t>
  </si>
  <si>
    <t>Operating Reserves</t>
  </si>
  <si>
    <t>Replacement Reserves</t>
  </si>
  <si>
    <t>Other Development Costs</t>
  </si>
  <si>
    <t>Real Estate &amp; Property Tax</t>
  </si>
  <si>
    <t>Builders Risk</t>
  </si>
  <si>
    <t>Relocation</t>
  </si>
  <si>
    <t>Permits, Fees &amp; Hookups</t>
  </si>
  <si>
    <t>SDCI (Building &amp; Land Use)</t>
  </si>
  <si>
    <t xml:space="preserve">Seattle City Light </t>
  </si>
  <si>
    <t xml:space="preserve">SDOT </t>
  </si>
  <si>
    <t>SPU</t>
  </si>
  <si>
    <t>Phone/Cable/Internet</t>
  </si>
  <si>
    <t>KC Wastewater Treatment</t>
  </si>
  <si>
    <t>Development Period Utilities</t>
  </si>
  <si>
    <t>Accounting/Audit</t>
  </si>
  <si>
    <t>Marketing/Leasing Expenses</t>
  </si>
  <si>
    <t>Carrying Costs at Rent Up</t>
  </si>
  <si>
    <t>Insurance:</t>
  </si>
  <si>
    <t>Other</t>
  </si>
  <si>
    <t xml:space="preserve">Environmental Abatement by Owner: </t>
  </si>
  <si>
    <t>Building</t>
  </si>
  <si>
    <t>Contractor Contingency</t>
  </si>
  <si>
    <t>Construction Contingencies</t>
  </si>
  <si>
    <t>Sales Tax on GC Contract Work</t>
  </si>
  <si>
    <t>Sales Tax on Contingency + Owner Direct Work</t>
  </si>
  <si>
    <t>Architect:</t>
  </si>
  <si>
    <t>Developer Fee:</t>
  </si>
  <si>
    <t>Construction Loan Fees:</t>
  </si>
  <si>
    <t>LIHTC Legal:</t>
  </si>
  <si>
    <t>Flooring</t>
  </si>
  <si>
    <t>Land Improvements</t>
  </si>
  <si>
    <t xml:space="preserve">Perm Loan Expenses </t>
  </si>
  <si>
    <t>Interest Reserve</t>
  </si>
  <si>
    <t>Investor Service Fee Reserve</t>
  </si>
  <si>
    <t>PSH DEV org Legal</t>
  </si>
  <si>
    <t>Liability for PSH Dev org</t>
  </si>
  <si>
    <t>PSH Dev. Org Legal</t>
  </si>
  <si>
    <t xml:space="preserve">PSH Development Org Pre-Dev Loan </t>
  </si>
  <si>
    <t>Total ft^2</t>
  </si>
  <si>
    <r>
      <t>Residential ft</t>
    </r>
    <r>
      <rPr>
        <vertAlign val="superscript"/>
        <sz val="11"/>
        <color theme="1"/>
        <rFont val="Calibri"/>
        <family val="2"/>
        <scheme val="minor"/>
      </rPr>
      <t>2</t>
    </r>
  </si>
  <si>
    <t># of Floors</t>
  </si>
  <si>
    <t>Units total</t>
  </si>
  <si>
    <t>General Contractor Costs: Roll below values up</t>
  </si>
  <si>
    <t>LIHTC Fees(WSHFC)</t>
  </si>
  <si>
    <t>Non-residential  ft2</t>
  </si>
  <si>
    <t>Total Project Cost</t>
  </si>
  <si>
    <t>Fixed</t>
  </si>
  <si>
    <t>Project Profile</t>
  </si>
  <si>
    <t>UPP</t>
  </si>
  <si>
    <t>Cost =Land sqft*cost/sqft= (Total sqft/Floors)*$300/sqft</t>
  </si>
  <si>
    <t xml:space="preserve">Sum section below to this line </t>
  </si>
  <si>
    <t>Total sqft * cost per square foot ~$260</t>
  </si>
  <si>
    <t>~$2100*Number of units</t>
  </si>
  <si>
    <t>~2200*Number of units</t>
  </si>
  <si>
    <t>Data Needed</t>
  </si>
  <si>
    <t>~6$ * total Sqft</t>
  </si>
  <si>
    <t xml:space="preserve">Sum section below to this line + missing costs </t>
  </si>
  <si>
    <t>Contractor Profit &amp; overhead seems mixed</t>
  </si>
  <si>
    <t>Roughly even split between the too of $300k each</t>
  </si>
  <si>
    <t>May or not be included depending on project needs</t>
  </si>
  <si>
    <t>Should be present on all projects close to fixed cost</t>
  </si>
  <si>
    <t>Total General contractor cost*.07</t>
  </si>
  <si>
    <t>Sum section below this line</t>
  </si>
  <si>
    <t>(GC cost+Pre Construction +Demo) *.101 (Tax rate)</t>
  </si>
  <si>
    <t xml:space="preserve">Data Need    (may be excludable) close to fixed, financing cost? </t>
  </si>
  <si>
    <t>Sum section below to this line</t>
  </si>
  <si>
    <t>if included ~$100k + 5x land sqft</t>
  </si>
  <si>
    <t>if included ~$50K</t>
  </si>
  <si>
    <t>Data Needed (Exclude when?) if present GC cost *.05</t>
  </si>
  <si>
    <t>Data Needed (Exclude when?) if present GC cost *.01</t>
  </si>
  <si>
    <t>(Abatement &amp; Construction by Owner+non-contractor Contingencies) *.101 (Tax rate)</t>
  </si>
  <si>
    <t>roughly consistent across projects at $80,000</t>
  </si>
  <si>
    <t>Data Needed  (if not here where is this cost captured?)</t>
  </si>
  <si>
    <t>Data Needed  (duplicate item? ) roughly fixed cost of $75,000</t>
  </si>
  <si>
    <t>~ 7%  of GC cost ( =total GC *0.07)</t>
  </si>
  <si>
    <t xml:space="preserve">Data needed </t>
  </si>
  <si>
    <t>Performance</t>
  </si>
  <si>
    <t>Data Needed If Acquisition of existing structure ~??? *structure cost</t>
  </si>
  <si>
    <t xml:space="preserve">Data Needed </t>
  </si>
  <si>
    <t>~$25000 +- 10k</t>
  </si>
  <si>
    <t>~$12000 +- 5K</t>
  </si>
  <si>
    <t>~$45000 +- 6k</t>
  </si>
  <si>
    <t>Total construction costs * 12.5% +- 1%</t>
  </si>
  <si>
    <t xml:space="preserve"> Some fraction of total fee</t>
  </si>
  <si>
    <t xml:space="preserve">~$8000 when included </t>
  </si>
  <si>
    <t>Proportional to plot size and complexity ~ fixed $50000 +- 10K</t>
  </si>
  <si>
    <t>~$18,000 +- 3K</t>
  </si>
  <si>
    <t>~ 50,000</t>
  </si>
  <si>
    <t xml:space="preserve"> ~30,000 +- 5k</t>
  </si>
  <si>
    <t>~$47,000 +- 10K</t>
  </si>
  <si>
    <t>~$7000 +- 3K</t>
  </si>
  <si>
    <t>~$30,000 +- 5K</t>
  </si>
  <si>
    <t xml:space="preserve"> Data Needed (Not included on every project?) ~$50000</t>
  </si>
  <si>
    <t>CSD</t>
  </si>
  <si>
    <t xml:space="preserve">~$28,000 Fixed but may be a removable cost </t>
  </si>
  <si>
    <t xml:space="preserve">~ if included scales with size of bridge loan </t>
  </si>
  <si>
    <t>Not  included on all projects ~$3500</t>
  </si>
  <si>
    <t xml:space="preserve"> Is this inspection to certify loan? ~$20000</t>
  </si>
  <si>
    <t xml:space="preserve">In 10-20k  smooth project, can 2x if project has challenges </t>
  </si>
  <si>
    <t>Acquisition - Construction (Months)</t>
  </si>
  <si>
    <t>Construction - C/O (Months)</t>
  </si>
  <si>
    <t xml:space="preserve">Total Project Duration </t>
  </si>
  <si>
    <t xml:space="preserve"> 9.5% fee on bonds issued through WSHFC + $30 per unit ?</t>
  </si>
  <si>
    <t>Data Needed  Wide range</t>
  </si>
  <si>
    <t xml:space="preserve">~$12,000 when included </t>
  </si>
  <si>
    <t xml:space="preserve">Time to full lease </t>
  </si>
  <si>
    <t>Construction costs*rate*(months/12)</t>
  </si>
  <si>
    <t>~$40,000</t>
  </si>
  <si>
    <t>~$35,000</t>
  </si>
  <si>
    <t>~$95,000</t>
  </si>
  <si>
    <t>~$10,000</t>
  </si>
  <si>
    <t>~$20,000</t>
  </si>
  <si>
    <t>$30,000 +- 10K</t>
  </si>
  <si>
    <t>Not  included on all projects ~$55,000 +- 5K</t>
  </si>
  <si>
    <t>~ $36,000</t>
  </si>
  <si>
    <t xml:space="preserve">Data Needed           (Not included on all projects) </t>
  </si>
  <si>
    <t>(land cost*rate) = Appraised value * 1.28</t>
  </si>
  <si>
    <t>~$120,000</t>
  </si>
  <si>
    <t>~$50,000 +- 10K</t>
  </si>
  <si>
    <t>Sum section Below to this line</t>
  </si>
  <si>
    <t>~$90,000</t>
  </si>
  <si>
    <t>~$200,000</t>
  </si>
  <si>
    <t>~$350,000</t>
  </si>
  <si>
    <t>Dara needed</t>
  </si>
  <si>
    <t>If included ~$25,000</t>
  </si>
  <si>
    <t>~$15,000 +- 5K</t>
  </si>
  <si>
    <t>Project Cost/Unit</t>
  </si>
  <si>
    <t>Data Needed  ( what falls into this category?)</t>
  </si>
  <si>
    <t>Data needed (is there additional cost included with deferred fee)</t>
  </si>
  <si>
    <t>~ $28,000 +- 5K interest on Self funded loan with 1% rate</t>
  </si>
  <si>
    <t>Wide variance per project , typical ~$45,ooo +- 15K</t>
  </si>
  <si>
    <t>Can be exclude depending on capital stack ~$600,000</t>
  </si>
  <si>
    <t>If included ~$50,000</t>
  </si>
  <si>
    <t xml:space="preserve">Scales </t>
  </si>
  <si>
    <t>Unique</t>
  </si>
  <si>
    <t>Notes/Assumptions</t>
  </si>
  <si>
    <t>Contributions</t>
  </si>
  <si>
    <t xml:space="preserve">Base Variables </t>
  </si>
  <si>
    <t xml:space="preserve">P1 Adjusted variables </t>
  </si>
  <si>
    <t>P1 financing savings</t>
  </si>
  <si>
    <t xml:space="preserve">Avg margin </t>
  </si>
  <si>
    <t>Avg margin</t>
  </si>
  <si>
    <t>equal % of smaller value</t>
  </si>
  <si>
    <t>Waved</t>
  </si>
  <si>
    <t>Sum</t>
  </si>
  <si>
    <t>Avg Margin</t>
  </si>
  <si>
    <t>P3 Adjusted variables</t>
  </si>
  <si>
    <t xml:space="preserve">P3 Podium High commercial </t>
  </si>
  <si>
    <t>contractor margin -~1%</t>
  </si>
  <si>
    <t>7-8%</t>
  </si>
  <si>
    <t>Residential ft2</t>
  </si>
  <si>
    <t>Baseline</t>
  </si>
  <si>
    <t>Intrest free financing</t>
  </si>
  <si>
    <t>Project 1: Capital stack</t>
  </si>
  <si>
    <t>Project 2: Fees, Permiting, and Tax</t>
  </si>
  <si>
    <t xml:space="preserve">Savings from only capital stack changes to intrest free single payer </t>
  </si>
  <si>
    <t xml:space="preserve">Savings from only breaks on Fees, permiting, and taxes. Assuming all utility fees waved and use for traditional capital stack </t>
  </si>
  <si>
    <t xml:space="preserve">P2 Adjusted Variable </t>
  </si>
  <si>
    <t>P2 Fees, Permiting &amp; Tax</t>
  </si>
  <si>
    <t>P3 Adjusted variables2</t>
  </si>
  <si>
    <t>P3 Non-podium</t>
  </si>
  <si>
    <t>Sum (~90% savings)</t>
  </si>
  <si>
    <t>Project 3: Non-podium construction</t>
  </si>
  <si>
    <t>Land Area</t>
  </si>
  <si>
    <t>Non-Podium style construction (no commercial space) with traditional capital stack on new lot</t>
  </si>
  <si>
    <t xml:space="preserve">Efficancy project with all potential cost savings applied </t>
  </si>
  <si>
    <t>'contractor margin -~1%</t>
  </si>
  <si>
    <t>Focused on adding value for residents and surrounding community (ie.First floor coffee shop, food pantry, roof top gaurden)</t>
  </si>
  <si>
    <t xml:space="preserve">Number of projects of this type </t>
  </si>
  <si>
    <t>Total residential units of this type</t>
  </si>
  <si>
    <t>Avg. Cost/Unit</t>
  </si>
  <si>
    <t>PSH Units</t>
  </si>
  <si>
    <t xml:space="preserve">Project Opporating costs / year </t>
  </si>
  <si>
    <t>$13,000 for opporating + $8,000 if services needed, Uinique for remote sites</t>
  </si>
  <si>
    <t>P4 Adjusted variables</t>
  </si>
  <si>
    <t>Project 4: Free Land</t>
  </si>
  <si>
    <t xml:space="preserve">Land is provided by city </t>
  </si>
  <si>
    <t>Project 5: Compounded Savings</t>
  </si>
  <si>
    <t>P5 Adjusted variables2</t>
  </si>
  <si>
    <t>P5 All savings</t>
  </si>
  <si>
    <t>P4 free land</t>
  </si>
  <si>
    <t>Savings per unit off baseline</t>
  </si>
  <si>
    <t>Capital stack</t>
  </si>
  <si>
    <t>Free land</t>
  </si>
  <si>
    <t>Wood frame build</t>
  </si>
  <si>
    <t>Project mix</t>
  </si>
  <si>
    <t xml:space="preserve">Built </t>
  </si>
  <si>
    <t>Scatered</t>
  </si>
  <si>
    <t xml:space="preserve">Portfolio savings </t>
  </si>
  <si>
    <t>Fees, Permitting &amp; Tax</t>
  </si>
  <si>
    <t xml:space="preserve">All savings achieved </t>
  </si>
  <si>
    <t>All savings acheived</t>
  </si>
  <si>
    <t xml:space="preserve">Project 6:  Community Improvment  </t>
  </si>
  <si>
    <t>Portfolio 1</t>
  </si>
  <si>
    <t>Portfolio 2</t>
  </si>
  <si>
    <t>Project Metrics</t>
  </si>
  <si>
    <t>total sqft</t>
  </si>
  <si>
    <t>Common Area/Manager Units</t>
  </si>
  <si>
    <t xml:space="preserve">Common Area for Residential Services </t>
  </si>
  <si>
    <t>Other Common Area</t>
  </si>
  <si>
    <t>Residential sqft</t>
  </si>
  <si>
    <t>non-residential sqft</t>
  </si>
  <si>
    <t>Land sqft</t>
  </si>
  <si>
    <t>(total sqft/floors)+5%</t>
  </si>
  <si>
    <t>LI Units</t>
  </si>
  <si>
    <t>Unit Count</t>
  </si>
  <si>
    <t>Size of variance to max value</t>
  </si>
  <si>
    <t>Cost/unit (Total Project)</t>
  </si>
  <si>
    <t xml:space="preserve">C/U Excluding land </t>
  </si>
  <si>
    <t>Average Cost</t>
  </si>
  <si>
    <t>Average normalized cost</t>
  </si>
  <si>
    <t>C/U Commercial (GC/Units)</t>
  </si>
  <si>
    <t>Normalizer</t>
  </si>
  <si>
    <t>% contribution</t>
  </si>
  <si>
    <t>Cost</t>
  </si>
  <si>
    <t>Normalized</t>
  </si>
  <si>
    <t>Dev B2</t>
  </si>
  <si>
    <t>Dev B3</t>
  </si>
  <si>
    <t>Dev B4</t>
  </si>
  <si>
    <t>Contribution Range</t>
  </si>
  <si>
    <t>Cost Range</t>
  </si>
  <si>
    <t>closing, Title &amp; Recording Costs</t>
  </si>
  <si>
    <t>Unit count</t>
  </si>
  <si>
    <t xml:space="preserve">Excell pacific </t>
  </si>
  <si>
    <t>Holding Costs</t>
  </si>
  <si>
    <t xml:space="preserve">GC </t>
  </si>
  <si>
    <t xml:space="preserve">Walsh </t>
  </si>
  <si>
    <t>not lean, very risk advers</t>
  </si>
  <si>
    <t>General Contractor Costs:</t>
  </si>
  <si>
    <t xml:space="preserve">Contract out lots of work, </t>
  </si>
  <si>
    <t>???</t>
  </si>
  <si>
    <t>Land Abatement</t>
  </si>
  <si>
    <t>Construction cost</t>
  </si>
  <si>
    <t>5% Construction Hard costs</t>
  </si>
  <si>
    <t>Part of gov contribution</t>
  </si>
  <si>
    <t>taxable value</t>
  </si>
  <si>
    <t>residential sqft</t>
  </si>
  <si>
    <t>What does this buy?</t>
  </si>
  <si>
    <t>LIHTC Fees</t>
  </si>
  <si>
    <t>Liability for PSH Development org</t>
  </si>
  <si>
    <t>Check</t>
  </si>
  <si>
    <t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</si>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</sst>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0.0"/>
    <numFmt numFmtId="168" formatCode="&quot;$&quot;#,##0.00"/>
    <numFmt numFmtId="169" formatCode="&quot;$&quot;#,##0"/>
    <numFmt numFmtId="170" formatCode="0.0000%"/>
    <numFmt numFmtId="171" formatCode="0.000%"/>
  </numFmts>
  <fonts count="11">
    <font>
      <sz val="11"/>
      <color theme="1"/>
      <name val="Calibri"/>
      <family val="2"/>
      <scheme val="minor"/>
    </font>
    <font>
      <sz val="10"/>
      <name val="Tms Rmn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2C8E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4">
    <xf numFmtId="0" fontId="0" fillId="0" borderId="0" xfId="0"/>
    <xf numFmtId="0" fontId="5" fillId="0" borderId="0" xfId="0" applyFont="1"/>
    <xf numFmtId="166" fontId="0" fillId="0" borderId="0" xfId="2" applyNumberFormat="1" applyFont="1"/>
    <xf numFmtId="0" fontId="0" fillId="0" borderId="1" xfId="0" applyBorder="1"/>
    <xf numFmtId="9" fontId="0" fillId="0" borderId="0" xfId="3" applyFont="1"/>
    <xf numFmtId="166" fontId="0" fillId="0" borderId="0" xfId="0" applyNumberFormat="1"/>
    <xf numFmtId="44" fontId="0" fillId="0" borderId="0" xfId="0" applyNumberFormat="1"/>
    <xf numFmtId="44" fontId="0" fillId="0" borderId="0" xfId="2" applyFont="1"/>
    <xf numFmtId="164" fontId="0" fillId="0" borderId="0" xfId="7" applyNumberFormat="1" applyFont="1"/>
    <xf numFmtId="6" fontId="0" fillId="0" borderId="0" xfId="0" applyNumberFormat="1"/>
    <xf numFmtId="169" fontId="0" fillId="0" borderId="0" xfId="0" applyNumberFormat="1" applyAlignment="1"/>
    <xf numFmtId="6" fontId="0" fillId="0" borderId="0" xfId="0" applyNumberFormat="1" applyAlignment="1">
      <alignment horizontal="left"/>
    </xf>
    <xf numFmtId="168" fontId="0" fillId="0" borderId="0" xfId="2" applyNumberFormat="1" applyFont="1" applyAlignment="1">
      <alignment horizontal="left"/>
    </xf>
    <xf numFmtId="169" fontId="0" fillId="0" borderId="0" xfId="2" applyNumberFormat="1" applyFont="1" applyAlignment="1">
      <alignment horizontal="left"/>
    </xf>
    <xf numFmtId="168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left"/>
    </xf>
    <xf numFmtId="168" fontId="0" fillId="5" borderId="0" xfId="0" applyNumberFormat="1" applyFill="1"/>
    <xf numFmtId="0" fontId="5" fillId="0" borderId="1" xfId="0" applyFont="1" applyBorder="1"/>
    <xf numFmtId="1" fontId="8" fillId="0" borderId="1" xfId="1" applyNumberFormat="1" applyFont="1" applyFill="1" applyBorder="1" applyAlignment="1" applyProtection="1">
      <alignment vertical="center"/>
      <protection locked="0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/>
    <xf numFmtId="1" fontId="9" fillId="0" borderId="1" xfId="1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6" fillId="0" borderId="1" xfId="0" applyFont="1" applyBorder="1"/>
    <xf numFmtId="0" fontId="3" fillId="0" borderId="1" xfId="0" applyFont="1" applyBorder="1"/>
    <xf numFmtId="169" fontId="0" fillId="5" borderId="0" xfId="0" applyNumberFormat="1" applyFill="1" applyAlignment="1">
      <alignment horizontal="left"/>
    </xf>
    <xf numFmtId="169" fontId="6" fillId="0" borderId="0" xfId="3" applyNumberFormat="1" applyFont="1" applyBorder="1" applyAlignment="1">
      <alignment horizontal="left"/>
    </xf>
    <xf numFmtId="6" fontId="8" fillId="0" borderId="5" xfId="3" applyNumberFormat="1" applyFont="1" applyFill="1" applyBorder="1" applyAlignment="1" applyProtection="1">
      <alignment vertical="center"/>
      <protection locked="0"/>
    </xf>
    <xf numFmtId="9" fontId="9" fillId="0" borderId="5" xfId="3" applyFont="1" applyFill="1" applyBorder="1" applyAlignment="1" applyProtection="1">
      <alignment horizontal="left" vertical="center" wrapText="1"/>
      <protection locked="0"/>
    </xf>
    <xf numFmtId="6" fontId="8" fillId="0" borderId="5" xfId="3" applyNumberFormat="1" applyFont="1" applyFill="1" applyBorder="1" applyAlignment="1" applyProtection="1">
      <alignment horizontal="right" vertical="center"/>
      <protection locked="0"/>
    </xf>
    <xf numFmtId="9" fontId="6" fillId="0" borderId="5" xfId="3" applyFont="1" applyBorder="1" applyAlignment="1">
      <alignment horizontal="left"/>
    </xf>
    <xf numFmtId="165" fontId="6" fillId="0" borderId="5" xfId="3" applyNumberFormat="1" applyFont="1" applyBorder="1" applyAlignment="1">
      <alignment horizontal="right"/>
    </xf>
    <xf numFmtId="9" fontId="6" fillId="0" borderId="5" xfId="3" applyFont="1" applyBorder="1"/>
    <xf numFmtId="6" fontId="6" fillId="0" borderId="5" xfId="3" applyNumberFormat="1" applyFont="1" applyBorder="1"/>
    <xf numFmtId="169" fontId="0" fillId="0" borderId="5" xfId="2" applyNumberFormat="1" applyFont="1" applyBorder="1"/>
    <xf numFmtId="169" fontId="6" fillId="0" borderId="5" xfId="2" applyNumberFormat="1" applyFont="1" applyBorder="1"/>
    <xf numFmtId="169" fontId="8" fillId="0" borderId="5" xfId="3" applyNumberFormat="1" applyFont="1" applyFill="1" applyBorder="1" applyAlignment="1" applyProtection="1">
      <alignment horizontal="left"/>
      <protection locked="0"/>
    </xf>
    <xf numFmtId="169" fontId="9" fillId="0" borderId="5" xfId="3" applyNumberFormat="1" applyFont="1" applyFill="1" applyBorder="1" applyAlignment="1" applyProtection="1">
      <alignment horizontal="left"/>
      <protection locked="0"/>
    </xf>
    <xf numFmtId="169" fontId="6" fillId="0" borderId="5" xfId="3" applyNumberFormat="1" applyFont="1" applyBorder="1" applyAlignment="1">
      <alignment horizontal="left"/>
    </xf>
    <xf numFmtId="169" fontId="0" fillId="0" borderId="5" xfId="3" applyNumberFormat="1" applyFont="1" applyBorder="1" applyAlignment="1">
      <alignment horizontal="left"/>
    </xf>
    <xf numFmtId="169" fontId="0" fillId="0" borderId="5" xfId="2" applyNumberFormat="1" applyFont="1" applyBorder="1" applyAlignment="1">
      <alignment horizontal="left"/>
    </xf>
    <xf numFmtId="169" fontId="6" fillId="0" borderId="5" xfId="2" applyNumberFormat="1" applyFont="1" applyBorder="1" applyAlignment="1">
      <alignment horizontal="left"/>
    </xf>
    <xf numFmtId="0" fontId="0" fillId="0" borderId="8" xfId="0" applyBorder="1"/>
    <xf numFmtId="169" fontId="5" fillId="0" borderId="7" xfId="3" applyNumberFormat="1" applyFont="1" applyBorder="1" applyAlignment="1">
      <alignment horizontal="left"/>
    </xf>
    <xf numFmtId="169" fontId="8" fillId="0" borderId="7" xfId="3" applyNumberFormat="1" applyFont="1" applyFill="1" applyBorder="1" applyAlignment="1" applyProtection="1">
      <alignment horizontal="left"/>
      <protection locked="0"/>
    </xf>
    <xf numFmtId="169" fontId="5" fillId="0" borderId="7" xfId="3" applyNumberFormat="1" applyFont="1" applyFill="1" applyBorder="1" applyAlignment="1">
      <alignment horizontal="left"/>
    </xf>
    <xf numFmtId="169" fontId="8" fillId="0" borderId="7" xfId="2" applyNumberFormat="1" applyFont="1" applyFill="1" applyBorder="1" applyAlignment="1" applyProtection="1">
      <alignment horizontal="left"/>
      <protection locked="0"/>
    </xf>
    <xf numFmtId="169" fontId="9" fillId="0" borderId="7" xfId="3" applyNumberFormat="1" applyFont="1" applyFill="1" applyBorder="1" applyAlignment="1" applyProtection="1">
      <alignment horizontal="left"/>
      <protection locked="0"/>
    </xf>
    <xf numFmtId="169" fontId="6" fillId="0" borderId="7" xfId="3" applyNumberFormat="1" applyFont="1" applyBorder="1" applyAlignment="1">
      <alignment horizontal="left"/>
    </xf>
    <xf numFmtId="169" fontId="0" fillId="0" borderId="7" xfId="3" applyNumberFormat="1" applyFont="1" applyBorder="1" applyAlignment="1">
      <alignment horizontal="left"/>
    </xf>
    <xf numFmtId="169" fontId="3" fillId="0" borderId="7" xfId="2" applyNumberFormat="1" applyFont="1" applyBorder="1" applyAlignment="1">
      <alignment horizontal="left"/>
    </xf>
    <xf numFmtId="169" fontId="0" fillId="0" borderId="7" xfId="2" applyNumberFormat="1" applyFont="1" applyBorder="1" applyAlignment="1">
      <alignment horizontal="left"/>
    </xf>
    <xf numFmtId="169" fontId="6" fillId="0" borderId="7" xfId="2" applyNumberFormat="1" applyFont="1" applyBorder="1" applyAlignment="1">
      <alignment horizontal="left"/>
    </xf>
    <xf numFmtId="9" fontId="5" fillId="0" borderId="7" xfId="3" applyFont="1" applyBorder="1"/>
    <xf numFmtId="6" fontId="8" fillId="0" borderId="7" xfId="3" applyNumberFormat="1" applyFont="1" applyFill="1" applyBorder="1" applyAlignment="1" applyProtection="1">
      <alignment vertical="center"/>
      <protection locked="0"/>
    </xf>
    <xf numFmtId="9" fontId="8" fillId="0" borderId="7" xfId="3" applyFont="1" applyFill="1" applyBorder="1" applyAlignment="1" applyProtection="1">
      <alignment vertical="center"/>
      <protection locked="0"/>
    </xf>
    <xf numFmtId="9" fontId="5" fillId="0" borderId="7" xfId="3" applyFont="1" applyFill="1" applyBorder="1"/>
    <xf numFmtId="166" fontId="8" fillId="0" borderId="7" xfId="2" applyNumberFormat="1" applyFont="1" applyFill="1" applyBorder="1" applyAlignment="1" applyProtection="1">
      <alignment vertical="center"/>
      <protection locked="0"/>
    </xf>
    <xf numFmtId="9" fontId="9" fillId="0" borderId="7" xfId="3" applyFont="1" applyFill="1" applyBorder="1" applyAlignment="1" applyProtection="1">
      <alignment horizontal="left" vertical="center" wrapText="1"/>
      <protection locked="0"/>
    </xf>
    <xf numFmtId="166" fontId="8" fillId="0" borderId="7" xfId="2" applyNumberFormat="1" applyFont="1" applyFill="1" applyBorder="1" applyAlignment="1" applyProtection="1">
      <alignment horizontal="right" vertical="center"/>
      <protection locked="0"/>
    </xf>
    <xf numFmtId="9" fontId="8" fillId="0" borderId="7" xfId="3" applyFont="1" applyFill="1" applyBorder="1" applyAlignment="1" applyProtection="1">
      <alignment horizontal="right" vertical="center"/>
      <protection locked="0"/>
    </xf>
    <xf numFmtId="6" fontId="8" fillId="0" borderId="7" xfId="3" applyNumberFormat="1" applyFont="1" applyFill="1" applyBorder="1" applyAlignment="1" applyProtection="1">
      <alignment horizontal="right" vertical="center"/>
      <protection locked="0"/>
    </xf>
    <xf numFmtId="9" fontId="9" fillId="0" borderId="7" xfId="3" applyFont="1" applyFill="1" applyBorder="1" applyAlignment="1" applyProtection="1">
      <alignment horizontal="left" vertical="center"/>
      <protection locked="0"/>
    </xf>
    <xf numFmtId="9" fontId="6" fillId="0" borderId="7" xfId="3" applyFont="1" applyBorder="1" applyAlignment="1">
      <alignment horizontal="left"/>
    </xf>
    <xf numFmtId="9" fontId="0" fillId="0" borderId="7" xfId="3" applyFont="1" applyBorder="1" applyAlignment="1">
      <alignment horizontal="right"/>
    </xf>
    <xf numFmtId="165" fontId="0" fillId="0" borderId="7" xfId="3" applyNumberFormat="1" applyFont="1" applyBorder="1" applyAlignment="1">
      <alignment horizontal="right"/>
    </xf>
    <xf numFmtId="6" fontId="0" fillId="0" borderId="7" xfId="3" applyNumberFormat="1" applyFont="1" applyBorder="1" applyAlignment="1">
      <alignment horizontal="right"/>
    </xf>
    <xf numFmtId="6" fontId="0" fillId="0" borderId="7" xfId="3" applyNumberFormat="1" applyFont="1" applyBorder="1"/>
    <xf numFmtId="165" fontId="6" fillId="0" borderId="7" xfId="3" applyNumberFormat="1" applyFont="1" applyBorder="1" applyAlignment="1">
      <alignment horizontal="right"/>
    </xf>
    <xf numFmtId="9" fontId="6" fillId="0" borderId="7" xfId="3" applyFont="1" applyBorder="1"/>
    <xf numFmtId="9" fontId="3" fillId="0" borderId="7" xfId="3" applyFont="1" applyBorder="1"/>
    <xf numFmtId="6" fontId="6" fillId="0" borderId="7" xfId="3" applyNumberFormat="1" applyFont="1" applyBorder="1"/>
    <xf numFmtId="169" fontId="3" fillId="0" borderId="7" xfId="2" applyNumberFormat="1" applyFont="1" applyBorder="1"/>
    <xf numFmtId="169" fontId="0" fillId="0" borderId="7" xfId="2" applyNumberFormat="1" applyFont="1" applyBorder="1"/>
    <xf numFmtId="169" fontId="6" fillId="0" borderId="7" xfId="2" applyNumberFormat="1" applyFont="1" applyBorder="1"/>
    <xf numFmtId="169" fontId="8" fillId="0" borderId="7" xfId="2" applyNumberFormat="1" applyFont="1" applyFill="1" applyBorder="1" applyAlignment="1" applyProtection="1">
      <alignment horizontal="right" vertical="center"/>
      <protection locked="0"/>
    </xf>
    <xf numFmtId="168" fontId="3" fillId="0" borderId="7" xfId="2" applyNumberFormat="1" applyFont="1" applyBorder="1"/>
    <xf numFmtId="10" fontId="0" fillId="0" borderId="7" xfId="3" applyNumberFormat="1" applyFont="1" applyBorder="1"/>
    <xf numFmtId="0" fontId="5" fillId="0" borderId="3" xfId="0" applyFont="1" applyBorder="1"/>
    <xf numFmtId="169" fontId="5" fillId="0" borderId="9" xfId="3" applyNumberFormat="1" applyFont="1" applyBorder="1" applyAlignment="1">
      <alignment horizontal="left"/>
    </xf>
    <xf numFmtId="1" fontId="8" fillId="0" borderId="4" xfId="1" applyNumberFormat="1" applyFont="1" applyFill="1" applyBorder="1" applyAlignment="1" applyProtection="1">
      <alignment vertical="center"/>
      <protection locked="0"/>
    </xf>
    <xf numFmtId="1" fontId="8" fillId="0" borderId="4" xfId="1" applyNumberFormat="1" applyFont="1" applyFill="1" applyBorder="1" applyAlignment="1" applyProtection="1">
      <alignment horizontal="right" vertical="center"/>
      <protection locked="0"/>
    </xf>
    <xf numFmtId="9" fontId="8" fillId="0" borderId="8" xfId="3" applyFont="1" applyFill="1" applyBorder="1" applyAlignment="1" applyProtection="1">
      <alignment vertical="center"/>
      <protection locked="0"/>
    </xf>
    <xf numFmtId="169" fontId="8" fillId="0" borderId="8" xfId="3" applyNumberFormat="1" applyFont="1" applyFill="1" applyBorder="1" applyAlignment="1" applyProtection="1">
      <alignment horizontal="left"/>
      <protection locked="0"/>
    </xf>
    <xf numFmtId="1" fontId="8" fillId="5" borderId="5" xfId="1" applyNumberFormat="1" applyFont="1" applyFill="1" applyBorder="1" applyAlignment="1" applyProtection="1">
      <alignment vertical="center"/>
      <protection locked="0"/>
    </xf>
    <xf numFmtId="169" fontId="0" fillId="0" borderId="5" xfId="0" applyNumberFormat="1" applyBorder="1" applyAlignment="1">
      <alignment horizontal="left"/>
    </xf>
    <xf numFmtId="1" fontId="8" fillId="0" borderId="3" xfId="1" applyNumberFormat="1" applyFont="1" applyFill="1" applyBorder="1" applyAlignment="1" applyProtection="1">
      <alignment vertical="center"/>
      <protection locked="0"/>
    </xf>
    <xf numFmtId="1" fontId="8" fillId="0" borderId="3" xfId="1" applyNumberFormat="1" applyFont="1" applyFill="1" applyBorder="1" applyAlignment="1" applyProtection="1">
      <alignment horizontal="right" vertical="center"/>
      <protection locked="0"/>
    </xf>
    <xf numFmtId="6" fontId="8" fillId="0" borderId="9" xfId="3" applyNumberFormat="1" applyFont="1" applyFill="1" applyBorder="1" applyAlignment="1" applyProtection="1">
      <alignment vertical="center"/>
      <protection locked="0"/>
    </xf>
    <xf numFmtId="169" fontId="8" fillId="0" borderId="9" xfId="3" applyNumberFormat="1" applyFont="1" applyFill="1" applyBorder="1" applyAlignment="1" applyProtection="1">
      <alignment horizontal="left"/>
      <protection locked="0"/>
    </xf>
    <xf numFmtId="166" fontId="8" fillId="0" borderId="8" xfId="2" applyNumberFormat="1" applyFont="1" applyFill="1" applyBorder="1" applyAlignment="1" applyProtection="1">
      <alignment horizontal="right" vertical="center"/>
      <protection locked="0"/>
    </xf>
    <xf numFmtId="169" fontId="8" fillId="0" borderId="8" xfId="2" applyNumberFormat="1" applyFont="1" applyFill="1" applyBorder="1" applyAlignment="1" applyProtection="1">
      <alignment horizontal="left"/>
      <protection locked="0"/>
    </xf>
    <xf numFmtId="1" fontId="9" fillId="3" borderId="5" xfId="1" applyNumberFormat="1" applyFont="1" applyFill="1" applyBorder="1" applyAlignment="1" applyProtection="1">
      <alignment horizontal="left" vertical="center" wrapText="1"/>
      <protection locked="0"/>
    </xf>
    <xf numFmtId="9" fontId="8" fillId="0" borderId="9" xfId="3" applyFont="1" applyFill="1" applyBorder="1" applyAlignment="1" applyProtection="1">
      <alignment horizontal="right" vertical="center"/>
      <protection locked="0"/>
    </xf>
    <xf numFmtId="9" fontId="8" fillId="0" borderId="8" xfId="3" applyFont="1" applyFill="1" applyBorder="1" applyAlignment="1" applyProtection="1">
      <alignment horizontal="right" vertical="center"/>
      <protection locked="0"/>
    </xf>
    <xf numFmtId="1" fontId="8" fillId="5" borderId="5" xfId="1" applyNumberFormat="1" applyFont="1" applyFill="1" applyBorder="1" applyAlignment="1" applyProtection="1">
      <alignment horizontal="right" vertical="center"/>
      <protection locked="0"/>
    </xf>
    <xf numFmtId="6" fontId="0" fillId="0" borderId="5" xfId="0" applyNumberFormat="1" applyBorder="1"/>
    <xf numFmtId="0" fontId="0" fillId="0" borderId="3" xfId="0" applyBorder="1" applyAlignment="1">
      <alignment horizontal="right"/>
    </xf>
    <xf numFmtId="169" fontId="0" fillId="0" borderId="9" xfId="3" applyNumberFormat="1" applyFont="1" applyBorder="1" applyAlignment="1">
      <alignment horizontal="left"/>
    </xf>
    <xf numFmtId="0" fontId="0" fillId="0" borderId="4" xfId="0" applyBorder="1" applyAlignment="1">
      <alignment horizontal="right"/>
    </xf>
    <xf numFmtId="0" fontId="6" fillId="4" borderId="10" xfId="0" applyFont="1" applyFill="1" applyBorder="1" applyAlignment="1">
      <alignment horizontal="left"/>
    </xf>
    <xf numFmtId="169" fontId="0" fillId="0" borderId="10" xfId="0" applyNumberFormat="1" applyBorder="1" applyAlignment="1">
      <alignment horizontal="left"/>
    </xf>
    <xf numFmtId="0" fontId="3" fillId="0" borderId="3" xfId="0" applyFont="1" applyBorder="1"/>
    <xf numFmtId="169" fontId="3" fillId="0" borderId="9" xfId="2" applyNumberFormat="1" applyFont="1" applyBorder="1"/>
    <xf numFmtId="169" fontId="3" fillId="0" borderId="9" xfId="2" applyNumberFormat="1" applyFont="1" applyBorder="1" applyAlignment="1">
      <alignment horizontal="left"/>
    </xf>
    <xf numFmtId="0" fontId="0" fillId="0" borderId="4" xfId="0" applyBorder="1"/>
    <xf numFmtId="169" fontId="0" fillId="0" borderId="8" xfId="2" applyNumberFormat="1" applyFont="1" applyBorder="1" applyAlignment="1">
      <alignment horizontal="left"/>
    </xf>
    <xf numFmtId="0" fontId="0" fillId="4" borderId="10" xfId="0" applyFill="1" applyBorder="1"/>
    <xf numFmtId="169" fontId="0" fillId="0" borderId="10" xfId="2" applyNumberFormat="1" applyFont="1" applyBorder="1" applyAlignment="1">
      <alignment horizontal="left"/>
    </xf>
    <xf numFmtId="0" fontId="0" fillId="0" borderId="3" xfId="0" applyBorder="1"/>
    <xf numFmtId="169" fontId="0" fillId="0" borderId="9" xfId="2" applyNumberFormat="1" applyFont="1" applyBorder="1"/>
    <xf numFmtId="169" fontId="0" fillId="0" borderId="9" xfId="2" applyNumberFormat="1" applyFont="1" applyBorder="1" applyAlignment="1">
      <alignment horizontal="left"/>
    </xf>
    <xf numFmtId="169" fontId="8" fillId="0" borderId="8" xfId="2" applyNumberFormat="1" applyFont="1" applyFill="1" applyBorder="1" applyAlignment="1" applyProtection="1">
      <alignment horizontal="right" vertical="center"/>
      <protection locked="0"/>
    </xf>
    <xf numFmtId="0" fontId="6" fillId="3" borderId="5" xfId="0" applyFont="1" applyFill="1" applyBorder="1"/>
    <xf numFmtId="0" fontId="0" fillId="0" borderId="5" xfId="0" applyBorder="1"/>
    <xf numFmtId="0" fontId="0" fillId="5" borderId="5" xfId="0" applyFill="1" applyBorder="1"/>
    <xf numFmtId="169" fontId="0" fillId="0" borderId="5" xfId="0" applyNumberFormat="1" applyBorder="1"/>
    <xf numFmtId="0" fontId="6" fillId="5" borderId="5" xfId="0" applyFont="1" applyFill="1" applyBorder="1"/>
    <xf numFmtId="6" fontId="0" fillId="0" borderId="5" xfId="0" applyNumberFormat="1" applyBorder="1" applyAlignment="1">
      <alignment horizontal="left"/>
    </xf>
    <xf numFmtId="9" fontId="3" fillId="0" borderId="9" xfId="3" applyFont="1" applyBorder="1"/>
    <xf numFmtId="169" fontId="3" fillId="0" borderId="9" xfId="3" applyNumberFormat="1" applyFont="1" applyBorder="1" applyAlignment="1">
      <alignment horizontal="left"/>
    </xf>
    <xf numFmtId="0" fontId="0" fillId="3" borderId="5" xfId="0" applyFill="1" applyBorder="1"/>
    <xf numFmtId="6" fontId="0" fillId="0" borderId="9" xfId="3" applyNumberFormat="1" applyFont="1" applyBorder="1"/>
    <xf numFmtId="0" fontId="6" fillId="5" borderId="5" xfId="0" applyFont="1" applyFill="1" applyBorder="1" applyAlignment="1">
      <alignment horizontal="left"/>
    </xf>
    <xf numFmtId="168" fontId="0" fillId="0" borderId="5" xfId="0" applyNumberForma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6" fillId="0" borderId="8" xfId="3" applyFont="1" applyBorder="1" applyAlignment="1">
      <alignment horizontal="left"/>
    </xf>
    <xf numFmtId="0" fontId="0" fillId="3" borderId="5" xfId="0" applyFill="1" applyBorder="1" applyAlignment="1">
      <alignment horizontal="left"/>
    </xf>
    <xf numFmtId="168" fontId="0" fillId="0" borderId="5" xfId="0" applyNumberFormat="1" applyBorder="1"/>
    <xf numFmtId="166" fontId="8" fillId="7" borderId="8" xfId="2" applyNumberFormat="1" applyFont="1" applyFill="1" applyBorder="1" applyAlignment="1" applyProtection="1">
      <alignment horizontal="right" vertical="center"/>
      <protection locked="0"/>
    </xf>
    <xf numFmtId="9" fontId="6" fillId="7" borderId="7" xfId="3" applyFont="1" applyFill="1" applyBorder="1" applyAlignment="1">
      <alignment horizontal="left"/>
    </xf>
    <xf numFmtId="9" fontId="9" fillId="7" borderId="5" xfId="3" quotePrefix="1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right"/>
    </xf>
    <xf numFmtId="0" fontId="5" fillId="0" borderId="11" xfId="0" applyFont="1" applyBorder="1"/>
    <xf numFmtId="1" fontId="8" fillId="0" borderId="12" xfId="1" applyNumberFormat="1" applyFont="1" applyFill="1" applyBorder="1" applyAlignment="1" applyProtection="1">
      <alignment horizontal="right" vertical="center"/>
      <protection locked="0"/>
    </xf>
    <xf numFmtId="1" fontId="8" fillId="0" borderId="13" xfId="1" applyNumberFormat="1" applyFont="1" applyFill="1" applyBorder="1" applyAlignment="1" applyProtection="1">
      <alignment vertical="center"/>
      <protection locked="0"/>
    </xf>
    <xf numFmtId="0" fontId="5" fillId="0" borderId="2" xfId="0" applyFont="1" applyFill="1" applyBorder="1"/>
    <xf numFmtId="1" fontId="8" fillId="0" borderId="2" xfId="1" applyNumberFormat="1" applyFont="1" applyFill="1" applyBorder="1" applyAlignment="1" applyProtection="1">
      <alignment horizontal="right" vertical="center"/>
      <protection locked="0"/>
    </xf>
    <xf numFmtId="1" fontId="8" fillId="0" borderId="11" xfId="1" applyNumberFormat="1" applyFont="1" applyFill="1" applyBorder="1" applyAlignment="1" applyProtection="1">
      <alignment horizontal="right" vertical="center"/>
      <protection locked="0"/>
    </xf>
    <xf numFmtId="1" fontId="9" fillId="0" borderId="12" xfId="1" applyNumberFormat="1" applyFont="1" applyFill="1" applyBorder="1" applyAlignment="1" applyProtection="1">
      <alignment horizontal="left" vertical="center" wrapText="1"/>
      <protection locked="0"/>
    </xf>
    <xf numFmtId="1" fontId="8" fillId="0" borderId="13" xfId="1" applyNumberFormat="1" applyFont="1" applyFill="1" applyBorder="1" applyAlignment="1" applyProtection="1">
      <alignment horizontal="right" vertical="center"/>
      <protection locked="0"/>
    </xf>
    <xf numFmtId="1" fontId="8" fillId="0" borderId="11" xfId="1" applyNumberFormat="1" applyFont="1" applyFill="1" applyBorder="1" applyAlignment="1" applyProtection="1">
      <alignment horizontal="left" vertical="center"/>
      <protection locked="0"/>
    </xf>
    <xf numFmtId="1" fontId="8" fillId="0" borderId="13" xfId="1" applyNumberFormat="1" applyFont="1" applyFill="1" applyBorder="1" applyAlignment="1" applyProtection="1">
      <alignment horizontal="left" vertical="center"/>
      <protection locked="0"/>
    </xf>
    <xf numFmtId="1" fontId="8" fillId="0" borderId="2" xfId="1" applyNumberFormat="1" applyFont="1" applyFill="1" applyBorder="1" applyAlignment="1" applyProtection="1">
      <alignment horizontal="left" vertical="center"/>
      <protection locked="0"/>
    </xf>
    <xf numFmtId="1" fontId="9" fillId="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right"/>
    </xf>
    <xf numFmtId="0" fontId="6" fillId="0" borderId="14" xfId="0" applyFont="1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2" xfId="0" applyFont="1" applyBorder="1"/>
    <xf numFmtId="0" fontId="3" fillId="0" borderId="11" xfId="0" applyFont="1" applyBorder="1"/>
    <xf numFmtId="0" fontId="6" fillId="0" borderId="12" xfId="0" applyFont="1" applyBorder="1"/>
    <xf numFmtId="0" fontId="6" fillId="0" borderId="11" xfId="0" applyFont="1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3" xfId="0" applyBorder="1"/>
    <xf numFmtId="0" fontId="3" fillId="0" borderId="2" xfId="0" applyFont="1" applyBorder="1"/>
    <xf numFmtId="167" fontId="8" fillId="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>
      <alignment horizontal="right"/>
    </xf>
    <xf numFmtId="169" fontId="0" fillId="0" borderId="15" xfId="0" applyNumberFormat="1" applyBorder="1" applyAlignment="1">
      <alignment horizontal="left"/>
    </xf>
    <xf numFmtId="169" fontId="0" fillId="0" borderId="15" xfId="2" applyNumberFormat="1" applyFont="1" applyBorder="1" applyAlignment="1">
      <alignment horizontal="left"/>
    </xf>
    <xf numFmtId="6" fontId="0" fillId="0" borderId="15" xfId="0" applyNumberFormat="1" applyBorder="1"/>
    <xf numFmtId="169" fontId="0" fillId="0" borderId="16" xfId="0" applyNumberFormat="1" applyBorder="1" applyAlignment="1">
      <alignment horizontal="left"/>
    </xf>
    <xf numFmtId="168" fontId="0" fillId="0" borderId="15" xfId="0" applyNumberFormat="1" applyBorder="1"/>
    <xf numFmtId="168" fontId="0" fillId="0" borderId="15" xfId="0" applyNumberFormat="1" applyBorder="1" applyAlignment="1">
      <alignment horizontal="left"/>
    </xf>
    <xf numFmtId="0" fontId="0" fillId="0" borderId="15" xfId="0" applyBorder="1"/>
    <xf numFmtId="6" fontId="0" fillId="0" borderId="15" xfId="0" applyNumberFormat="1" applyBorder="1" applyAlignment="1">
      <alignment horizontal="left"/>
    </xf>
    <xf numFmtId="169" fontId="0" fillId="0" borderId="15" xfId="0" applyNumberFormat="1" applyBorder="1"/>
    <xf numFmtId="0" fontId="0" fillId="0" borderId="7" xfId="0" applyBorder="1"/>
    <xf numFmtId="0" fontId="5" fillId="0" borderId="7" xfId="0" applyFont="1" applyBorder="1"/>
    <xf numFmtId="1" fontId="8" fillId="0" borderId="7" xfId="1" applyNumberFormat="1" applyFont="1" applyFill="1" applyBorder="1" applyAlignment="1" applyProtection="1">
      <alignment horizontal="right" vertical="center"/>
      <protection locked="0"/>
    </xf>
    <xf numFmtId="0" fontId="5" fillId="0" borderId="7" xfId="0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1" fontId="9" fillId="0" borderId="7" xfId="1" applyNumberFormat="1" applyFont="1" applyFill="1" applyBorder="1" applyAlignment="1" applyProtection="1">
      <alignment horizontal="right" vertical="center" wrapText="1"/>
      <protection locked="0"/>
    </xf>
    <xf numFmtId="1" fontId="9" fillId="0" borderId="7" xfId="1" applyNumberFormat="1" applyFont="1" applyFill="1" applyBorder="1" applyAlignment="1" applyProtection="1">
      <alignment horizontal="left" vertical="center"/>
      <protection locked="0"/>
    </xf>
    <xf numFmtId="0" fontId="6" fillId="0" borderId="7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6" fillId="0" borderId="7" xfId="0" applyFont="1" applyBorder="1"/>
    <xf numFmtId="0" fontId="3" fillId="0" borderId="7" xfId="0" applyFont="1" applyBorder="1"/>
    <xf numFmtId="0" fontId="0" fillId="0" borderId="7" xfId="0" applyFont="1" applyBorder="1"/>
    <xf numFmtId="9" fontId="5" fillId="0" borderId="9" xfId="3" applyFont="1" applyFill="1" applyBorder="1"/>
    <xf numFmtId="9" fontId="6" fillId="0" borderId="17" xfId="3" applyFont="1" applyBorder="1" applyAlignment="1">
      <alignment horizontal="left"/>
    </xf>
    <xf numFmtId="169" fontId="0" fillId="0" borderId="0" xfId="0" applyNumberFormat="1" applyBorder="1" applyAlignment="1">
      <alignment horizontal="left"/>
    </xf>
    <xf numFmtId="165" fontId="0" fillId="7" borderId="7" xfId="3" applyNumberFormat="1" applyFont="1" applyFill="1" applyBorder="1" applyAlignment="1">
      <alignment horizontal="right"/>
    </xf>
    <xf numFmtId="165" fontId="0" fillId="7" borderId="18" xfId="3" applyNumberFormat="1" applyFont="1" applyFill="1" applyBorder="1" applyAlignment="1">
      <alignment horizontal="right"/>
    </xf>
    <xf numFmtId="165" fontId="0" fillId="7" borderId="5" xfId="3" applyNumberFormat="1" applyFont="1" applyFill="1" applyBorder="1" applyAlignment="1">
      <alignment horizontal="right"/>
    </xf>
    <xf numFmtId="9" fontId="8" fillId="5" borderId="7" xfId="3" applyFont="1" applyFill="1" applyBorder="1" applyAlignment="1" applyProtection="1">
      <alignment horizontal="right" vertical="center"/>
      <protection locked="0"/>
    </xf>
    <xf numFmtId="165" fontId="6" fillId="5" borderId="5" xfId="3" applyNumberFormat="1" applyFont="1" applyFill="1" applyBorder="1" applyAlignment="1">
      <alignment horizontal="right"/>
    </xf>
    <xf numFmtId="6" fontId="0" fillId="7" borderId="5" xfId="3" applyNumberFormat="1" applyFont="1" applyFill="1" applyBorder="1"/>
    <xf numFmtId="0" fontId="0" fillId="6" borderId="0" xfId="0" applyFill="1"/>
    <xf numFmtId="6" fontId="8" fillId="7" borderId="7" xfId="3" applyNumberFormat="1" applyFont="1" applyFill="1" applyBorder="1" applyAlignment="1" applyProtection="1">
      <alignment horizontal="right" vertical="center"/>
      <protection locked="0"/>
    </xf>
    <xf numFmtId="6" fontId="8" fillId="7" borderId="9" xfId="3" applyNumberFormat="1" applyFont="1" applyFill="1" applyBorder="1" applyAlignment="1" applyProtection="1">
      <alignment horizontal="right" vertical="center"/>
      <protection locked="0"/>
    </xf>
    <xf numFmtId="9" fontId="8" fillId="7" borderId="8" xfId="3" applyFont="1" applyFill="1" applyBorder="1" applyAlignment="1" applyProtection="1">
      <alignment horizontal="right" vertical="center"/>
      <protection locked="0"/>
    </xf>
    <xf numFmtId="169" fontId="0" fillId="7" borderId="5" xfId="2" applyNumberFormat="1" applyFont="1" applyFill="1" applyBorder="1"/>
    <xf numFmtId="169" fontId="8" fillId="7" borderId="8" xfId="2" applyNumberFormat="1" applyFont="1" applyFill="1" applyBorder="1" applyAlignment="1" applyProtection="1">
      <alignment horizontal="right" vertical="center"/>
      <protection locked="0"/>
    </xf>
    <xf numFmtId="169" fontId="8" fillId="7" borderId="7" xfId="2" applyNumberFormat="1" applyFont="1" applyFill="1" applyBorder="1" applyAlignment="1" applyProtection="1">
      <alignment horizontal="right" vertical="center"/>
      <protection locked="0"/>
    </xf>
    <xf numFmtId="169" fontId="0" fillId="7" borderId="7" xfId="2" applyNumberFormat="1" applyFont="1" applyFill="1" applyBorder="1"/>
    <xf numFmtId="169" fontId="0" fillId="7" borderId="10" xfId="2" applyNumberFormat="1" applyFont="1" applyFill="1" applyBorder="1"/>
    <xf numFmtId="169" fontId="0" fillId="7" borderId="8" xfId="2" applyNumberFormat="1" applyFont="1" applyFill="1" applyBorder="1"/>
    <xf numFmtId="169" fontId="8" fillId="7" borderId="7" xfId="2" applyNumberFormat="1" applyFont="1" applyFill="1" applyBorder="1" applyAlignment="1" applyProtection="1">
      <alignment horizontal="left"/>
      <protection locked="0"/>
    </xf>
    <xf numFmtId="169" fontId="8" fillId="7" borderId="9" xfId="3" applyNumberFormat="1" applyFont="1" applyFill="1" applyBorder="1" applyAlignment="1" applyProtection="1">
      <alignment horizontal="left"/>
      <protection locked="0"/>
    </xf>
    <xf numFmtId="169" fontId="8" fillId="7" borderId="8" xfId="2" applyNumberFormat="1" applyFont="1" applyFill="1" applyBorder="1" applyAlignment="1" applyProtection="1">
      <alignment horizontal="left"/>
      <protection locked="0"/>
    </xf>
    <xf numFmtId="6" fontId="8" fillId="6" borderId="5" xfId="3" applyNumberFormat="1" applyFont="1" applyFill="1" applyBorder="1" applyAlignment="1" applyProtection="1">
      <alignment vertical="center"/>
      <protection locked="0"/>
    </xf>
    <xf numFmtId="9" fontId="0" fillId="0" borderId="7" xfId="3" applyFont="1" applyBorder="1" applyAlignment="1">
      <alignment horizontal="left"/>
    </xf>
    <xf numFmtId="9" fontId="0" fillId="0" borderId="9" xfId="3" applyFont="1" applyBorder="1" applyAlignment="1">
      <alignment horizontal="left"/>
    </xf>
    <xf numFmtId="9" fontId="0" fillId="0" borderId="8" xfId="3" applyFont="1" applyBorder="1" applyAlignment="1">
      <alignment horizontal="left"/>
    </xf>
    <xf numFmtId="6" fontId="0" fillId="6" borderId="7" xfId="3" applyNumberFormat="1" applyFont="1" applyFill="1" applyBorder="1" applyAlignment="1">
      <alignment horizontal="right"/>
    </xf>
    <xf numFmtId="9" fontId="8" fillId="0" borderId="8" xfId="3" applyFont="1" applyFill="1" applyBorder="1" applyAlignment="1" applyProtection="1">
      <alignment horizontal="left"/>
      <protection locked="0"/>
    </xf>
    <xf numFmtId="9" fontId="8" fillId="0" borderId="7" xfId="3" applyFont="1" applyFill="1" applyBorder="1" applyAlignment="1" applyProtection="1">
      <alignment horizontal="left"/>
      <protection locked="0"/>
    </xf>
    <xf numFmtId="165" fontId="0" fillId="0" borderId="8" xfId="3" applyNumberFormat="1" applyFont="1" applyFill="1" applyBorder="1" applyAlignment="1">
      <alignment horizontal="right"/>
    </xf>
    <xf numFmtId="165" fontId="0" fillId="0" borderId="9" xfId="3" applyNumberFormat="1" applyFont="1" applyFill="1" applyBorder="1" applyAlignment="1">
      <alignment horizontal="right"/>
    </xf>
    <xf numFmtId="165" fontId="0" fillId="0" borderId="5" xfId="3" applyNumberFormat="1" applyFont="1" applyFill="1" applyBorder="1" applyAlignment="1">
      <alignment horizontal="right"/>
    </xf>
    <xf numFmtId="6" fontId="8" fillId="0" borderId="9" xfId="3" applyNumberFormat="1" applyFont="1" applyFill="1" applyBorder="1" applyAlignment="1" applyProtection="1">
      <alignment horizontal="right" vertical="center"/>
      <protection locked="0"/>
    </xf>
    <xf numFmtId="6" fontId="6" fillId="0" borderId="5" xfId="3" applyNumberFormat="1" applyFont="1" applyFill="1" applyBorder="1"/>
    <xf numFmtId="169" fontId="0" fillId="0" borderId="5" xfId="2" applyNumberFormat="1" applyFont="1" applyFill="1" applyBorder="1"/>
    <xf numFmtId="169" fontId="0" fillId="0" borderId="10" xfId="2" applyNumberFormat="1" applyFont="1" applyFill="1" applyBorder="1"/>
    <xf numFmtId="169" fontId="0" fillId="0" borderId="8" xfId="2" applyNumberFormat="1" applyFont="1" applyFill="1" applyBorder="1"/>
    <xf numFmtId="9" fontId="6" fillId="0" borderId="7" xfId="3" applyFont="1" applyFill="1" applyBorder="1" applyAlignment="1">
      <alignment horizontal="left"/>
    </xf>
    <xf numFmtId="165" fontId="6" fillId="7" borderId="5" xfId="3" applyNumberFormat="1" applyFont="1" applyFill="1" applyBorder="1" applyAlignment="1">
      <alignment horizontal="right"/>
    </xf>
    <xf numFmtId="6" fontId="0" fillId="0" borderId="5" xfId="3" applyNumberFormat="1" applyFont="1" applyFill="1" applyBorder="1"/>
    <xf numFmtId="10" fontId="0" fillId="7" borderId="7" xfId="3" applyNumberFormat="1" applyFont="1" applyFill="1" applyBorder="1"/>
    <xf numFmtId="169" fontId="0" fillId="7" borderId="9" xfId="2" applyNumberFormat="1" applyFont="1" applyFill="1" applyBorder="1"/>
    <xf numFmtId="165" fontId="6" fillId="0" borderId="5" xfId="3" applyNumberFormat="1" applyFont="1" applyBorder="1" applyAlignment="1">
      <alignment horizontal="left"/>
    </xf>
    <xf numFmtId="169" fontId="0" fillId="5" borderId="0" xfId="0" applyNumberFormat="1" applyFill="1" applyAlignment="1">
      <alignment horizontal="right"/>
    </xf>
    <xf numFmtId="168" fontId="0" fillId="5" borderId="0" xfId="0" applyNumberFormat="1" applyFill="1" applyAlignment="1">
      <alignment horizontal="left"/>
    </xf>
    <xf numFmtId="169" fontId="9" fillId="7" borderId="5" xfId="3" applyNumberFormat="1" applyFont="1" applyFill="1" applyBorder="1" applyAlignment="1" applyProtection="1">
      <alignment horizontal="left"/>
      <protection locked="0"/>
    </xf>
    <xf numFmtId="9" fontId="0" fillId="7" borderId="8" xfId="3" applyFont="1" applyFill="1" applyBorder="1" applyAlignment="1">
      <alignment horizontal="left"/>
    </xf>
    <xf numFmtId="9" fontId="0" fillId="7" borderId="9" xfId="3" applyFont="1" applyFill="1" applyBorder="1" applyAlignment="1">
      <alignment horizontal="left"/>
    </xf>
    <xf numFmtId="165" fontId="0" fillId="0" borderId="5" xfId="3" applyNumberFormat="1" applyFont="1" applyBorder="1" applyAlignment="1">
      <alignment horizontal="left"/>
    </xf>
    <xf numFmtId="9" fontId="0" fillId="7" borderId="5" xfId="3" applyFont="1" applyFill="1" applyBorder="1" applyAlignment="1">
      <alignment horizontal="left"/>
    </xf>
    <xf numFmtId="168" fontId="0" fillId="0" borderId="0" xfId="0" applyNumberFormat="1" applyAlignment="1">
      <alignment horizontal="left"/>
    </xf>
    <xf numFmtId="165" fontId="6" fillId="7" borderId="5" xfId="3" applyNumberFormat="1" applyFont="1" applyFill="1" applyBorder="1" applyAlignment="1">
      <alignment horizontal="left"/>
    </xf>
    <xf numFmtId="169" fontId="0" fillId="7" borderId="5" xfId="3" applyNumberFormat="1" applyFont="1" applyFill="1" applyBorder="1" applyAlignment="1">
      <alignment horizontal="left"/>
    </xf>
    <xf numFmtId="169" fontId="8" fillId="7" borderId="7" xfId="3" applyNumberFormat="1" applyFont="1" applyFill="1" applyBorder="1" applyAlignment="1" applyProtection="1">
      <alignment horizontal="left"/>
      <protection locked="0"/>
    </xf>
    <xf numFmtId="9" fontId="8" fillId="7" borderId="8" xfId="3" applyFont="1" applyFill="1" applyBorder="1" applyAlignment="1" applyProtection="1">
      <alignment horizontal="left"/>
      <protection locked="0"/>
    </xf>
    <xf numFmtId="169" fontId="0" fillId="7" borderId="5" xfId="2" applyNumberFormat="1" applyFont="1" applyFill="1" applyBorder="1" applyAlignment="1">
      <alignment horizontal="left"/>
    </xf>
    <xf numFmtId="169" fontId="0" fillId="7" borderId="7" xfId="2" applyNumberFormat="1" applyFont="1" applyFill="1" applyBorder="1" applyAlignment="1">
      <alignment horizontal="left"/>
    </xf>
    <xf numFmtId="169" fontId="0" fillId="7" borderId="10" xfId="2" applyNumberFormat="1" applyFont="1" applyFill="1" applyBorder="1" applyAlignment="1">
      <alignment horizontal="left"/>
    </xf>
    <xf numFmtId="169" fontId="0" fillId="7" borderId="8" xfId="2" applyNumberFormat="1" applyFont="1" applyFill="1" applyBorder="1" applyAlignment="1">
      <alignment horizontal="left"/>
    </xf>
    <xf numFmtId="10" fontId="0" fillId="0" borderId="7" xfId="3" applyNumberFormat="1" applyFont="1" applyBorder="1" applyAlignment="1">
      <alignment horizontal="left"/>
    </xf>
    <xf numFmtId="10" fontId="0" fillId="7" borderId="7" xfId="3" applyNumberFormat="1" applyFont="1" applyFill="1" applyBorder="1" applyAlignment="1">
      <alignment horizontal="left"/>
    </xf>
    <xf numFmtId="169" fontId="0" fillId="7" borderId="9" xfId="2" applyNumberFormat="1" applyFont="1" applyFill="1" applyBorder="1" applyAlignment="1">
      <alignment horizontal="left"/>
    </xf>
    <xf numFmtId="10" fontId="6" fillId="0" borderId="7" xfId="3" applyNumberFormat="1" applyFont="1" applyBorder="1" applyAlignment="1">
      <alignment horizontal="left"/>
    </xf>
    <xf numFmtId="10" fontId="6" fillId="0" borderId="8" xfId="3" applyNumberFormat="1" applyFont="1" applyBorder="1" applyAlignment="1">
      <alignment horizontal="left"/>
    </xf>
    <xf numFmtId="164" fontId="4" fillId="0" borderId="0" xfId="7" applyNumberFormat="1" applyFont="1"/>
    <xf numFmtId="164" fontId="4" fillId="0" borderId="0" xfId="7" applyNumberFormat="1" applyFont="1" applyAlignment="1">
      <alignment horizontal="left"/>
    </xf>
    <xf numFmtId="164" fontId="4" fillId="0" borderId="0" xfId="7" applyNumberFormat="1" applyFont="1" applyAlignment="1">
      <alignment horizontal="right"/>
    </xf>
    <xf numFmtId="164" fontId="0" fillId="0" borderId="0" xfId="7" applyNumberFormat="1" applyFont="1" applyAlignment="1">
      <alignment horizontal="left"/>
    </xf>
    <xf numFmtId="164" fontId="0" fillId="0" borderId="0" xfId="7" applyNumberFormat="1" applyFont="1" applyAlignment="1">
      <alignment horizontal="right"/>
    </xf>
    <xf numFmtId="164" fontId="0" fillId="0" borderId="0" xfId="7" applyNumberFormat="1" applyFont="1" applyAlignment="1"/>
    <xf numFmtId="164" fontId="0" fillId="0" borderId="6" xfId="7" applyNumberFormat="1" applyFont="1" applyBorder="1"/>
    <xf numFmtId="166" fontId="0" fillId="3" borderId="0" xfId="2" applyNumberFormat="1" applyFont="1" applyFill="1"/>
    <xf numFmtId="0" fontId="0" fillId="0" borderId="0" xfId="0" applyFill="1"/>
    <xf numFmtId="1" fontId="0" fillId="0" borderId="0" xfId="0" applyNumberFormat="1" applyFill="1"/>
    <xf numFmtId="44" fontId="0" fillId="0" borderId="0" xfId="0" applyNumberFormat="1" applyFill="1"/>
    <xf numFmtId="166" fontId="0" fillId="0" borderId="0" xfId="2" applyNumberFormat="1" applyFont="1" applyFill="1"/>
    <xf numFmtId="44" fontId="0" fillId="8" borderId="0" xfId="0" applyNumberFormat="1" applyFill="1"/>
    <xf numFmtId="0" fontId="0" fillId="9" borderId="0" xfId="0" applyFill="1"/>
    <xf numFmtId="0" fontId="0" fillId="2" borderId="0" xfId="0" applyFill="1"/>
    <xf numFmtId="44" fontId="0" fillId="2" borderId="0" xfId="0" applyNumberFormat="1" applyFill="1"/>
    <xf numFmtId="0" fontId="0" fillId="0" borderId="0" xfId="0" applyAlignment="1">
      <alignment horizontal="center"/>
    </xf>
    <xf numFmtId="165" fontId="5" fillId="0" borderId="0" xfId="3" applyNumberFormat="1" applyFont="1"/>
    <xf numFmtId="0" fontId="5" fillId="0" borderId="0" xfId="3" applyNumberFormat="1" applyFont="1"/>
    <xf numFmtId="170" fontId="5" fillId="0" borderId="0" xfId="3" applyNumberFormat="1" applyFont="1"/>
    <xf numFmtId="2" fontId="4" fillId="0" borderId="0" xfId="0" applyNumberFormat="1" applyFont="1"/>
    <xf numFmtId="0" fontId="4" fillId="0" borderId="0" xfId="0" applyFont="1"/>
    <xf numFmtId="171" fontId="5" fillId="0" borderId="0" xfId="3" applyNumberFormat="1" applyFont="1"/>
    <xf numFmtId="3" fontId="0" fillId="0" borderId="0" xfId="0" applyNumberFormat="1"/>
    <xf numFmtId="0" fontId="0" fillId="0" borderId="0" xfId="0" applyAlignment="1">
      <alignment horizontal="left" indent="2"/>
    </xf>
    <xf numFmtId="1" fontId="8" fillId="0" borderId="19" xfId="1" applyNumberFormat="1" applyFont="1" applyBorder="1" applyAlignment="1" applyProtection="1">
      <alignment vertical="center"/>
      <protection locked="0"/>
    </xf>
    <xf numFmtId="10" fontId="8" fillId="0" borderId="0" xfId="3" applyNumberFormat="1" applyFont="1" applyFill="1" applyBorder="1" applyAlignment="1" applyProtection="1">
      <alignment vertical="center"/>
      <protection locked="0"/>
    </xf>
    <xf numFmtId="166" fontId="4" fillId="0" borderId="0" xfId="2" applyNumberFormat="1" applyFont="1"/>
    <xf numFmtId="44" fontId="4" fillId="0" borderId="0" xfId="2" applyFont="1"/>
    <xf numFmtId="166" fontId="4" fillId="0" borderId="0" xfId="0" applyNumberFormat="1" applyFont="1"/>
    <xf numFmtId="10" fontId="0" fillId="0" borderId="0" xfId="3" applyNumberFormat="1" applyFont="1"/>
    <xf numFmtId="10" fontId="0" fillId="0" borderId="0" xfId="0" applyNumberFormat="1"/>
    <xf numFmtId="1" fontId="8" fillId="0" borderId="0" xfId="1" applyNumberFormat="1" applyFont="1" applyAlignment="1" applyProtection="1">
      <alignment vertical="center"/>
      <protection locked="0"/>
    </xf>
    <xf numFmtId="1" fontId="9" fillId="0" borderId="19" xfId="1" applyNumberFormat="1" applyFont="1" applyBorder="1" applyAlignment="1" applyProtection="1">
      <alignment horizontal="left" vertical="center" wrapText="1"/>
      <protection locked="0"/>
    </xf>
    <xf numFmtId="1" fontId="9" fillId="0" borderId="0" xfId="1" applyNumberFormat="1" applyFont="1" applyAlignment="1" applyProtection="1">
      <alignment horizontal="left" vertical="center" wrapText="1"/>
      <protection locked="0"/>
    </xf>
    <xf numFmtId="1" fontId="8" fillId="0" borderId="19" xfId="1" applyNumberFormat="1" applyFont="1" applyBorder="1" applyAlignment="1" applyProtection="1">
      <alignment horizontal="right" vertical="center"/>
      <protection locked="0"/>
    </xf>
    <xf numFmtId="1" fontId="8" fillId="0" borderId="0" xfId="1" applyNumberFormat="1" applyFont="1" applyAlignment="1" applyProtection="1">
      <alignment horizontal="right" vertical="center"/>
      <protection locked="0"/>
    </xf>
    <xf numFmtId="1" fontId="9" fillId="0" borderId="19" xfId="1" applyNumberFormat="1" applyFont="1" applyBorder="1" applyAlignment="1" applyProtection="1">
      <alignment horizontal="left" vertical="center"/>
      <protection locked="0"/>
    </xf>
    <xf numFmtId="1" fontId="9" fillId="0" borderId="0" xfId="1" applyNumberFormat="1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/>
    </xf>
    <xf numFmtId="9" fontId="4" fillId="0" borderId="0" xfId="3" applyFont="1"/>
    <xf numFmtId="0" fontId="0" fillId="0" borderId="0" xfId="0" applyAlignment="1">
      <alignment horizontal="right"/>
    </xf>
    <xf numFmtId="165" fontId="4" fillId="0" borderId="0" xfId="3" applyNumberFormat="1" applyFont="1"/>
    <xf numFmtId="165" fontId="0" fillId="0" borderId="0" xfId="3" applyNumberFormat="1" applyFont="1"/>
    <xf numFmtId="0" fontId="0" fillId="0" borderId="0" xfId="0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/>
    <xf numFmtId="166" fontId="4" fillId="0" borderId="0" xfId="2" applyNumberFormat="1" applyFont="1" applyAlignment="1">
      <alignment horizontal="left" indent="2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8" fontId="0" fillId="0" borderId="0" xfId="0" applyNumberFormat="1"/>
  </cellXfs>
  <cellStyles count="8">
    <cellStyle name="Comma" xfId="7" builtinId="3"/>
    <cellStyle name="Comma 2" xfId="4" xr:uid="{1CE73216-77CD-44B6-B897-570CDA0D0DE3}"/>
    <cellStyle name="Currency" xfId="2" builtinId="4"/>
    <cellStyle name="Normal" xfId="0" builtinId="0"/>
    <cellStyle name="Normal 2" xfId="5" xr:uid="{31021F2B-9988-48FE-B373-2F25D334E6B8}"/>
    <cellStyle name="Normal_HTFPREBU.XL" xfId="1" xr:uid="{4194D1F4-0831-4B2B-A67B-8923CDA72461}"/>
    <cellStyle name="Percent" xfId="3" builtinId="5"/>
    <cellStyle name="Percent 2" xfId="6" xr:uid="{4CF348FD-EBB0-469F-80C1-36A01135C553}"/>
  </cellStyles>
  <dxfs count="2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</dxf>
    <dxf>
      <numFmt numFmtId="169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  <protection locked="0" hidden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2C8E4"/>
      <color rgb="FFFF757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8-48B2-ABE0-4B9F10A6A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8-48B2-ABE0-4B9F10A6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'Display summaries'!$J$16:$J$17</c:f>
              <c:strCache>
                <c:ptCount val="2"/>
                <c:pt idx="0">
                  <c:v>Built </c:v>
                </c:pt>
                <c:pt idx="1">
                  <c:v>Scatered</c:v>
                </c:pt>
              </c:strCache>
            </c:strRef>
          </c:cat>
          <c:val>
            <c:numRef>
              <c:f>'Display summaries'!$L$16:$L$17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387-BEF5-5DE37F7B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F7-45A6-A7C3-796A61F06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F7-45A6-A7C3-796A61F06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F7-45A6-A7C3-796A61F06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F7-45A6-A7C3-796A61F064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7-45A6-A7C3-796A61F064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7-45A6-A7C3-796A61F064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'Display summaries'!$D$19:$I$19</c:f>
              <c:strCache>
                <c:ptCount val="6"/>
                <c:pt idx="0">
                  <c:v>Baseline</c:v>
                </c:pt>
                <c:pt idx="1">
                  <c:v>Capital stack</c:v>
                </c:pt>
                <c:pt idx="2">
                  <c:v>Fees, Permitting &amp; Tax</c:v>
                </c:pt>
                <c:pt idx="3">
                  <c:v>Wood frame build</c:v>
                </c:pt>
                <c:pt idx="4">
                  <c:v>Free land</c:v>
                </c:pt>
                <c:pt idx="5">
                  <c:v>All savings achieved </c:v>
                </c:pt>
              </c:strCache>
            </c:strRef>
          </c:cat>
          <c:val>
            <c:numRef>
              <c:f>'Display summaries'!$D$36:$I$36</c:f>
              <c:numCache>
                <c:formatCode>General</c:formatCode>
                <c:ptCount val="6"/>
                <c:pt idx="0">
                  <c:v>510</c:v>
                </c:pt>
                <c:pt idx="1">
                  <c:v>918</c:v>
                </c:pt>
                <c:pt idx="2">
                  <c:v>1122</c:v>
                </c:pt>
                <c:pt idx="3">
                  <c:v>640</c:v>
                </c:pt>
                <c:pt idx="4">
                  <c:v>714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E-4785-822A-D20C378F0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D-4D52-B86B-A775E0C30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D-4D52-B86B-A775E0C30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D-4D52-B86B-A775E0C30E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D-4D52-B86B-A775E0C30E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D-4D52-B86B-A775E0C30E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D-4D52-B86B-A775E0C30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'Display summaries'!$D$46:$I$46</c:f>
              <c:strCache>
                <c:ptCount val="6"/>
                <c:pt idx="0">
                  <c:v>Baseline</c:v>
                </c:pt>
                <c:pt idx="1">
                  <c:v>Capital stack</c:v>
                </c:pt>
                <c:pt idx="2">
                  <c:v>Fees, Permitting &amp; Tax</c:v>
                </c:pt>
                <c:pt idx="3">
                  <c:v>Wood frame build</c:v>
                </c:pt>
                <c:pt idx="4">
                  <c:v>Free land</c:v>
                </c:pt>
                <c:pt idx="5">
                  <c:v>All savings acheived</c:v>
                </c:pt>
              </c:strCache>
            </c:strRef>
          </c:cat>
          <c:val>
            <c:numRef>
              <c:f>'Display summaries'!$D$63:$I$63</c:f>
              <c:numCache>
                <c:formatCode>General</c:formatCode>
                <c:ptCount val="6"/>
                <c:pt idx="0">
                  <c:v>0</c:v>
                </c:pt>
                <c:pt idx="1">
                  <c:v>612</c:v>
                </c:pt>
                <c:pt idx="2">
                  <c:v>1020</c:v>
                </c:pt>
                <c:pt idx="3">
                  <c:v>1120</c:v>
                </c:pt>
                <c:pt idx="4">
                  <c:v>510</c:v>
                </c:pt>
                <c:pt idx="5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8-469B-99CE-56165AEE0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186804</xdr:colOff>
      <xdr:row>18</xdr:row>
      <xdr:rowOff>5911</xdr:rowOff>
    </xdr:from>
    <xdr:to>
      <xdr:col>14</xdr:col>
      <xdr:colOff>149175</xdr:colOff>
      <xdr:row>33</xdr:row>
      <xdr:rowOff>15924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B0D9C-3F25-4F08-B7F0-08285F90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1213219</xdr:colOff>
      <xdr:row>2</xdr:row>
      <xdr:rowOff>49590</xdr:rowOff>
    </xdr:from>
    <xdr:to>
      <xdr:col>6</xdr:col>
      <xdr:colOff>53421</xdr:colOff>
      <xdr:row>17</xdr:row>
      <xdr:rowOff>71361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575A5-5C6A-4788-927C-236D3F43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369912</xdr:colOff>
      <xdr:row>1</xdr:row>
      <xdr:rowOff>183982</xdr:rowOff>
    </xdr:from>
    <xdr:to>
      <xdr:col>8</xdr:col>
      <xdr:colOff>1387592</xdr:colOff>
      <xdr:row>17</xdr:row>
      <xdr:rowOff>24325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01A08-560B-48EB-A769-C0AB6D99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:/DATA/RIDGLA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GSERVER12/Real_Estate_Development/7th%20&amp;%20Cherry/4.%20Funding%20Sources/WSHFC/Application/Updated%20App%20for%20Redesign/7th%20and%20Cherry%20-%20Revised%20CFA%20Form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iscovery.nbgfn.com/Documents%20and%20Settings/nbkzkp7/Local%20Settings/Temporary%20Internet%20Files/OLK7D/DRAFT%20-%204-21-05CDB%20DRAW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bankofamerica.com/sites/GCIBPE-Operations/draws/Shared%20Documents/FINAL%20DOCS%20-LIZ%20ONLY/CML%20Disbursement%20Workbook%20-%206-1-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:/K%20Site%20-%20607%202nd%20Ave%20N/10.%20Development%20Budgets%20&amp;%20Draws/Development%20Budgets/Old%20Budgets/2nd%20&amp;%20Mercer%20-%20CFAforms%20-%20edited%20for%20equity%20investors%20-%20DO%20NOT%20SEN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poile/Documents/Work/Plymouth/2nd&amp;Mercer/Application/AttI3_2018%20CFA%20Forms.7.19.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iscovery.nbgfn.com/Walnut%20Creek/BACDB/FORMS/ACBS/CDB%20ACBS%20WorkOrder06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:/ESTIMATE/OCEAN-FI/GCBI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BeckBick/AppData/Local/Temp/Copy%20of%203VA%20Comb_Funders_Forms_2012NOF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wshfc.org/mhcf/9percent/application/e3_combined_funders_form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Pontius%20LLC%20-%20WIL/10.%20Development%20Budgets%20&amp;%20Draws/Development%20Draws/WIL%20Draws-%20Excel/12-2%20WIL%20-%20Construction%20Draw%20#1 2-29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Definitions"/>
      <sheetName val="Form 0"/>
      <sheetName val="Form 1A"/>
      <sheetName val="Form 1B"/>
      <sheetName val="Sheet4"/>
      <sheetName val="UnderTheHood"/>
      <sheetName val="Form 2A"/>
      <sheetName val="Form 2B"/>
      <sheetName val="Form 2C (Rural-NC)"/>
      <sheetName val="Form 2C (Rural-Rehab)"/>
      <sheetName val="Form 2C (Urban-NC)"/>
      <sheetName val="Form 2C (Urban-Rehab)"/>
      <sheetName val="Form 3"/>
      <sheetName val="Form 4"/>
      <sheetName val="Form 5"/>
      <sheetName val="Form 6A"/>
      <sheetName val="Sheet2"/>
      <sheetName val="Form 6B"/>
      <sheetName val="Form 6C"/>
      <sheetName val="Sheet1"/>
      <sheetName val="Form 6D"/>
      <sheetName val="Form 6E"/>
      <sheetName val="Sheet3"/>
      <sheetName val="Form 7A"/>
      <sheetName val="Form 7B"/>
      <sheetName val="Form 8A "/>
      <sheetName val="Form 8B"/>
      <sheetName val="Form 8C"/>
      <sheetName val="Form 8D"/>
      <sheetName val="Form 8E"/>
      <sheetName val="Form 9A"/>
      <sheetName val="Form 9B"/>
      <sheetName val="Form 9C"/>
      <sheetName val="Form 9D"/>
      <sheetName val="Form 9E"/>
      <sheetName val="Form 10"/>
      <sheetName val="Form 11A"/>
      <sheetName val="Form 11B"/>
      <sheetName val="4percentScoring"/>
      <sheetName val="LIHTC_ScoringLists"/>
      <sheetName val="HTF Rollup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</row>
        <row r="3">
          <cell r="C3" t="str">
            <v>General</v>
          </cell>
        </row>
        <row r="4">
          <cell r="C4" t="str">
            <v>Individuals</v>
          </cell>
        </row>
        <row r="5">
          <cell r="C5" t="str">
            <v>Households with Children</v>
          </cell>
        </row>
        <row r="6">
          <cell r="C6" t="str">
            <v>Developmental Disabilities</v>
          </cell>
        </row>
        <row r="7">
          <cell r="C7" t="str">
            <v>Physical Disabilities</v>
          </cell>
        </row>
        <row r="8">
          <cell r="C8" t="str">
            <v>Chronic Mental Illness</v>
          </cell>
        </row>
        <row r="9">
          <cell r="C9" t="str">
            <v>Substance Abuse</v>
          </cell>
        </row>
        <row r="10">
          <cell r="C10" t="str">
            <v>HIV/AIDS</v>
          </cell>
        </row>
        <row r="11">
          <cell r="C11" t="str">
            <v>Multiple Special Needs</v>
          </cell>
        </row>
        <row r="12">
          <cell r="C12" t="str">
            <v>Domestic Violence</v>
          </cell>
        </row>
        <row r="13">
          <cell r="C13" t="str">
            <v>Youth Under 18</v>
          </cell>
        </row>
        <row r="14">
          <cell r="C14" t="str">
            <v>Young Adults 18-24</v>
          </cell>
        </row>
        <row r="15">
          <cell r="C15" t="str">
            <v>Veteran</v>
          </cell>
        </row>
        <row r="16">
          <cell r="C16" t="str">
            <v>Senior</v>
          </cell>
        </row>
        <row r="17">
          <cell r="C17" t="str">
            <v>Frail Elderly</v>
          </cell>
        </row>
        <row r="18">
          <cell r="C18" t="str">
            <v>Farmworkers</v>
          </cell>
        </row>
        <row r="19">
          <cell r="C19" t="str">
            <v>Seasonal/Migrant Farmworkers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udget"/>
      <sheetName val="Int Reserve Calc"/>
      <sheetName val="Draw Summary"/>
      <sheetName val="Constr Status Update"/>
      <sheetName val="Disb Guidelines"/>
      <sheetName val="Disb Guid Addendum"/>
      <sheetName val="Work Order"/>
      <sheetName val="Member Addendum"/>
    </sheetNames>
    <sheetDataSet>
      <sheetData sheetId="0" refreshError="1"/>
      <sheetData sheetId="1" refreshError="1"/>
      <sheetData sheetId="2" refreshError="1"/>
      <sheetData sheetId="3" refreshError="1">
        <row r="1001">
          <cell r="HM1001">
            <v>1</v>
          </cell>
          <cell r="HN1001">
            <v>2</v>
          </cell>
          <cell r="HO1001">
            <v>3</v>
          </cell>
          <cell r="HP1001">
            <v>4</v>
          </cell>
          <cell r="HQ1001">
            <v>5</v>
          </cell>
          <cell r="HR1001">
            <v>6</v>
          </cell>
          <cell r="HS1001">
            <v>7</v>
          </cell>
          <cell r="HT1001">
            <v>8</v>
          </cell>
          <cell r="HU1001">
            <v>9</v>
          </cell>
          <cell r="HV1001">
            <v>10</v>
          </cell>
          <cell r="HW1001">
            <v>11</v>
          </cell>
          <cell r="HX1001">
            <v>12</v>
          </cell>
          <cell r="HY1001">
            <v>13</v>
          </cell>
          <cell r="HZ1001">
            <v>14</v>
          </cell>
          <cell r="IA1001">
            <v>15</v>
          </cell>
          <cell r="IB1001">
            <v>16</v>
          </cell>
          <cell r="IC1001">
            <v>17</v>
          </cell>
          <cell r="ID1001">
            <v>18</v>
          </cell>
          <cell r="IE1001">
            <v>19</v>
          </cell>
          <cell r="IF1001">
            <v>20</v>
          </cell>
          <cell r="IG1001">
            <v>21</v>
          </cell>
          <cell r="IH1001">
            <v>22</v>
          </cell>
          <cell r="II1001">
            <v>23</v>
          </cell>
          <cell r="IJ1001">
            <v>24</v>
          </cell>
          <cell r="IK1001">
            <v>25</v>
          </cell>
          <cell r="IL1001">
            <v>26</v>
          </cell>
          <cell r="IM1001">
            <v>27</v>
          </cell>
          <cell r="IN1001">
            <v>28</v>
          </cell>
          <cell r="IO1001">
            <v>29</v>
          </cell>
          <cell r="IP1001">
            <v>30</v>
          </cell>
          <cell r="IQ1001">
            <v>31</v>
          </cell>
          <cell r="IR1001">
            <v>32</v>
          </cell>
          <cell r="IS1001">
            <v>33</v>
          </cell>
          <cell r="IT1001">
            <v>34</v>
          </cell>
          <cell r="IU1001">
            <v>35</v>
          </cell>
          <cell r="IV1001">
            <v>36</v>
          </cell>
        </row>
        <row r="1002">
          <cell r="HM1002">
            <v>0</v>
          </cell>
          <cell r="HN1002">
            <v>0</v>
          </cell>
          <cell r="HO1002">
            <v>0</v>
          </cell>
          <cell r="HP1002">
            <v>0</v>
          </cell>
          <cell r="HQ1002">
            <v>0</v>
          </cell>
          <cell r="HR1002">
            <v>0</v>
          </cell>
          <cell r="HS1002">
            <v>0</v>
          </cell>
          <cell r="HT1002">
            <v>0</v>
          </cell>
          <cell r="HU1002">
            <v>0</v>
          </cell>
          <cell r="HV1002">
            <v>0</v>
          </cell>
          <cell r="HW1002">
            <v>0</v>
          </cell>
          <cell r="HX1002">
            <v>0</v>
          </cell>
          <cell r="HY1002">
            <v>0</v>
          </cell>
          <cell r="HZ1002">
            <v>0</v>
          </cell>
          <cell r="IA1002">
            <v>0</v>
          </cell>
          <cell r="IB1002">
            <v>0</v>
          </cell>
          <cell r="IC1002">
            <v>0</v>
          </cell>
          <cell r="ID1002">
            <v>0</v>
          </cell>
          <cell r="IE1002">
            <v>0</v>
          </cell>
          <cell r="IF1002">
            <v>0</v>
          </cell>
          <cell r="IG1002">
            <v>0</v>
          </cell>
          <cell r="IH1002">
            <v>0</v>
          </cell>
          <cell r="II1002">
            <v>0</v>
          </cell>
          <cell r="IJ1002">
            <v>0</v>
          </cell>
          <cell r="IK1002">
            <v>0</v>
          </cell>
          <cell r="IL1002">
            <v>0</v>
          </cell>
          <cell r="IM1002">
            <v>0</v>
          </cell>
          <cell r="IN1002">
            <v>0</v>
          </cell>
          <cell r="IO1002">
            <v>0</v>
          </cell>
          <cell r="IP1002">
            <v>0</v>
          </cell>
          <cell r="IQ1002">
            <v>0</v>
          </cell>
          <cell r="IR1002">
            <v>0</v>
          </cell>
          <cell r="IS1002">
            <v>0</v>
          </cell>
          <cell r="IT1002">
            <v>0</v>
          </cell>
          <cell r="IU1002">
            <v>0</v>
          </cell>
          <cell r="IV1002">
            <v>0</v>
          </cell>
        </row>
        <row r="1003">
          <cell r="HM1003">
            <v>0</v>
          </cell>
          <cell r="HN1003">
            <v>0</v>
          </cell>
          <cell r="HO1003">
            <v>0</v>
          </cell>
          <cell r="HP1003">
            <v>0</v>
          </cell>
          <cell r="HQ1003">
            <v>0</v>
          </cell>
          <cell r="HR1003">
            <v>0</v>
          </cell>
          <cell r="HS1003">
            <v>0</v>
          </cell>
          <cell r="HT1003">
            <v>0</v>
          </cell>
          <cell r="HU1003">
            <v>0</v>
          </cell>
          <cell r="HV1003">
            <v>0</v>
          </cell>
          <cell r="HW1003">
            <v>0</v>
          </cell>
          <cell r="HX1003">
            <v>0</v>
          </cell>
          <cell r="HY1003">
            <v>0</v>
          </cell>
          <cell r="HZ1003">
            <v>0</v>
          </cell>
          <cell r="IA1003">
            <v>0</v>
          </cell>
          <cell r="IB1003">
            <v>0</v>
          </cell>
          <cell r="IC1003">
            <v>0</v>
          </cell>
          <cell r="ID1003">
            <v>0</v>
          </cell>
          <cell r="IE1003">
            <v>0</v>
          </cell>
          <cell r="IF1003">
            <v>0</v>
          </cell>
          <cell r="IG1003">
            <v>0</v>
          </cell>
          <cell r="IH1003">
            <v>0</v>
          </cell>
          <cell r="II1003">
            <v>0</v>
          </cell>
          <cell r="IJ1003">
            <v>0</v>
          </cell>
          <cell r="IK1003">
            <v>0</v>
          </cell>
          <cell r="IL1003">
            <v>0</v>
          </cell>
          <cell r="IM1003">
            <v>0</v>
          </cell>
          <cell r="IN1003">
            <v>0</v>
          </cell>
          <cell r="IO1003">
            <v>0</v>
          </cell>
          <cell r="IP1003">
            <v>0</v>
          </cell>
          <cell r="IQ1003">
            <v>0</v>
          </cell>
          <cell r="IR1003">
            <v>0</v>
          </cell>
          <cell r="IS1003">
            <v>0</v>
          </cell>
          <cell r="IT1003">
            <v>0</v>
          </cell>
          <cell r="IU1003">
            <v>0</v>
          </cell>
          <cell r="IV1003">
            <v>0</v>
          </cell>
        </row>
        <row r="1004">
          <cell r="HM1004">
            <v>0</v>
          </cell>
          <cell r="HN1004">
            <v>0</v>
          </cell>
          <cell r="HO1004">
            <v>0</v>
          </cell>
          <cell r="HP1004">
            <v>0</v>
          </cell>
          <cell r="HQ1004">
            <v>0</v>
          </cell>
          <cell r="HR1004">
            <v>0</v>
          </cell>
          <cell r="HS1004">
            <v>0</v>
          </cell>
          <cell r="HT1004">
            <v>0</v>
          </cell>
          <cell r="HU1004">
            <v>0</v>
          </cell>
          <cell r="HV1004">
            <v>0</v>
          </cell>
          <cell r="HW1004">
            <v>0</v>
          </cell>
          <cell r="HX1004">
            <v>0</v>
          </cell>
          <cell r="HY1004">
            <v>0</v>
          </cell>
          <cell r="HZ1004">
            <v>0</v>
          </cell>
          <cell r="IA1004">
            <v>0</v>
          </cell>
          <cell r="IB1004">
            <v>0</v>
          </cell>
          <cell r="IC1004">
            <v>0</v>
          </cell>
          <cell r="ID1004">
            <v>0</v>
          </cell>
          <cell r="IE1004">
            <v>0</v>
          </cell>
          <cell r="IF1004">
            <v>0</v>
          </cell>
          <cell r="IG1004">
            <v>0</v>
          </cell>
          <cell r="IH1004">
            <v>0</v>
          </cell>
          <cell r="II1004">
            <v>0</v>
          </cell>
          <cell r="IJ1004">
            <v>0</v>
          </cell>
          <cell r="IK1004">
            <v>0</v>
          </cell>
          <cell r="IL1004">
            <v>0</v>
          </cell>
          <cell r="IM1004">
            <v>0</v>
          </cell>
          <cell r="IN1004">
            <v>0</v>
          </cell>
          <cell r="IO1004">
            <v>0</v>
          </cell>
          <cell r="IP1004">
            <v>0</v>
          </cell>
          <cell r="IQ1004">
            <v>0</v>
          </cell>
          <cell r="IR1004">
            <v>0</v>
          </cell>
          <cell r="IS1004">
            <v>0</v>
          </cell>
          <cell r="IT1004">
            <v>0</v>
          </cell>
          <cell r="IU1004">
            <v>0</v>
          </cell>
          <cell r="IV1004">
            <v>0</v>
          </cell>
        </row>
        <row r="1005">
          <cell r="HM1005">
            <v>0</v>
          </cell>
          <cell r="HN1005">
            <v>0</v>
          </cell>
          <cell r="HO1005">
            <v>0</v>
          </cell>
          <cell r="HP1005">
            <v>0</v>
          </cell>
          <cell r="HQ1005">
            <v>0</v>
          </cell>
          <cell r="HR1005">
            <v>0</v>
          </cell>
          <cell r="HS1005">
            <v>0</v>
          </cell>
          <cell r="HT1005">
            <v>0</v>
          </cell>
          <cell r="HU1005">
            <v>0</v>
          </cell>
          <cell r="HV1005">
            <v>0</v>
          </cell>
          <cell r="HW1005">
            <v>0</v>
          </cell>
          <cell r="HX1005">
            <v>0</v>
          </cell>
          <cell r="HY1005">
            <v>0</v>
          </cell>
          <cell r="HZ1005">
            <v>0</v>
          </cell>
          <cell r="IA1005">
            <v>0</v>
          </cell>
          <cell r="IB1005">
            <v>0</v>
          </cell>
          <cell r="IC1005">
            <v>0</v>
          </cell>
          <cell r="ID1005">
            <v>0</v>
          </cell>
          <cell r="IE1005">
            <v>0</v>
          </cell>
          <cell r="IF1005">
            <v>0</v>
          </cell>
          <cell r="IG1005">
            <v>0</v>
          </cell>
          <cell r="IH1005">
            <v>0</v>
          </cell>
          <cell r="II1005">
            <v>0</v>
          </cell>
          <cell r="IJ1005">
            <v>0</v>
          </cell>
          <cell r="IK1005">
            <v>0</v>
          </cell>
          <cell r="IL1005">
            <v>0</v>
          </cell>
          <cell r="IM1005">
            <v>0</v>
          </cell>
          <cell r="IN1005">
            <v>0</v>
          </cell>
          <cell r="IO1005">
            <v>0</v>
          </cell>
          <cell r="IP1005">
            <v>0</v>
          </cell>
          <cell r="IQ1005">
            <v>0</v>
          </cell>
          <cell r="IR1005">
            <v>0</v>
          </cell>
          <cell r="IS1005">
            <v>0</v>
          </cell>
          <cell r="IT1005">
            <v>0</v>
          </cell>
          <cell r="IU1005">
            <v>0</v>
          </cell>
          <cell r="IV1005">
            <v>0</v>
          </cell>
        </row>
        <row r="1006">
          <cell r="HM1006"/>
          <cell r="HN1006"/>
          <cell r="HO1006"/>
          <cell r="HP1006"/>
          <cell r="HQ1006"/>
          <cell r="HR1006"/>
          <cell r="HS1006"/>
          <cell r="HT1006"/>
          <cell r="HU1006"/>
          <cell r="HV1006"/>
          <cell r="HW1006"/>
          <cell r="HX1006"/>
          <cell r="HY1006"/>
          <cell r="HZ1006"/>
          <cell r="IA1006"/>
          <cell r="IB1006"/>
          <cell r="IC1006"/>
          <cell r="ID1006"/>
          <cell r="IE1006"/>
          <cell r="IF1006"/>
          <cell r="IG1006"/>
          <cell r="IH1006"/>
          <cell r="II1006"/>
          <cell r="IJ1006"/>
          <cell r="IK1006"/>
          <cell r="IL1006"/>
          <cell r="IM1006"/>
          <cell r="IN1006"/>
          <cell r="IO1006"/>
          <cell r="IP1006"/>
          <cell r="IQ1006"/>
          <cell r="IR1006"/>
          <cell r="IS1006"/>
          <cell r="IT1006"/>
          <cell r="IU1006"/>
          <cell r="IV1006"/>
        </row>
        <row r="1007">
          <cell r="HM1007">
            <v>0</v>
          </cell>
          <cell r="HN1007">
            <v>0</v>
          </cell>
          <cell r="HO1007">
            <v>0</v>
          </cell>
          <cell r="HP1007">
            <v>0</v>
          </cell>
          <cell r="HQ1007">
            <v>0</v>
          </cell>
          <cell r="HR1007">
            <v>0</v>
          </cell>
          <cell r="HS1007">
            <v>0</v>
          </cell>
          <cell r="HT1007">
            <v>0</v>
          </cell>
          <cell r="HU1007">
            <v>0</v>
          </cell>
          <cell r="HV1007">
            <v>0</v>
          </cell>
          <cell r="HW1007">
            <v>0</v>
          </cell>
          <cell r="HX1007">
            <v>0</v>
          </cell>
          <cell r="HY1007">
            <v>0</v>
          </cell>
          <cell r="HZ1007">
            <v>0</v>
          </cell>
          <cell r="IA1007">
            <v>0</v>
          </cell>
          <cell r="IB1007">
            <v>0</v>
          </cell>
          <cell r="IC1007">
            <v>0</v>
          </cell>
          <cell r="ID1007">
            <v>0</v>
          </cell>
          <cell r="IE1007">
            <v>0</v>
          </cell>
          <cell r="IF1007">
            <v>0</v>
          </cell>
          <cell r="IG1007">
            <v>0</v>
          </cell>
          <cell r="IH1007">
            <v>0</v>
          </cell>
          <cell r="II1007">
            <v>0</v>
          </cell>
          <cell r="IJ1007">
            <v>0</v>
          </cell>
          <cell r="IK1007">
            <v>0</v>
          </cell>
          <cell r="IL1007">
            <v>0</v>
          </cell>
          <cell r="IM1007">
            <v>0</v>
          </cell>
          <cell r="IN1007">
            <v>0</v>
          </cell>
          <cell r="IO1007">
            <v>0</v>
          </cell>
          <cell r="IP1007">
            <v>0</v>
          </cell>
          <cell r="IQ1007">
            <v>0</v>
          </cell>
          <cell r="IR1007">
            <v>0</v>
          </cell>
          <cell r="IS1007">
            <v>0</v>
          </cell>
          <cell r="IT1007">
            <v>0</v>
          </cell>
          <cell r="IU1007">
            <v>0</v>
          </cell>
          <cell r="IV1007">
            <v>0</v>
          </cell>
        </row>
        <row r="1008">
          <cell r="HM1008">
            <v>0</v>
          </cell>
          <cell r="HN1008">
            <v>0</v>
          </cell>
          <cell r="HO1008">
            <v>0</v>
          </cell>
          <cell r="HP1008">
            <v>0</v>
          </cell>
          <cell r="HQ1008">
            <v>0</v>
          </cell>
          <cell r="HR1008">
            <v>0</v>
          </cell>
          <cell r="HS1008">
            <v>0</v>
          </cell>
          <cell r="HT1008">
            <v>0</v>
          </cell>
          <cell r="HU1008">
            <v>0</v>
          </cell>
          <cell r="HV1008">
            <v>0</v>
          </cell>
          <cell r="HW1008">
            <v>0</v>
          </cell>
          <cell r="HX1008">
            <v>0</v>
          </cell>
          <cell r="HY1008">
            <v>0</v>
          </cell>
          <cell r="HZ1008">
            <v>0</v>
          </cell>
          <cell r="IA1008">
            <v>0</v>
          </cell>
          <cell r="IB1008">
            <v>0</v>
          </cell>
          <cell r="IC1008">
            <v>0</v>
          </cell>
          <cell r="ID1008">
            <v>0</v>
          </cell>
          <cell r="IE1008">
            <v>0</v>
          </cell>
          <cell r="IF1008">
            <v>0</v>
          </cell>
          <cell r="IG1008">
            <v>0</v>
          </cell>
          <cell r="IH1008">
            <v>0</v>
          </cell>
          <cell r="II1008">
            <v>0</v>
          </cell>
          <cell r="IJ1008">
            <v>0</v>
          </cell>
          <cell r="IK1008">
            <v>0</v>
          </cell>
          <cell r="IL1008">
            <v>0</v>
          </cell>
          <cell r="IM1008">
            <v>0</v>
          </cell>
          <cell r="IN1008">
            <v>0</v>
          </cell>
          <cell r="IO1008">
            <v>0</v>
          </cell>
          <cell r="IP1008">
            <v>0</v>
          </cell>
          <cell r="IQ1008">
            <v>0</v>
          </cell>
          <cell r="IR1008">
            <v>0</v>
          </cell>
          <cell r="IS1008">
            <v>0</v>
          </cell>
          <cell r="IT1008">
            <v>0</v>
          </cell>
          <cell r="IU1008">
            <v>0</v>
          </cell>
          <cell r="IV1008">
            <v>0</v>
          </cell>
        </row>
        <row r="1009">
          <cell r="HM1009" t="str">
            <v>(date)</v>
          </cell>
          <cell r="HN1009" t="str">
            <v>(date)</v>
          </cell>
          <cell r="HO1009" t="str">
            <v>(date)</v>
          </cell>
          <cell r="HP1009" t="str">
            <v>(date)</v>
          </cell>
          <cell r="HQ1009" t="str">
            <v>(date)</v>
          </cell>
          <cell r="HR1009" t="str">
            <v>(date)</v>
          </cell>
          <cell r="HS1009" t="str">
            <v>(date)</v>
          </cell>
          <cell r="HT1009" t="str">
            <v>(date)</v>
          </cell>
          <cell r="HU1009" t="str">
            <v>(date)</v>
          </cell>
          <cell r="HV1009" t="str">
            <v>(date)</v>
          </cell>
          <cell r="HW1009" t="str">
            <v>(date)</v>
          </cell>
          <cell r="HX1009" t="str">
            <v>(date)</v>
          </cell>
          <cell r="HY1009" t="str">
            <v>(date)</v>
          </cell>
          <cell r="HZ1009" t="str">
            <v>(date)</v>
          </cell>
          <cell r="IA1009" t="str">
            <v>(date)</v>
          </cell>
          <cell r="IB1009" t="str">
            <v>(date)</v>
          </cell>
          <cell r="IC1009" t="str">
            <v>(date)</v>
          </cell>
          <cell r="ID1009" t="str">
            <v>(date)</v>
          </cell>
          <cell r="IE1009" t="str">
            <v>(date)</v>
          </cell>
          <cell r="IF1009" t="str">
            <v>(date)</v>
          </cell>
          <cell r="IG1009" t="str">
            <v>(date)</v>
          </cell>
          <cell r="IH1009" t="str">
            <v>(date)</v>
          </cell>
          <cell r="II1009" t="str">
            <v>(date)</v>
          </cell>
          <cell r="IJ1009" t="str">
            <v>(date)</v>
          </cell>
          <cell r="IK1009" t="str">
            <v>(date)</v>
          </cell>
          <cell r="IL1009" t="str">
            <v>(date)</v>
          </cell>
          <cell r="IM1009" t="str">
            <v>(date)</v>
          </cell>
          <cell r="IN1009" t="str">
            <v>(date)</v>
          </cell>
          <cell r="IO1009" t="str">
            <v>(date)</v>
          </cell>
          <cell r="IP1009" t="str">
            <v>(date)</v>
          </cell>
          <cell r="IQ1009" t="str">
            <v>(date)</v>
          </cell>
          <cell r="IR1009" t="str">
            <v>(date)</v>
          </cell>
          <cell r="IS1009" t="str">
            <v>(date)</v>
          </cell>
          <cell r="IT1009" t="str">
            <v>(date)</v>
          </cell>
          <cell r="IU1009" t="str">
            <v>(date)</v>
          </cell>
          <cell r="IV1009">
            <v>0</v>
          </cell>
        </row>
        <row r="1010">
          <cell r="HM1010">
            <v>0</v>
          </cell>
          <cell r="HN1010">
            <v>0</v>
          </cell>
          <cell r="HO1010">
            <v>0</v>
          </cell>
          <cell r="HP1010">
            <v>0</v>
          </cell>
          <cell r="HQ1010">
            <v>0</v>
          </cell>
          <cell r="HR1010">
            <v>0</v>
          </cell>
          <cell r="HS1010">
            <v>0</v>
          </cell>
          <cell r="HT1010">
            <v>0</v>
          </cell>
          <cell r="HU1010">
            <v>0</v>
          </cell>
          <cell r="HV1010">
            <v>0</v>
          </cell>
          <cell r="HW1010">
            <v>0</v>
          </cell>
          <cell r="HX1010">
            <v>0</v>
          </cell>
          <cell r="HY1010">
            <v>0</v>
          </cell>
          <cell r="HZ1010">
            <v>0</v>
          </cell>
          <cell r="IA1010">
            <v>0</v>
          </cell>
          <cell r="IB1010">
            <v>0</v>
          </cell>
          <cell r="IC1010">
            <v>0</v>
          </cell>
          <cell r="ID1010">
            <v>0</v>
          </cell>
          <cell r="IE1010">
            <v>0</v>
          </cell>
          <cell r="IF1010">
            <v>0</v>
          </cell>
          <cell r="IG1010">
            <v>0</v>
          </cell>
          <cell r="IH1010">
            <v>0</v>
          </cell>
          <cell r="II1010">
            <v>0</v>
          </cell>
          <cell r="IJ1010">
            <v>0</v>
          </cell>
          <cell r="IK1010">
            <v>0</v>
          </cell>
          <cell r="IL1010">
            <v>0</v>
          </cell>
          <cell r="IM1010">
            <v>0</v>
          </cell>
          <cell r="IN1010">
            <v>0</v>
          </cell>
          <cell r="IO1010">
            <v>0</v>
          </cell>
          <cell r="IP1010">
            <v>0</v>
          </cell>
          <cell r="IQ1010">
            <v>0</v>
          </cell>
          <cell r="IR1010">
            <v>0</v>
          </cell>
          <cell r="IS1010">
            <v>0</v>
          </cell>
          <cell r="IT1010">
            <v>0</v>
          </cell>
          <cell r="IU1010">
            <v>0</v>
          </cell>
          <cell r="IV1010">
            <v>0</v>
          </cell>
        </row>
        <row r="1011">
          <cell r="HM1011">
            <v>0</v>
          </cell>
          <cell r="HN1011">
            <v>0</v>
          </cell>
          <cell r="HO1011">
            <v>0</v>
          </cell>
          <cell r="HP1011">
            <v>0</v>
          </cell>
          <cell r="HQ1011">
            <v>0</v>
          </cell>
          <cell r="HR1011">
            <v>0</v>
          </cell>
          <cell r="HS1011">
            <v>0</v>
          </cell>
          <cell r="HT1011">
            <v>0</v>
          </cell>
          <cell r="HU1011">
            <v>0</v>
          </cell>
          <cell r="HV1011">
            <v>0</v>
          </cell>
          <cell r="HW1011">
            <v>0</v>
          </cell>
          <cell r="HX1011">
            <v>0</v>
          </cell>
          <cell r="HY1011">
            <v>0</v>
          </cell>
          <cell r="HZ1011">
            <v>0</v>
          </cell>
          <cell r="IA1011">
            <v>0</v>
          </cell>
          <cell r="IB1011">
            <v>0</v>
          </cell>
          <cell r="IC1011">
            <v>0</v>
          </cell>
          <cell r="ID1011">
            <v>0</v>
          </cell>
          <cell r="IE1011">
            <v>0</v>
          </cell>
          <cell r="IF1011">
            <v>0</v>
          </cell>
          <cell r="IG1011">
            <v>0</v>
          </cell>
          <cell r="IH1011">
            <v>0</v>
          </cell>
          <cell r="II1011">
            <v>0</v>
          </cell>
          <cell r="IJ1011">
            <v>0</v>
          </cell>
          <cell r="IK1011">
            <v>0</v>
          </cell>
          <cell r="IL1011">
            <v>0</v>
          </cell>
          <cell r="IM1011">
            <v>0</v>
          </cell>
          <cell r="IN1011">
            <v>0</v>
          </cell>
          <cell r="IO1011">
            <v>0</v>
          </cell>
          <cell r="IP1011">
            <v>0</v>
          </cell>
          <cell r="IQ1011">
            <v>0</v>
          </cell>
          <cell r="IR1011">
            <v>0</v>
          </cell>
          <cell r="IS1011">
            <v>0</v>
          </cell>
          <cell r="IT1011">
            <v>0</v>
          </cell>
          <cell r="IU1011">
            <v>0</v>
          </cell>
          <cell r="IV101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udget"/>
      <sheetName val="Int Reserve Calc"/>
      <sheetName val="Draw Details"/>
      <sheetName val="Constr Status Update"/>
      <sheetName val="Disb Guidelines"/>
      <sheetName val="Disb Guid Addendum"/>
      <sheetName val="Work Order"/>
      <sheetName val="Member Addendum"/>
      <sheetName val="Module1"/>
      <sheetName val="Module2"/>
      <sheetName val="JobCost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  <sheetName val="ESDS-Reference Table"/>
      <sheetName val="ESDS-Lookup Table"/>
      <sheetName val="5 Default Check"/>
      <sheetName val="Definitions"/>
      <sheetName val="Sheet1"/>
      <sheetName val="Validations Checklist"/>
      <sheetName val="1"/>
      <sheetName val="2A"/>
      <sheetName val="2B"/>
      <sheetName val="2C"/>
      <sheetName val="3"/>
      <sheetName val="4"/>
      <sheetName val="5"/>
      <sheetName val="6A"/>
      <sheetName val="6B"/>
      <sheetName val="6C"/>
      <sheetName val="LIHTC Insert"/>
      <sheetName val="6D"/>
      <sheetName val="Calc Sheet Insert"/>
      <sheetName val="6E"/>
      <sheetName val="7A"/>
      <sheetName val="Res Sources Insert"/>
      <sheetName val="7B"/>
      <sheetName val="8A"/>
      <sheetName val="8B"/>
      <sheetName val="8C"/>
      <sheetName val="8D"/>
      <sheetName val="8E"/>
      <sheetName val="9A"/>
      <sheetName val="9B"/>
      <sheetName val="9C"/>
      <sheetName val="9D"/>
      <sheetName val="9E"/>
      <sheetName val="11A"/>
      <sheetName val="ScoringLists (9%)"/>
      <sheetName val="11B"/>
      <sheetName val="ScoringLists (4%)"/>
    </sheetNames>
    <sheetDataSet>
      <sheetData sheetId="0">
        <row r="3">
          <cell r="B3" t="str">
            <v>Select…</v>
          </cell>
        </row>
        <row r="30">
          <cell r="B30" t="str">
            <v>Select…</v>
          </cell>
        </row>
        <row r="31">
          <cell r="B31" t="str">
            <v>Yes</v>
          </cell>
        </row>
        <row r="32">
          <cell r="B32" t="str">
            <v>No</v>
          </cell>
        </row>
        <row r="33">
          <cell r="B33" t="str">
            <v>Either</v>
          </cell>
        </row>
        <row r="40">
          <cell r="B40" t="str">
            <v>Select…</v>
          </cell>
        </row>
        <row r="41">
          <cell r="B41" t="str">
            <v>Shelter</v>
          </cell>
        </row>
        <row r="42">
          <cell r="B42" t="str">
            <v>Transitional</v>
          </cell>
        </row>
        <row r="43">
          <cell r="B43" t="str">
            <v>Permanent Supportive</v>
          </cell>
        </row>
        <row r="44">
          <cell r="B44" t="str">
            <v>Multifamily Rental</v>
          </cell>
        </row>
        <row r="46">
          <cell r="B46" t="str">
            <v>Select…</v>
          </cell>
        </row>
        <row r="47">
          <cell r="B47" t="str">
            <v>Units</v>
          </cell>
        </row>
        <row r="48">
          <cell r="B48" t="str">
            <v>Beds</v>
          </cell>
        </row>
        <row r="68">
          <cell r="E68" t="str">
            <v>Select…</v>
          </cell>
        </row>
        <row r="69">
          <cell r="E69" t="str">
            <v>Studio</v>
          </cell>
        </row>
        <row r="70">
          <cell r="E70" t="str">
            <v>SRO</v>
          </cell>
        </row>
        <row r="71">
          <cell r="E71" t="str">
            <v>1 BR</v>
          </cell>
        </row>
        <row r="72">
          <cell r="E72" t="str">
            <v>2 BR</v>
          </cell>
        </row>
        <row r="73">
          <cell r="E73" t="str">
            <v>3 BR</v>
          </cell>
        </row>
        <row r="74">
          <cell r="E74" t="str">
            <v>4 BR</v>
          </cell>
        </row>
        <row r="75">
          <cell r="E75" t="str">
            <v>Other</v>
          </cell>
        </row>
        <row r="110">
          <cell r="B110" t="str">
            <v>X</v>
          </cell>
        </row>
        <row r="116">
          <cell r="B116" t="str">
            <v>Select…</v>
          </cell>
        </row>
        <row r="117">
          <cell r="B117" t="str">
            <v>Single-Family Detached</v>
          </cell>
        </row>
        <row r="118">
          <cell r="B118" t="str">
            <v>Townhouse/Duplex</v>
          </cell>
        </row>
        <row r="119">
          <cell r="B119" t="str">
            <v>Walk-Up (≤3 Floors no elevator)</v>
          </cell>
        </row>
        <row r="120">
          <cell r="B120" t="str">
            <v>Low-Rise (2-3 floors w elevator)</v>
          </cell>
        </row>
        <row r="121">
          <cell r="B121" t="str">
            <v>Mid-Rise (4-6 floors w elevator)</v>
          </cell>
        </row>
        <row r="122">
          <cell r="B122" t="str">
            <v>High Rise (7+ floors)</v>
          </cell>
        </row>
        <row r="123">
          <cell r="B123" t="str">
            <v>Mobile Home Pad</v>
          </cell>
        </row>
        <row r="124">
          <cell r="B124" t="str">
            <v>Shelter/Open-floor</v>
          </cell>
        </row>
        <row r="127">
          <cell r="B127" t="str">
            <v>Select…</v>
          </cell>
        </row>
        <row r="128">
          <cell r="B128" t="str">
            <v>New Construction</v>
          </cell>
        </row>
        <row r="129">
          <cell r="B129" t="str">
            <v>Rehab</v>
          </cell>
        </row>
        <row r="130">
          <cell r="B130" t="str">
            <v>Acquisition</v>
          </cell>
        </row>
        <row r="132">
          <cell r="B132" t="str">
            <v>Select…</v>
          </cell>
        </row>
        <row r="133">
          <cell r="B133" t="str">
            <v>Predevelopment</v>
          </cell>
        </row>
        <row r="134">
          <cell r="B134" t="str">
            <v>Under Construction</v>
          </cell>
        </row>
        <row r="135">
          <cell r="B135" t="str">
            <v>Stalled</v>
          </cell>
        </row>
        <row r="136">
          <cell r="B136" t="str">
            <v>Lease Up</v>
          </cell>
        </row>
        <row r="138">
          <cell r="B138" t="str">
            <v>Select..</v>
          </cell>
        </row>
        <row r="139">
          <cell r="B139" t="str">
            <v>MF</v>
          </cell>
        </row>
        <row r="140">
          <cell r="B140" t="str">
            <v>SF</v>
          </cell>
        </row>
        <row r="142">
          <cell r="B142" t="str">
            <v>Select…</v>
          </cell>
        </row>
        <row r="143">
          <cell r="B143" t="str">
            <v>NC</v>
          </cell>
        </row>
        <row r="144">
          <cell r="B144" t="str">
            <v>R</v>
          </cell>
        </row>
        <row r="145">
          <cell r="B145" t="str">
            <v>A</v>
          </cell>
        </row>
        <row r="147">
          <cell r="B147" t="str">
            <v>Select…</v>
          </cell>
        </row>
        <row r="148">
          <cell r="B148" t="str">
            <v>Yes, Yes</v>
          </cell>
        </row>
        <row r="149">
          <cell r="B149" t="str">
            <v>Yes, No</v>
          </cell>
        </row>
        <row r="150">
          <cell r="B150" t="str">
            <v>No, Yes</v>
          </cell>
        </row>
        <row r="151">
          <cell r="B151" t="str">
            <v>No, No</v>
          </cell>
        </row>
      </sheetData>
      <sheetData sheetId="1"/>
      <sheetData sheetId="2">
        <row r="2">
          <cell r="A2" t="str">
            <v>Select…</v>
          </cell>
          <cell r="B2" t="str">
            <v>Select…</v>
          </cell>
        </row>
        <row r="3">
          <cell r="A3" t="str">
            <v>Urban</v>
          </cell>
          <cell r="B3" t="str">
            <v>New Construction</v>
          </cell>
        </row>
        <row r="4">
          <cell r="A4" t="str">
            <v>Rural</v>
          </cell>
          <cell r="B4" t="str">
            <v>Rehab Moderate</v>
          </cell>
        </row>
        <row r="5">
          <cell r="B5" t="str">
            <v>Rehab Substantial</v>
          </cell>
        </row>
      </sheetData>
      <sheetData sheetId="3"/>
      <sheetData sheetId="4"/>
      <sheetData sheetId="5"/>
      <sheetData sheetId="6"/>
      <sheetData sheetId="7">
        <row r="5">
          <cell r="G5" t="str">
            <v>Second and Mercer Housing</v>
          </cell>
        </row>
      </sheetData>
      <sheetData sheetId="8">
        <row r="22">
          <cell r="L22">
            <v>93</v>
          </cell>
        </row>
      </sheetData>
      <sheetData sheetId="9">
        <row r="34">
          <cell r="E34">
            <v>32629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1">
          <cell r="F21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2">
          <cell r="B22" t="str">
            <v>None</v>
          </cell>
        </row>
        <row r="85">
          <cell r="B85">
            <v>0</v>
          </cell>
        </row>
        <row r="86">
          <cell r="B86">
            <v>0.1</v>
          </cell>
        </row>
        <row r="87">
          <cell r="B87">
            <v>0.2</v>
          </cell>
        </row>
        <row r="88">
          <cell r="B88">
            <v>0.25</v>
          </cell>
        </row>
        <row r="89">
          <cell r="B89">
            <v>0.3</v>
          </cell>
        </row>
        <row r="90">
          <cell r="B90">
            <v>0.4</v>
          </cell>
        </row>
        <row r="91">
          <cell r="B91">
            <v>0.5</v>
          </cell>
        </row>
        <row r="92">
          <cell r="B92">
            <v>0.6</v>
          </cell>
        </row>
        <row r="93">
          <cell r="B93">
            <v>0.75</v>
          </cell>
        </row>
        <row r="94">
          <cell r="B94">
            <v>1</v>
          </cell>
        </row>
        <row r="147">
          <cell r="B147" t="str">
            <v>Select Applicable Points</v>
          </cell>
        </row>
        <row r="148">
          <cell r="B148" t="str">
            <v>King County 5-10% - 2 Points</v>
          </cell>
        </row>
        <row r="149">
          <cell r="B149" t="str">
            <v>King County 11-20% - 4 Points</v>
          </cell>
        </row>
        <row r="150">
          <cell r="B150" t="str">
            <v>King County 21-25% - 7 Points</v>
          </cell>
        </row>
        <row r="151">
          <cell r="B151" t="str">
            <v>King County 26% and above - 10 Points</v>
          </cell>
        </row>
        <row r="152">
          <cell r="B152" t="str">
            <v>Metro 2-7% - 2 Points</v>
          </cell>
        </row>
        <row r="153">
          <cell r="B153" t="str">
            <v>Metro 8-12% - 4 Points</v>
          </cell>
        </row>
        <row r="154">
          <cell r="B154" t="str">
            <v>Metro 13-17% - 7 Points</v>
          </cell>
        </row>
        <row r="155">
          <cell r="B155" t="str">
            <v>Metro 18% and above - 10 points</v>
          </cell>
        </row>
        <row r="156">
          <cell r="B156" t="str">
            <v>Non-Metro 2-7% - 2 points</v>
          </cell>
        </row>
        <row r="157">
          <cell r="B157" t="str">
            <v>Non-Metro 8-15% - 4 Points</v>
          </cell>
        </row>
        <row r="158">
          <cell r="B158" t="str">
            <v>Non-Metro 16-22% - 7 Points</v>
          </cell>
        </row>
        <row r="159">
          <cell r="B159" t="str">
            <v>Non-Metro 23% and above - 10 Points</v>
          </cell>
        </row>
        <row r="237">
          <cell r="B237" t="str">
            <v>Select Location</v>
          </cell>
        </row>
        <row r="238">
          <cell r="B238" t="str">
            <v>King County and in a High or Very High Opportunity Area Census tract.</v>
          </cell>
        </row>
        <row r="239">
          <cell r="B239" t="str">
            <v>a Metro County.  This project is not eligible for these points.</v>
          </cell>
        </row>
        <row r="240">
          <cell r="B240" t="str">
            <v>a Non-Metro County.  This project is not eligible for these points.</v>
          </cell>
        </row>
        <row r="309">
          <cell r="B309" t="str">
            <v>Select from list</v>
          </cell>
        </row>
        <row r="310">
          <cell r="B310" t="str">
            <v>King County</v>
          </cell>
        </row>
        <row r="311">
          <cell r="B311" t="str">
            <v>Pierce/Snohomish</v>
          </cell>
        </row>
        <row r="312">
          <cell r="B312" t="str">
            <v>Metro Counties</v>
          </cell>
        </row>
        <row r="313">
          <cell r="B313" t="str">
            <v>Balance of State</v>
          </cell>
        </row>
      </sheetData>
      <sheetData sheetId="36"/>
      <sheetData sheetId="37">
        <row r="74">
          <cell r="B74" t="str">
            <v>No Points Taken</v>
          </cell>
        </row>
        <row r="75">
          <cell r="B75" t="str">
            <v>Urban:  within 1/4 mile of 3 services and 1/2 mile of a grocery store or within 1/2 mile of 5 facilities and a grocery store - 3 points</v>
          </cell>
        </row>
        <row r="76">
          <cell r="B76" t="str">
            <v>Rural:  within 2 miles of 4 services, one of which is a grocery store - 3 points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  <sheetName val="6E"/>
      <sheetName val="2B"/>
      <sheetName val="8B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Order"/>
      <sheetName val="Member Addendum"/>
      <sheetName val="Instructions"/>
      <sheetName val="#'s Instructions"/>
    </sheetNames>
    <sheetDataSet>
      <sheetData sheetId="0"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 Detail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A Population"/>
      <sheetName val="Form 1B Special Needs"/>
      <sheetName val="Form 1C Units"/>
      <sheetName val="Form 1D Square Footage Summary"/>
      <sheetName val="Form 2a- ESDS Checklist (RURAL)"/>
      <sheetName val="Form 2b- ESDS Checklist (URBAN)"/>
      <sheetName val="ESDS-UnderTheHood"/>
      <sheetName val="Form 4 Relocation Budget"/>
      <sheetName val="Form 5 Project Schedule"/>
      <sheetName val="Form 6A Residential Budget"/>
      <sheetName val="Form 6B Nonres Budget"/>
      <sheetName val="Form 6C Budget Narrative"/>
      <sheetName val="Form 6D LIHTC Budget"/>
      <sheetName val="Form 6E LIHTC Calculation"/>
      <sheetName val="Form 7 Financing"/>
      <sheetName val="Form 8A Rents"/>
      <sheetName val="Form 8B Operating Sources"/>
      <sheetName val="Form 8C Operating Pro Forma"/>
      <sheetName val="Form 8D Op Budget Details"/>
      <sheetName val="Form 8E Operating Personnel"/>
      <sheetName val="Form 9A Contact List"/>
      <sheetName val="Form 9B ID of Interest"/>
      <sheetName val="Form 9C Sponsor Experience"/>
      <sheetName val="Form 9D Dev Consultant Exp "/>
      <sheetName val="Form 9E Prop.Manager Experience"/>
      <sheetName val="Form 10 Service Budget"/>
      <sheetName val="Form 11 LIHTC Scoring Synopsis"/>
      <sheetName val="Form 11 LIHTC Scoring"/>
      <sheetName val="Under the LIHTC Hood"/>
      <sheetName val="Under the Hood"/>
    </sheetNames>
    <sheetDataSet>
      <sheetData sheetId="0">
        <row r="3">
          <cell r="D3" t="str">
            <v>Plymouth Housing Group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X</v>
          </cell>
          <cell r="D3">
            <v>1</v>
          </cell>
          <cell r="F3">
            <v>1</v>
          </cell>
          <cell r="H3">
            <v>2</v>
          </cell>
          <cell r="J3">
            <v>5</v>
          </cell>
          <cell r="L3" t="str">
            <v>X</v>
          </cell>
          <cell r="N3">
            <v>2</v>
          </cell>
          <cell r="P3">
            <v>17</v>
          </cell>
          <cell r="R3">
            <v>4</v>
          </cell>
        </row>
        <row r="4">
          <cell r="B4" t="str">
            <v>n/a</v>
          </cell>
          <cell r="D4">
            <v>2</v>
          </cell>
          <cell r="F4">
            <v>2</v>
          </cell>
          <cell r="L4">
            <v>5</v>
          </cell>
          <cell r="N4">
            <v>5</v>
          </cell>
        </row>
        <row r="5">
          <cell r="D5">
            <v>3</v>
          </cell>
          <cell r="F5">
            <v>3</v>
          </cell>
          <cell r="L5" t="str">
            <v>n/a</v>
          </cell>
          <cell r="N5">
            <v>7</v>
          </cell>
        </row>
        <row r="6">
          <cell r="F6">
            <v>4</v>
          </cell>
        </row>
        <row r="7">
          <cell r="F7">
            <v>5</v>
          </cell>
        </row>
        <row r="10">
          <cell r="B10">
            <v>3</v>
          </cell>
          <cell r="D10">
            <v>2</v>
          </cell>
          <cell r="F10">
            <v>10</v>
          </cell>
          <cell r="H10">
            <v>3</v>
          </cell>
          <cell r="J10">
            <v>1</v>
          </cell>
          <cell r="L10">
            <v>1</v>
          </cell>
          <cell r="N10">
            <v>4</v>
          </cell>
          <cell r="P10">
            <v>3</v>
          </cell>
        </row>
        <row r="11">
          <cell r="B11">
            <v>5</v>
          </cell>
          <cell r="D11">
            <v>4</v>
          </cell>
          <cell r="J11">
            <v>2</v>
          </cell>
          <cell r="L11">
            <v>2</v>
          </cell>
          <cell r="N11">
            <v>6</v>
          </cell>
          <cell r="P11">
            <v>7</v>
          </cell>
        </row>
        <row r="12">
          <cell r="D12">
            <v>6</v>
          </cell>
          <cell r="J12">
            <v>4</v>
          </cell>
          <cell r="L12">
            <v>3</v>
          </cell>
          <cell r="N12">
            <v>8</v>
          </cell>
        </row>
        <row r="13">
          <cell r="D13">
            <v>7</v>
          </cell>
          <cell r="J13">
            <v>6</v>
          </cell>
          <cell r="L13">
            <v>4</v>
          </cell>
        </row>
        <row r="14">
          <cell r="L14">
            <v>5</v>
          </cell>
        </row>
        <row r="15">
          <cell r="L15">
            <v>6</v>
          </cell>
        </row>
        <row r="17">
          <cell r="B17">
            <v>0.5</v>
          </cell>
          <cell r="D17">
            <v>1</v>
          </cell>
          <cell r="F17">
            <v>1</v>
          </cell>
          <cell r="H17">
            <v>2</v>
          </cell>
        </row>
        <row r="18">
          <cell r="B18">
            <v>1</v>
          </cell>
          <cell r="F18">
            <v>2</v>
          </cell>
          <cell r="H18">
            <v>3</v>
          </cell>
        </row>
        <row r="19">
          <cell r="B19">
            <v>1.5</v>
          </cell>
          <cell r="F19">
            <v>3</v>
          </cell>
          <cell r="H19">
            <v>5</v>
          </cell>
        </row>
        <row r="20">
          <cell r="B20">
            <v>2</v>
          </cell>
          <cell r="F20">
            <v>4</v>
          </cell>
        </row>
        <row r="21">
          <cell r="B21">
            <v>2.5</v>
          </cell>
          <cell r="F21">
            <v>5</v>
          </cell>
        </row>
        <row r="22">
          <cell r="B22">
            <v>3</v>
          </cell>
          <cell r="F22">
            <v>6</v>
          </cell>
        </row>
        <row r="23">
          <cell r="B23">
            <v>3.5</v>
          </cell>
          <cell r="F23">
            <v>7</v>
          </cell>
        </row>
        <row r="24">
          <cell r="B24">
            <v>4</v>
          </cell>
          <cell r="F24">
            <v>8</v>
          </cell>
        </row>
        <row r="25">
          <cell r="B25">
            <v>4.5</v>
          </cell>
          <cell r="F25">
            <v>9</v>
          </cell>
        </row>
        <row r="26">
          <cell r="B26">
            <v>5</v>
          </cell>
          <cell r="F26">
            <v>10</v>
          </cell>
        </row>
        <row r="30">
          <cell r="B30">
            <v>0.5</v>
          </cell>
          <cell r="D30">
            <v>2</v>
          </cell>
          <cell r="F30">
            <v>7</v>
          </cell>
        </row>
        <row r="31">
          <cell r="B31">
            <v>1</v>
          </cell>
          <cell r="D31">
            <v>4</v>
          </cell>
        </row>
        <row r="32">
          <cell r="B32">
            <v>1.5</v>
          </cell>
          <cell r="D32">
            <v>6</v>
          </cell>
        </row>
        <row r="33">
          <cell r="B33">
            <v>2</v>
          </cell>
          <cell r="D33">
            <v>8</v>
          </cell>
        </row>
        <row r="34">
          <cell r="B34">
            <v>2.5</v>
          </cell>
        </row>
        <row r="35">
          <cell r="B35">
            <v>3</v>
          </cell>
        </row>
        <row r="36">
          <cell r="B36">
            <v>3.5</v>
          </cell>
        </row>
        <row r="37">
          <cell r="B37">
            <v>4</v>
          </cell>
        </row>
        <row r="38">
          <cell r="B38">
            <v>4.5</v>
          </cell>
        </row>
        <row r="39">
          <cell r="B39">
            <v>5</v>
          </cell>
        </row>
        <row r="40">
          <cell r="B40">
            <v>5.5</v>
          </cell>
        </row>
        <row r="41">
          <cell r="B41">
            <v>6</v>
          </cell>
        </row>
        <row r="42">
          <cell r="B42">
            <v>6.5</v>
          </cell>
        </row>
        <row r="43">
          <cell r="B43">
            <v>7</v>
          </cell>
        </row>
        <row r="44">
          <cell r="B44">
            <v>7.5</v>
          </cell>
        </row>
        <row r="45">
          <cell r="B45">
            <v>8</v>
          </cell>
        </row>
        <row r="46">
          <cell r="B46">
            <v>8.5</v>
          </cell>
        </row>
        <row r="47">
          <cell r="B47">
            <v>9</v>
          </cell>
        </row>
        <row r="48">
          <cell r="B48">
            <v>9.5</v>
          </cell>
        </row>
        <row r="49">
          <cell r="B49">
            <v>10</v>
          </cell>
        </row>
      </sheetData>
      <sheetData sheetId="7"/>
      <sheetData sheetId="8"/>
      <sheetData sheetId="9"/>
      <sheetData sheetId="10">
        <row r="16">
          <cell r="F16">
            <v>46650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D2" t="str">
            <v>• Adams - 1 Point</v>
          </cell>
        </row>
        <row r="3">
          <cell r="D3" t="str">
            <v>• Asotin  - 1 Point</v>
          </cell>
        </row>
        <row r="4">
          <cell r="D4" t="str">
            <v>• Benton - 3 Points</v>
          </cell>
        </row>
        <row r="5">
          <cell r="D5" t="str">
            <v>• Chelan - 5 Points</v>
          </cell>
        </row>
        <row r="6">
          <cell r="D6" t="str">
            <v>• Clallam - 1 Point</v>
          </cell>
        </row>
        <row r="7">
          <cell r="D7" t="str">
            <v>• Clark - 5 Points</v>
          </cell>
        </row>
        <row r="8">
          <cell r="D8" t="str">
            <v>• Columbia - 1 Point</v>
          </cell>
        </row>
        <row r="9">
          <cell r="D9" t="str">
            <v>• Cowlitz - 5 Points</v>
          </cell>
        </row>
        <row r="10">
          <cell r="D10" t="str">
            <v>• Douglas - 1 Point</v>
          </cell>
        </row>
        <row r="11">
          <cell r="D11" t="str">
            <v>• Ferry - 1 Point</v>
          </cell>
        </row>
        <row r="12">
          <cell r="D12" t="str">
            <v>• Franklin - 3 Points</v>
          </cell>
        </row>
        <row r="13">
          <cell r="D13" t="str">
            <v>• Garfield - 1 Point</v>
          </cell>
        </row>
        <row r="14">
          <cell r="D14" t="str">
            <v>• Grant - 3 Points</v>
          </cell>
        </row>
        <row r="15">
          <cell r="D15" t="str">
            <v>• Grays Harbor - 3 Points</v>
          </cell>
        </row>
        <row r="16">
          <cell r="D16" t="str">
            <v>• Island - 1 Point</v>
          </cell>
        </row>
        <row r="17">
          <cell r="D17" t="str">
            <v>• Jefferson - 1 Point</v>
          </cell>
        </row>
        <row r="18">
          <cell r="D18" t="str">
            <v>• King - 10 Points</v>
          </cell>
        </row>
        <row r="19">
          <cell r="D19" t="str">
            <v>• Kitsap - 5 Points</v>
          </cell>
        </row>
        <row r="20">
          <cell r="D20" t="str">
            <v>• Kittitas - 5 Points</v>
          </cell>
        </row>
        <row r="21">
          <cell r="D21" t="str">
            <v>• Klickitat - 1 Point</v>
          </cell>
        </row>
        <row r="22">
          <cell r="D22" t="str">
            <v>• Lewis - 3 Points</v>
          </cell>
        </row>
        <row r="23">
          <cell r="D23" t="str">
            <v>• Lincoln - 1 Point</v>
          </cell>
        </row>
        <row r="24">
          <cell r="D24" t="str">
            <v>• Mason - 1 Point</v>
          </cell>
        </row>
        <row r="25">
          <cell r="D25" t="str">
            <v>• Okanogan - 3 Points</v>
          </cell>
        </row>
        <row r="26">
          <cell r="D26" t="str">
            <v>• Pacific - 1 Point</v>
          </cell>
        </row>
        <row r="27">
          <cell r="D27" t="str">
            <v>• Pend Oreille - 1 Point</v>
          </cell>
        </row>
        <row r="28">
          <cell r="D28" t="str">
            <v>• Pierce - 7 Points</v>
          </cell>
        </row>
        <row r="29">
          <cell r="D29" t="str">
            <v>• San Juan - 1 Point</v>
          </cell>
        </row>
        <row r="30">
          <cell r="D30" t="str">
            <v>• Skagit - 3 Points</v>
          </cell>
        </row>
        <row r="31">
          <cell r="D31" t="str">
            <v>• Skamania - 1 Point</v>
          </cell>
        </row>
        <row r="32">
          <cell r="D32" t="str">
            <v>• Snohomish - 5 Points</v>
          </cell>
        </row>
        <row r="33">
          <cell r="D33" t="str">
            <v>• Spokane - 7 Points</v>
          </cell>
        </row>
        <row r="34">
          <cell r="D34" t="str">
            <v>• Stevens - 1 Point</v>
          </cell>
        </row>
        <row r="35">
          <cell r="D35" t="str">
            <v>• Thurston - 5 Points</v>
          </cell>
        </row>
        <row r="36">
          <cell r="D36" t="str">
            <v>• Wahkiakum - 1 Point</v>
          </cell>
        </row>
        <row r="37">
          <cell r="D37" t="str">
            <v>• Walla Walla - 5 Points</v>
          </cell>
        </row>
        <row r="38">
          <cell r="D38" t="str">
            <v>• Whatcom - 5 Points</v>
          </cell>
        </row>
        <row r="39">
          <cell r="D39" t="str">
            <v>• Whitman - 5 Points</v>
          </cell>
        </row>
        <row r="40">
          <cell r="D40" t="str">
            <v>• Yakima - 5 Points</v>
          </cell>
        </row>
        <row r="50">
          <cell r="D50" t="str">
            <v>No points Taken</v>
          </cell>
        </row>
        <row r="51">
          <cell r="D51" t="str">
            <v>• 75% of the Total Housing Units as Housing for the Homeless (Homeless Option C)</v>
          </cell>
        </row>
        <row r="52">
          <cell r="D52" t="str">
            <v xml:space="preserve">• 75% of the Total Housing Units as Low-Income Housing Units for Farmworkers </v>
          </cell>
        </row>
        <row r="55">
          <cell r="D55" t="str">
            <v>No points Taken</v>
          </cell>
        </row>
        <row r="56">
          <cell r="D56" t="str">
            <v>• 20% of the Total Housing Units for Large Households</v>
          </cell>
        </row>
        <row r="57">
          <cell r="D57" t="str">
            <v>• 20% of the Total Housing Units as Housing for Persons with Disabilities</v>
          </cell>
        </row>
        <row r="58">
          <cell r="D58" t="str">
            <v>• Elderly Housing Project</v>
          </cell>
        </row>
        <row r="59">
          <cell r="D59" t="str">
            <v>• 20% of the Total Housing Units as Housing for the Homeless (Homeless Option A)</v>
          </cell>
        </row>
        <row r="60">
          <cell r="D60" t="str">
            <v>• 20% of the Total Housing Units as Transitional Housing (Homeless Option B)</v>
          </cell>
        </row>
        <row r="62">
          <cell r="D62" t="str">
            <v>No Points Taken</v>
          </cell>
        </row>
        <row r="63">
          <cell r="D63" t="str">
            <v>• 10% of the Total Housing Units for Large Households</v>
          </cell>
        </row>
        <row r="64">
          <cell r="D64" t="str">
            <v>• 10% of the Total Housing Units as Housing for Persons with Disabilities</v>
          </cell>
        </row>
        <row r="65">
          <cell r="D65" t="str">
            <v>• 10% of the Total Housing Units as Housing for the Homeless (Homeless Option A)</v>
          </cell>
        </row>
        <row r="66">
          <cell r="D66" t="str">
            <v>• 10% of the Total Housing Units as Transitional Housing (Homeless Option B)</v>
          </cell>
        </row>
        <row r="70">
          <cell r="D70" t="str">
            <v>• 10% - 10 Points</v>
          </cell>
        </row>
        <row r="71">
          <cell r="D71" t="str">
            <v>• 11 % - 8 Points</v>
          </cell>
        </row>
        <row r="72">
          <cell r="D72" t="str">
            <v>• 12 % - 6 Points</v>
          </cell>
        </row>
        <row r="73">
          <cell r="D73" t="str">
            <v>• 13 % - 4 Points</v>
          </cell>
        </row>
        <row r="74">
          <cell r="D74" t="str">
            <v>• 14 % - 2 Points</v>
          </cell>
        </row>
        <row r="75">
          <cell r="D75" t="str">
            <v>• ≥ 15 % - 0 Points</v>
          </cell>
        </row>
        <row r="83">
          <cell r="D83" t="str">
            <v>• Not a Targeted Area</v>
          </cell>
        </row>
        <row r="84">
          <cell r="D84" t="str">
            <v>• Difficult to Develop Area (DDA) - Five Points</v>
          </cell>
        </row>
        <row r="85">
          <cell r="D85" t="str">
            <v>• Qualified Census Tract (QCT) - Five Points</v>
          </cell>
        </row>
        <row r="86">
          <cell r="D86" t="str">
            <v>• Approved by goverining body or CEO of jurisdiction and approved by WSHFC - Five Points</v>
          </cell>
        </row>
        <row r="87">
          <cell r="D87" t="str">
            <v>• Yes - 2 Points</v>
          </cell>
        </row>
        <row r="88">
          <cell r="D88" t="str">
            <v>• No</v>
          </cell>
        </row>
        <row r="90">
          <cell r="D90" t="str">
            <v>• 30%</v>
          </cell>
        </row>
        <row r="91">
          <cell r="D91" t="str">
            <v>• 40%</v>
          </cell>
        </row>
        <row r="92">
          <cell r="D92" t="str">
            <v>• 50%</v>
          </cell>
        </row>
        <row r="93">
          <cell r="D93" t="str">
            <v>• 60%</v>
          </cell>
        </row>
      </sheetData>
      <sheetData sheetId="29">
        <row r="10">
          <cell r="C10" t="str">
            <v xml:space="preserve">Grant </v>
          </cell>
        </row>
        <row r="11">
          <cell r="C11" t="str">
            <v>Loan</v>
          </cell>
        </row>
        <row r="16">
          <cell r="C16" t="str">
            <v>Public</v>
          </cell>
        </row>
        <row r="17">
          <cell r="C17" t="str">
            <v>Private</v>
          </cell>
        </row>
        <row r="36">
          <cell r="C36" t="str">
            <v>30%</v>
          </cell>
        </row>
        <row r="37">
          <cell r="C37" t="str">
            <v>40%</v>
          </cell>
        </row>
        <row r="38">
          <cell r="C38" t="str">
            <v>50%</v>
          </cell>
        </row>
        <row r="39">
          <cell r="C39" t="str">
            <v>60%</v>
          </cell>
        </row>
        <row r="40">
          <cell r="C40" t="str">
            <v>80%</v>
          </cell>
        </row>
        <row r="42">
          <cell r="C42" t="str">
            <v>Yes or No</v>
          </cell>
        </row>
        <row r="43">
          <cell r="C43" t="str">
            <v>Yes</v>
          </cell>
        </row>
        <row r="44">
          <cell r="C44" t="str">
            <v>No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A"/>
      <sheetName val="Form 1B"/>
      <sheetName val="Under_the_Hood"/>
      <sheetName val="Form 1C"/>
      <sheetName val="Form 1D"/>
      <sheetName val="Form 2A (Rural-NC)"/>
      <sheetName val="Form 2A (Rural-Rehab)"/>
      <sheetName val="Form 2B (Urban-NC)"/>
      <sheetName val="Form 2B (Urban-Rehab)"/>
      <sheetName val="Form 4"/>
      <sheetName val="Form 5"/>
      <sheetName val="Form 6A"/>
      <sheetName val="Form 6B"/>
      <sheetName val="Form 6C"/>
      <sheetName val="Form 6D"/>
      <sheetName val="Form 6E"/>
      <sheetName val="Form 7"/>
      <sheetName val="Form 8A "/>
      <sheetName val="Form 8B"/>
      <sheetName val="Form 8C"/>
      <sheetName val="ProForma At-A-Glance"/>
      <sheetName val="Form 8D"/>
      <sheetName val="Form 8E"/>
      <sheetName val="Form 9A"/>
      <sheetName val="Form 9B"/>
      <sheetName val="Form 9C"/>
      <sheetName val="Form 9D"/>
      <sheetName val="Form 9E"/>
      <sheetName val="Form 10"/>
      <sheetName val="Form 11"/>
      <sheetName val="LIHTC_ScoringLists"/>
      <sheetName val="HTF Rollup"/>
    </sheetNames>
    <sheetDataSet>
      <sheetData sheetId="0">
        <row r="10">
          <cell r="C10" t="str">
            <v>Enter Sponsor Name by Overtyping Here</v>
          </cell>
        </row>
      </sheetData>
      <sheetData sheetId="1">
        <row r="36">
          <cell r="I36">
            <v>0</v>
          </cell>
        </row>
      </sheetData>
      <sheetData sheetId="2">
        <row r="10">
          <cell r="C10" t="str">
            <v xml:space="preserve">Grant </v>
          </cell>
        </row>
        <row r="54">
          <cell r="C54" t="str">
            <v>General (no Special Needs)</v>
          </cell>
        </row>
        <row r="55">
          <cell r="C55" t="str">
            <v>Developmentally disabled</v>
          </cell>
        </row>
        <row r="56">
          <cell r="C56" t="str">
            <v>HIV/AIDS</v>
          </cell>
        </row>
        <row r="57">
          <cell r="C57" t="str">
            <v>Domestic violence</v>
          </cell>
        </row>
        <row r="58">
          <cell r="C58" t="str">
            <v>Substance abuse</v>
          </cell>
        </row>
        <row r="59">
          <cell r="C59" t="str">
            <v>Chronically mentally ill</v>
          </cell>
        </row>
        <row r="60">
          <cell r="C60" t="str">
            <v xml:space="preserve">Multiple special needs </v>
          </cell>
        </row>
        <row r="61">
          <cell r="C61" t="str">
            <v>Physically disabled</v>
          </cell>
        </row>
        <row r="62">
          <cell r="C62" t="str">
            <v>Youth under 18</v>
          </cell>
        </row>
        <row r="63">
          <cell r="C63" t="str">
            <v>Youth 18–24</v>
          </cell>
        </row>
        <row r="64">
          <cell r="C64" t="str">
            <v>Veteran</v>
          </cell>
        </row>
        <row r="65">
          <cell r="C65" t="str">
            <v xml:space="preserve">Other </v>
          </cell>
        </row>
        <row r="74">
          <cell r="C74" t="str">
            <v>X</v>
          </cell>
        </row>
        <row r="81">
          <cell r="C81" t="str">
            <v>Yes</v>
          </cell>
        </row>
        <row r="82">
          <cell r="C82" t="str">
            <v>Yes, ADA-Compliant</v>
          </cell>
        </row>
        <row r="83">
          <cell r="C83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G20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Select Higher Income County</v>
          </cell>
        </row>
        <row r="3">
          <cell r="B3" t="str">
            <v>Not located in a Higher Income County</v>
          </cell>
        </row>
        <row r="4">
          <cell r="B4" t="str">
            <v>Benton</v>
          </cell>
        </row>
        <row r="5">
          <cell r="B5" t="str">
            <v>Clark</v>
          </cell>
        </row>
        <row r="6">
          <cell r="B6" t="str">
            <v>Franklin</v>
          </cell>
        </row>
        <row r="7">
          <cell r="B7" t="str">
            <v>Island</v>
          </cell>
        </row>
        <row r="8">
          <cell r="B8" t="str">
            <v>King</v>
          </cell>
        </row>
        <row r="9">
          <cell r="B9" t="str">
            <v>Kitsap</v>
          </cell>
        </row>
        <row r="10">
          <cell r="B10" t="str">
            <v xml:space="preserve">Pierce </v>
          </cell>
        </row>
        <row r="11">
          <cell r="B11" t="str">
            <v>San Juan</v>
          </cell>
        </row>
        <row r="12">
          <cell r="B12" t="str">
            <v>Skagit</v>
          </cell>
        </row>
        <row r="13">
          <cell r="B13" t="str">
            <v>Skamania</v>
          </cell>
        </row>
        <row r="14">
          <cell r="B14" t="str">
            <v>Snohomish</v>
          </cell>
        </row>
        <row r="15">
          <cell r="B15" t="str">
            <v>Thurston</v>
          </cell>
        </row>
        <row r="16">
          <cell r="B16" t="str">
            <v>Whatcom</v>
          </cell>
        </row>
        <row r="18">
          <cell r="B18" t="str">
            <v>None</v>
          </cell>
        </row>
        <row r="19">
          <cell r="B19" t="str">
            <v>Option 1:  50% @ 30% AMI, 25% @ 40% AMI, 25% @ 60% AMI (60 Points)</v>
          </cell>
        </row>
        <row r="20">
          <cell r="B20" t="str">
            <v>Option 2:  50% @ 30% AMI, 50% @ 50% AMI (60 Points)</v>
          </cell>
        </row>
        <row r="21">
          <cell r="B21" t="str">
            <v>Option 3:  50% @ 30% AMI, 30% @ 50% AMI, 20% @ 60% AMI (58 Points)</v>
          </cell>
        </row>
        <row r="22">
          <cell r="B22" t="str">
            <v>Option 4:  40% @ 30% AMI, 60% @ 50% AMI (58 Points)</v>
          </cell>
        </row>
        <row r="23">
          <cell r="B23" t="str">
            <v>Option 5:  40% @ 30%, 30% @ 40% AMI, 30% @ 60% AMI (58 Points)</v>
          </cell>
        </row>
        <row r="24">
          <cell r="B24" t="str">
            <v>Option 6:  Not Available in Higher Income Counties</v>
          </cell>
        </row>
        <row r="25">
          <cell r="B25" t="str">
            <v>Option 7:  25% @ 30% AMI, 25% @ 40% AMI, 50% @ 50% AMI (56 Points)</v>
          </cell>
        </row>
        <row r="26">
          <cell r="B26" t="str">
            <v>Option 8:  25% @ 30% AMI, 50% @ 40% AMI, 25% @ 60% AMI (56 Points)</v>
          </cell>
        </row>
        <row r="27">
          <cell r="B27" t="str">
            <v>Option 9:  50% @ 30% AMI, 25% @ 50% AMI, 25% @ 60% AMI (56 Points)</v>
          </cell>
        </row>
        <row r="28">
          <cell r="B28" t="str">
            <v>Option 10:  50% @ 30% AMI, 10% @ 40% AMI, 40% @ 60% AMI (54 Points)</v>
          </cell>
        </row>
        <row r="29">
          <cell r="B29" t="str">
            <v>Option 11:  40% @ 30a5 ami, 50% @ 50% AMI, 10% @ 60% AMI (54 Points)</v>
          </cell>
        </row>
        <row r="30">
          <cell r="B30" t="str">
            <v>Option 12:  Not Available in Higher Income Counties</v>
          </cell>
        </row>
        <row r="31">
          <cell r="B31" t="str">
            <v>Option 13:  40% @ 30% AMI, 40% @ 50% AMI, 20% @ 60% AMI (52 Points)</v>
          </cell>
        </row>
        <row r="32">
          <cell r="B32" t="str">
            <v>Option 14:  40% @ 30% AMI, 20% @ 40% AMI, 40% @ 60% AMI (52 Points)</v>
          </cell>
        </row>
        <row r="33">
          <cell r="B33" t="str">
            <v>Option 15:  50% @ 30% AMI, 50% @ 60% AMI (50 Points)</v>
          </cell>
        </row>
        <row r="34">
          <cell r="B34" t="str">
            <v>Option 16:  25% @ 30% AMI, 75% @ 50% AMI (50 Points)</v>
          </cell>
        </row>
        <row r="35">
          <cell r="B35" t="str">
            <v>Option 17:  40% @ 30% AMI, 30@ 50% AMI, 30% @ 60% AMI (50 Points)</v>
          </cell>
        </row>
        <row r="36">
          <cell r="B36" t="str">
            <v>Option 18:  Not Available in Higher Income Counties</v>
          </cell>
        </row>
        <row r="37">
          <cell r="B37" t="str">
            <v>Option 19:  Not Available in Higher Income Counties</v>
          </cell>
        </row>
        <row r="38">
          <cell r="B38" t="str">
            <v>Option 20:  Not Available in Higher Income Counties</v>
          </cell>
        </row>
        <row r="40">
          <cell r="B40" t="str">
            <v>Select Lower Income County</v>
          </cell>
        </row>
        <row r="41">
          <cell r="B41" t="str">
            <v>Not located in a Lower Income County</v>
          </cell>
        </row>
        <row r="42">
          <cell r="B42" t="str">
            <v>Adams</v>
          </cell>
        </row>
        <row r="43">
          <cell r="B43" t="str">
            <v>Asotin</v>
          </cell>
        </row>
        <row r="44">
          <cell r="B44" t="str">
            <v>Chelan</v>
          </cell>
        </row>
        <row r="45">
          <cell r="B45" t="str">
            <v>Clallam</v>
          </cell>
        </row>
        <row r="46">
          <cell r="B46" t="str">
            <v>Columbia</v>
          </cell>
        </row>
        <row r="47">
          <cell r="B47" t="str">
            <v>Cowlitz</v>
          </cell>
        </row>
        <row r="48">
          <cell r="B48" t="str">
            <v>Douglas</v>
          </cell>
        </row>
        <row r="49">
          <cell r="B49" t="str">
            <v>Ferry</v>
          </cell>
        </row>
        <row r="50">
          <cell r="B50" t="str">
            <v>Garfield</v>
          </cell>
        </row>
        <row r="51">
          <cell r="B51" t="str">
            <v>Grant</v>
          </cell>
        </row>
        <row r="52">
          <cell r="B52" t="str">
            <v>Grays Harbor</v>
          </cell>
        </row>
        <row r="53">
          <cell r="B53" t="str">
            <v>Jefferson</v>
          </cell>
        </row>
        <row r="54">
          <cell r="B54" t="str">
            <v>Kittitas</v>
          </cell>
        </row>
        <row r="55">
          <cell r="B55" t="str">
            <v>Klickitat</v>
          </cell>
        </row>
        <row r="56">
          <cell r="B56" t="str">
            <v>Lewis</v>
          </cell>
        </row>
        <row r="57">
          <cell r="B57" t="str">
            <v>Lincoln</v>
          </cell>
        </row>
        <row r="58">
          <cell r="B58" t="str">
            <v>Mason</v>
          </cell>
        </row>
        <row r="59">
          <cell r="B59" t="str">
            <v>Okanogan</v>
          </cell>
        </row>
        <row r="60">
          <cell r="B60" t="str">
            <v>Pacific</v>
          </cell>
        </row>
        <row r="61">
          <cell r="B61" t="str">
            <v>Pend Oreille</v>
          </cell>
        </row>
        <row r="62">
          <cell r="B62" t="str">
            <v>Spokane</v>
          </cell>
        </row>
        <row r="63">
          <cell r="B63" t="str">
            <v>Stevens</v>
          </cell>
        </row>
        <row r="64">
          <cell r="B64" t="str">
            <v>Wahkiakum</v>
          </cell>
        </row>
        <row r="65">
          <cell r="B65" t="str">
            <v>Walla Walla</v>
          </cell>
        </row>
        <row r="66">
          <cell r="B66" t="str">
            <v>Whitman</v>
          </cell>
        </row>
        <row r="67">
          <cell r="B67" t="str">
            <v>Yakima</v>
          </cell>
        </row>
        <row r="69">
          <cell r="B69" t="str">
            <v>None</v>
          </cell>
        </row>
        <row r="70">
          <cell r="B70" t="str">
            <v>Option 1:  Not Available in Lower Income Counties</v>
          </cell>
        </row>
        <row r="71">
          <cell r="B71" t="str">
            <v>Option 2:  Not Available in Lower Income Counties</v>
          </cell>
        </row>
        <row r="72">
          <cell r="B72" t="str">
            <v>Option 3:  Not Available in Lower Income Counties</v>
          </cell>
        </row>
        <row r="73">
          <cell r="B73" t="str">
            <v>Option 4:  40% @ 30% AMI, 60% @ 50% AMI (60 Points)</v>
          </cell>
        </row>
        <row r="74">
          <cell r="B74" t="str">
            <v>Option 5:  40% @ 30%, 30% @ 40% AMI, 30% @ 60% AMI (60 Points)</v>
          </cell>
        </row>
        <row r="75">
          <cell r="B75" t="str">
            <v>Option 6:  10% @ 30% AMI, 60% @ 40% AMI, 30% @ 50% AMI (60 Points)</v>
          </cell>
        </row>
        <row r="76">
          <cell r="B76" t="str">
            <v>Option 7:  25% @ 30% AMI, 25% @ 40% AMI, 50% @ 50% AMI (58 Points)</v>
          </cell>
        </row>
        <row r="77">
          <cell r="B77" t="str">
            <v>Option 8:  25% @ 30% AMI, 50% @ 40% AMI, 25% @ 60% AMI (58 Points)</v>
          </cell>
        </row>
        <row r="78">
          <cell r="B78" t="str">
            <v>Option 9:  Not Available in Lower Income Counties</v>
          </cell>
        </row>
        <row r="79">
          <cell r="B79" t="str">
            <v>Option 10:  Not Available in Lower Income Counties</v>
          </cell>
        </row>
        <row r="80">
          <cell r="B80" t="str">
            <v>Option 11:  40% @ 30% AMI, 50% @ 50% AMI, 10% @ 60% AMI (56 Points)</v>
          </cell>
        </row>
        <row r="81">
          <cell r="B81" t="str">
            <v>Option 12:  10% @ 30% AMI, 50% @ 40% AMI, 40% @ 50% AMI (56 Points)</v>
          </cell>
        </row>
        <row r="82">
          <cell r="B82" t="str">
            <v>Option 13:  40% @ 30% AMI, 40% @ 50% AMI, 20% @ 60% AMI (54 Points)</v>
          </cell>
        </row>
        <row r="83">
          <cell r="B83" t="str">
            <v>Option 14:  40% @ 30% AMI, 20% @ 40% AMI, 40% @ 60% AMI (54 Points)</v>
          </cell>
        </row>
        <row r="84">
          <cell r="B84" t="str">
            <v>Option 15:  Not Available in Lower Income Counties</v>
          </cell>
        </row>
        <row r="85">
          <cell r="B85" t="str">
            <v>Option 16:  25% @ 30% AMI, 75% @ 50% AMI (52 Points)</v>
          </cell>
        </row>
        <row r="86">
          <cell r="B86" t="str">
            <v>Option 17:  40% @ 30% AMI, 30@ 50% AMI, 30% @ 60% AMI (52 Points)</v>
          </cell>
        </row>
        <row r="87">
          <cell r="B87" t="str">
            <v>Option 18:  10% @ 30% AMI, 60% @ 40% AMI, 30% @ 60% AMI (52 Points)</v>
          </cell>
        </row>
        <row r="88">
          <cell r="B88" t="str">
            <v>Option 19:  50% @ 40% AMI, 50% @ 50% AMI (52 Points)</v>
          </cell>
        </row>
        <row r="89">
          <cell r="B89" t="str">
            <v>Option 20:  40% @ 40% AMI, 60% @ 50% AMI (50 Points)</v>
          </cell>
        </row>
        <row r="102">
          <cell r="B102" t="str">
            <v>No Points Taken</v>
          </cell>
        </row>
        <row r="103">
          <cell r="B103" t="str">
            <v>• 1 year - 2 points</v>
          </cell>
        </row>
        <row r="104">
          <cell r="B104" t="str">
            <v>• 2 years - 4 points</v>
          </cell>
        </row>
        <row r="105">
          <cell r="B105" t="str">
            <v>• 3 years - 6 points</v>
          </cell>
        </row>
        <row r="106">
          <cell r="B106" t="str">
            <v>• 4 years - 8 points</v>
          </cell>
        </row>
        <row r="107">
          <cell r="B107" t="str">
            <v>• 5 years - 10 points</v>
          </cell>
        </row>
        <row r="108">
          <cell r="B108" t="str">
            <v>• 6 years - 12 points</v>
          </cell>
        </row>
        <row r="109">
          <cell r="B109" t="str">
            <v>• 7 years - 14 points</v>
          </cell>
        </row>
        <row r="110">
          <cell r="B110" t="str">
            <v>• 8 years - 16 points</v>
          </cell>
        </row>
        <row r="111">
          <cell r="B111" t="str">
            <v>• 9 years - 18 points</v>
          </cell>
        </row>
        <row r="112">
          <cell r="B112" t="str">
            <v>• 10 years - 20 points</v>
          </cell>
        </row>
        <row r="113">
          <cell r="B113" t="str">
            <v>• 11 years - 22 points</v>
          </cell>
        </row>
        <row r="114">
          <cell r="B114" t="str">
            <v>• 12 years - 24 points</v>
          </cell>
        </row>
        <row r="115">
          <cell r="B115" t="str">
            <v>• 13 years -  26 points</v>
          </cell>
        </row>
        <row r="116">
          <cell r="B116" t="str">
            <v>• 14 years - 28 points</v>
          </cell>
        </row>
        <row r="117">
          <cell r="B117" t="str">
            <v>• 15 years - 30 points</v>
          </cell>
        </row>
        <row r="118">
          <cell r="B118" t="str">
            <v>• 16 years - 32 points</v>
          </cell>
        </row>
        <row r="119">
          <cell r="B119" t="str">
            <v>• 17 years - 34 points</v>
          </cell>
        </row>
        <row r="120">
          <cell r="B120" t="str">
            <v>• 18 years - 36 points</v>
          </cell>
        </row>
        <row r="121">
          <cell r="B121" t="str">
            <v>• 19 years - 38 points</v>
          </cell>
        </row>
        <row r="122">
          <cell r="B122" t="str">
            <v>• 20 years - 40 points</v>
          </cell>
        </row>
        <row r="123">
          <cell r="B123" t="str">
            <v>• 21 years - 42 points</v>
          </cell>
        </row>
        <row r="124">
          <cell r="B124" t="str">
            <v>• 22 years - 44 points</v>
          </cell>
        </row>
        <row r="126">
          <cell r="B126" t="str">
            <v>No Points Taken</v>
          </cell>
        </row>
        <row r="127">
          <cell r="B127" t="str">
            <v>75% of Total Housing Units as Supportive Housing for the Homeless - 35 Points</v>
          </cell>
        </row>
        <row r="130">
          <cell r="B130" t="str">
            <v>No Points Taken</v>
          </cell>
        </row>
        <row r="131">
          <cell r="B131" t="str">
            <v>• 20% of the Total Housing Units for Farmworkers - 10 Points</v>
          </cell>
        </row>
        <row r="132">
          <cell r="B132" t="str">
            <v>• 20% of the Total Housing Units for Large Households - 10 Points</v>
          </cell>
        </row>
        <row r="133">
          <cell r="B133" t="str">
            <v>• 20% of the Total Housing Units as Housing for Persons with Disabilities - 10 Points</v>
          </cell>
        </row>
        <row r="134">
          <cell r="B134" t="str">
            <v>• 20% of the Total Housing Units as Permanent Housing for the Homeless - 10 Points</v>
          </cell>
        </row>
        <row r="135">
          <cell r="B135" t="str">
            <v>• 20% of the Total Housing Units as Transitional Housing for the Homeless - 10 Points</v>
          </cell>
        </row>
        <row r="136">
          <cell r="B136" t="str">
            <v>• Elderly Housing Project:  Residents 62 or older - 10 Points</v>
          </cell>
        </row>
        <row r="137">
          <cell r="B137" t="str">
            <v>• Elderly Housing Project:  Residents 55 or older - 10 Points</v>
          </cell>
        </row>
        <row r="138">
          <cell r="B138" t="str">
            <v>• Elderly Housing Project: RD Section 515 program or a HUD elderly program - 10 Points</v>
          </cell>
        </row>
        <row r="140">
          <cell r="B140" t="str">
            <v>Select location</v>
          </cell>
        </row>
        <row r="141">
          <cell r="B141" t="str">
            <v>King County</v>
          </cell>
        </row>
        <row r="142">
          <cell r="B142" t="str">
            <v>Clark County</v>
          </cell>
        </row>
        <row r="143">
          <cell r="B143" t="str">
            <v>Pierce County</v>
          </cell>
        </row>
        <row r="144">
          <cell r="B144" t="str">
            <v>Spokane County</v>
          </cell>
        </row>
        <row r="145">
          <cell r="B145" t="str">
            <v>Snohomish County</v>
          </cell>
        </row>
        <row r="146">
          <cell r="B146" t="str">
            <v>Whatcom County</v>
          </cell>
        </row>
        <row r="147">
          <cell r="B147" t="str">
            <v>a Non-Metro County.  This project is not eligible for these points.</v>
          </cell>
        </row>
        <row r="171">
          <cell r="B171" t="str">
            <v>None</v>
          </cell>
        </row>
        <row r="172">
          <cell r="B172" t="str">
            <v>HUD 202</v>
          </cell>
        </row>
        <row r="173">
          <cell r="B173" t="str">
            <v>HUD 811</v>
          </cell>
        </row>
        <row r="174">
          <cell r="B174" t="str">
            <v>USDA 514</v>
          </cell>
        </row>
        <row r="175">
          <cell r="B175" t="str">
            <v>USDA 515</v>
          </cell>
        </row>
        <row r="176">
          <cell r="B176" t="str">
            <v>Other federal source preapproved by the Commission</v>
          </cell>
        </row>
        <row r="177">
          <cell r="B177" t="str">
            <v>NAHASDA Indian Housing Block Grant - NON-METRO COUNTIES ONLY</v>
          </cell>
        </row>
        <row r="179">
          <cell r="B179" t="str">
            <v>King County and has selected #4 above.</v>
          </cell>
        </row>
        <row r="180">
          <cell r="B180" t="str">
            <v>a Metro or Non-Metro County.</v>
          </cell>
        </row>
        <row r="181">
          <cell r="B181" t="str">
            <v>King County, has not selected #4 and is not eligible for these points.</v>
          </cell>
        </row>
        <row r="197">
          <cell r="B197" t="str">
            <v>Not a Historic property</v>
          </cell>
        </row>
        <row r="198">
          <cell r="B198" t="str">
            <v>Listed, or determined eligible for listing, in the National Register of Historic Places</v>
          </cell>
        </row>
        <row r="199">
          <cell r="B199" t="str">
            <v xml:space="preserve">Located in a registered Historic District </v>
          </cell>
        </row>
        <row r="201">
          <cell r="B201" t="str">
            <v>Chehalis - Non-Metro (3 Points)</v>
          </cell>
        </row>
        <row r="202">
          <cell r="B202" t="str">
            <v>Colville - Non-Metro (3 Points)</v>
          </cell>
        </row>
        <row r="203">
          <cell r="B203" t="str">
            <v>Hoh - Non-Metro (3 Points)</v>
          </cell>
        </row>
        <row r="204">
          <cell r="B204" t="str">
            <v>Kalispel - Non-Metro (3 Points)</v>
          </cell>
        </row>
        <row r="205">
          <cell r="B205" t="str">
            <v>Lower Elwha - Non-Metro (3 Points)</v>
          </cell>
        </row>
        <row r="206">
          <cell r="B206" t="str">
            <v>Makah - Non-Metro (3 Points)</v>
          </cell>
        </row>
        <row r="207">
          <cell r="B207" t="str">
            <v>Nooksack - Metro (5 Points)</v>
          </cell>
        </row>
        <row r="208">
          <cell r="B208" t="str">
            <v>Quileute - Non-Metro (3 Points)</v>
          </cell>
        </row>
        <row r="209">
          <cell r="B209" t="str">
            <v>Quinault - Non-Metro (3 Points)</v>
          </cell>
        </row>
        <row r="210">
          <cell r="B210" t="str">
            <v>Skokomish - Non-Metro (3 Points)</v>
          </cell>
        </row>
        <row r="211">
          <cell r="B211" t="str">
            <v>Spokane - Non-Metro (3 Points)</v>
          </cell>
        </row>
        <row r="212">
          <cell r="B212" t="str">
            <v>Squaxin Island - Non-Metro (3 Points)</v>
          </cell>
        </row>
        <row r="213">
          <cell r="B213" t="str">
            <v>Upper Skagit - Non-Metro (3 Points)</v>
          </cell>
        </row>
        <row r="214">
          <cell r="B214" t="str">
            <v>Yakama - Non-Metro (3 Points)</v>
          </cell>
        </row>
        <row r="216">
          <cell r="B216" t="str">
            <v>No Points Taken</v>
          </cell>
        </row>
        <row r="217">
          <cell r="B217" t="str">
            <v>Urban:  with 1/4 mile of 3 services and within 1/2 mile of a grocery store</v>
          </cell>
        </row>
        <row r="218">
          <cell r="B218" t="str">
            <v>Urban:  with 1/2 mile of 5 services and with 1/2 mile of a grocery store</v>
          </cell>
        </row>
        <row r="219">
          <cell r="B219" t="str">
            <v>Rural:  with 2 miles of 4 services, one of which is a grocery store</v>
          </cell>
        </row>
        <row r="221">
          <cell r="B221" t="str">
            <v>King County and in a TOD location.</v>
          </cell>
        </row>
        <row r="222">
          <cell r="B222" t="str">
            <v>a Metro County.  This project is not eligible for these points.</v>
          </cell>
        </row>
        <row r="223">
          <cell r="B223" t="str">
            <v>a Non-Metro County.  This project is not eligible for these points.</v>
          </cell>
        </row>
        <row r="225">
          <cell r="B225" t="str">
            <v>Select Location</v>
          </cell>
        </row>
        <row r="226">
          <cell r="B226" t="str">
            <v>in</v>
          </cell>
        </row>
        <row r="227">
          <cell r="B227" t="str">
            <v>in a Metro County and within 5 miles of</v>
          </cell>
        </row>
        <row r="228">
          <cell r="B228" t="str">
            <v>in a Non-Metro County and within 10 miles of</v>
          </cell>
        </row>
        <row r="229">
          <cell r="B229" t="str">
            <v>in King County and is not eligible for these points.</v>
          </cell>
        </row>
        <row r="231">
          <cell r="B231" t="str">
            <v>Select Job Growth Place</v>
          </cell>
        </row>
        <row r="232">
          <cell r="B232" t="str">
            <v>Airway Heights</v>
          </cell>
        </row>
        <row r="233">
          <cell r="B233" t="str">
            <v>Bainbridge Island</v>
          </cell>
        </row>
        <row r="234">
          <cell r="B234" t="str">
            <v>Battle Ground</v>
          </cell>
        </row>
        <row r="235">
          <cell r="B235" t="str">
            <v>Blaine</v>
          </cell>
        </row>
        <row r="236">
          <cell r="B236" t="str">
            <v>Bonney Lake</v>
          </cell>
        </row>
        <row r="237">
          <cell r="B237" t="str">
            <v>Bothell</v>
          </cell>
        </row>
        <row r="238">
          <cell r="B238" t="str">
            <v>Chehalis</v>
          </cell>
        </row>
        <row r="239">
          <cell r="B239" t="str">
            <v>Cheney</v>
          </cell>
        </row>
        <row r="240">
          <cell r="B240" t="str">
            <v>Clarkston</v>
          </cell>
        </row>
        <row r="241">
          <cell r="B241" t="str">
            <v>East Port Orchard CDP</v>
          </cell>
        </row>
        <row r="242">
          <cell r="B242" t="str">
            <v>Ellensburg</v>
          </cell>
        </row>
        <row r="243">
          <cell r="B243" t="str">
            <v>Ephrata</v>
          </cell>
        </row>
        <row r="244">
          <cell r="B244" t="str">
            <v>Everett</v>
          </cell>
        </row>
        <row r="245">
          <cell r="B245" t="str">
            <v>Fairwood</v>
          </cell>
        </row>
        <row r="246">
          <cell r="B246" t="str">
            <v>Ferndale</v>
          </cell>
        </row>
        <row r="247">
          <cell r="B247" t="str">
            <v>Fife</v>
          </cell>
        </row>
        <row r="248">
          <cell r="B248" t="str">
            <v>Five Corners</v>
          </cell>
        </row>
        <row r="249">
          <cell r="B249" t="str">
            <v>Fort Lewis</v>
          </cell>
        </row>
        <row r="250">
          <cell r="B250" t="str">
            <v>Grandview</v>
          </cell>
        </row>
        <row r="251">
          <cell r="B251" t="str">
            <v>Hazel Dell CDP</v>
          </cell>
        </row>
        <row r="252">
          <cell r="B252" t="str">
            <v>Hoquiam</v>
          </cell>
        </row>
        <row r="253">
          <cell r="B253" t="str">
            <v>Kennewick</v>
          </cell>
        </row>
        <row r="254">
          <cell r="B254" t="str">
            <v>Lacey</v>
          </cell>
        </row>
        <row r="255">
          <cell r="B255" t="str">
            <v>Lakewood</v>
          </cell>
        </row>
        <row r="256">
          <cell r="B256" t="str">
            <v>Longview</v>
          </cell>
        </row>
        <row r="257">
          <cell r="B257" t="str">
            <v>Mill Creek</v>
          </cell>
        </row>
        <row r="258">
          <cell r="B258" t="str">
            <v>Moses Lake</v>
          </cell>
        </row>
        <row r="259">
          <cell r="B259" t="str">
            <v>Mount Vista CDP</v>
          </cell>
        </row>
        <row r="260">
          <cell r="B260" t="str">
            <v>Mukilteo</v>
          </cell>
        </row>
        <row r="261">
          <cell r="B261" t="str">
            <v>North Lynnwood CDP</v>
          </cell>
        </row>
        <row r="262">
          <cell r="B262" t="str">
            <v>Olympia</v>
          </cell>
        </row>
        <row r="263">
          <cell r="B263" t="str">
            <v>Pasco</v>
          </cell>
        </row>
        <row r="264">
          <cell r="B264" t="str">
            <v>Port Angeles</v>
          </cell>
        </row>
        <row r="265">
          <cell r="B265" t="str">
            <v>Pullman</v>
          </cell>
        </row>
        <row r="266">
          <cell r="B266" t="str">
            <v>Richland</v>
          </cell>
        </row>
        <row r="267">
          <cell r="B267" t="str">
            <v>Salmon Creek CDP</v>
          </cell>
        </row>
        <row r="268">
          <cell r="B268" t="str">
            <v>Sequim</v>
          </cell>
        </row>
        <row r="269">
          <cell r="B269" t="str">
            <v>South Hill</v>
          </cell>
        </row>
        <row r="270">
          <cell r="B270" t="str">
            <v>Spokane</v>
          </cell>
        </row>
        <row r="271">
          <cell r="B271" t="str">
            <v>Spokane Valley</v>
          </cell>
        </row>
        <row r="272">
          <cell r="B272" t="str">
            <v>Sumner</v>
          </cell>
        </row>
        <row r="273">
          <cell r="B273" t="str">
            <v>Sunnyside</v>
          </cell>
        </row>
        <row r="274">
          <cell r="B274" t="str">
            <v>Sunnyslope CDP</v>
          </cell>
        </row>
        <row r="275">
          <cell r="B275" t="str">
            <v>Terrace Heights CDP</v>
          </cell>
        </row>
        <row r="276">
          <cell r="B276" t="str">
            <v>Tumwater</v>
          </cell>
        </row>
        <row r="277">
          <cell r="B277" t="str">
            <v>Vancouver</v>
          </cell>
        </row>
        <row r="278">
          <cell r="B278" t="str">
            <v>Walla Walla</v>
          </cell>
        </row>
        <row r="279">
          <cell r="B279" t="str">
            <v>Wenatchee</v>
          </cell>
        </row>
        <row r="280">
          <cell r="B280" t="str">
            <v>Yelm</v>
          </cell>
        </row>
        <row r="282">
          <cell r="B282" t="str">
            <v>No Points Taken</v>
          </cell>
        </row>
        <row r="283">
          <cell r="B283" t="str">
            <v>Nonprofit Only</v>
          </cell>
        </row>
        <row r="284">
          <cell r="B284" t="str">
            <v>For Profit Nonprofit Partnership</v>
          </cell>
        </row>
        <row r="285">
          <cell r="B285" t="str">
            <v>Nonprofit Sponsor Waiver</v>
          </cell>
        </row>
      </sheetData>
      <sheetData sheetId="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rt"/>
      <sheetName val="Development Budget "/>
      <sheetName val="Operating Proforma"/>
      <sheetName val="Cash Flow"/>
      <sheetName val="Invoice Detail"/>
      <sheetName val="Rents"/>
      <sheetName val="ProForma"/>
      <sheetName val="Expense Detail"/>
      <sheetName val="Rents-NoSub"/>
      <sheetName val="ProForma-NoSub"/>
      <sheetName val="Exp Detail No-Sub"/>
      <sheetName val="PHG Loan Reconciliation"/>
      <sheetName val="PSTR"/>
      <sheetName val="Sheet1"/>
      <sheetName val="Contingency Lo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0</v>
          </cell>
          <cell r="E9">
            <v>0</v>
          </cell>
          <cell r="G9">
            <v>2099550</v>
          </cell>
          <cell r="H9">
            <v>0</v>
          </cell>
        </row>
        <row r="10">
          <cell r="D10">
            <v>0</v>
          </cell>
          <cell r="E10">
            <v>0</v>
          </cell>
          <cell r="G10">
            <v>60381</v>
          </cell>
          <cell r="H10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</row>
        <row r="14">
          <cell r="D14">
            <v>0</v>
          </cell>
          <cell r="E14">
            <v>0</v>
          </cell>
          <cell r="G14">
            <v>5736</v>
          </cell>
          <cell r="H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</row>
        <row r="23">
          <cell r="D23">
            <v>0</v>
          </cell>
          <cell r="E23">
            <v>763.5</v>
          </cell>
          <cell r="G23">
            <v>25000</v>
          </cell>
          <cell r="H23">
            <v>21190.5</v>
          </cell>
        </row>
        <row r="24">
          <cell r="D24">
            <v>0</v>
          </cell>
          <cell r="E24">
            <v>0</v>
          </cell>
          <cell r="G24">
            <v>0</v>
          </cell>
          <cell r="H24">
            <v>23791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1600</v>
          </cell>
        </row>
        <row r="26">
          <cell r="D26">
            <v>0</v>
          </cell>
          <cell r="E26">
            <v>0</v>
          </cell>
          <cell r="G26">
            <v>0</v>
          </cell>
          <cell r="H26">
            <v>1587.7600000000002</v>
          </cell>
        </row>
        <row r="27">
          <cell r="D27">
            <v>0</v>
          </cell>
          <cell r="E27">
            <v>0</v>
          </cell>
          <cell r="G27">
            <v>50000</v>
          </cell>
          <cell r="H27">
            <v>0</v>
          </cell>
        </row>
        <row r="28">
          <cell r="D28">
            <v>0</v>
          </cell>
          <cell r="E28">
            <v>500</v>
          </cell>
          <cell r="G28">
            <v>3000</v>
          </cell>
          <cell r="H28">
            <v>8500</v>
          </cell>
        </row>
        <row r="29">
          <cell r="D29">
            <v>0</v>
          </cell>
          <cell r="E29">
            <v>0</v>
          </cell>
          <cell r="G29">
            <v>3700</v>
          </cell>
          <cell r="H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H30">
            <v>0</v>
          </cell>
        </row>
        <row r="31">
          <cell r="D31">
            <v>0</v>
          </cell>
          <cell r="E31">
            <v>0</v>
          </cell>
          <cell r="G31">
            <v>5000</v>
          </cell>
          <cell r="H31">
            <v>0</v>
          </cell>
        </row>
        <row r="32">
          <cell r="D32">
            <v>0</v>
          </cell>
          <cell r="E32">
            <v>0</v>
          </cell>
          <cell r="G32">
            <v>593417.38999999978</v>
          </cell>
          <cell r="H32">
            <v>0</v>
          </cell>
        </row>
        <row r="33">
          <cell r="D33">
            <v>0</v>
          </cell>
          <cell r="E33">
            <v>0</v>
          </cell>
          <cell r="G33">
            <v>5000</v>
          </cell>
          <cell r="H33">
            <v>0</v>
          </cell>
        </row>
        <row r="34">
          <cell r="D34">
            <v>0</v>
          </cell>
          <cell r="E34">
            <v>0</v>
          </cell>
          <cell r="G34">
            <v>14009</v>
          </cell>
          <cell r="H34">
            <v>0</v>
          </cell>
        </row>
        <row r="35">
          <cell r="D35">
            <v>0</v>
          </cell>
          <cell r="E35">
            <v>0</v>
          </cell>
          <cell r="G35">
            <v>4088.42</v>
          </cell>
          <cell r="H35">
            <v>0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</row>
        <row r="37">
          <cell r="D37">
            <v>0</v>
          </cell>
          <cell r="E37">
            <v>0</v>
          </cell>
          <cell r="G37">
            <v>155706.87</v>
          </cell>
          <cell r="H37">
            <v>0</v>
          </cell>
        </row>
        <row r="38">
          <cell r="D38">
            <v>0</v>
          </cell>
          <cell r="E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E39">
            <v>0</v>
          </cell>
          <cell r="G39">
            <v>206.8</v>
          </cell>
          <cell r="H39">
            <v>4189.1000000000004</v>
          </cell>
        </row>
        <row r="40">
          <cell r="D40">
            <v>0</v>
          </cell>
          <cell r="E40">
            <v>0</v>
          </cell>
          <cell r="G40">
            <v>12217.36</v>
          </cell>
          <cell r="H40">
            <v>0</v>
          </cell>
        </row>
        <row r="41">
          <cell r="D41">
            <v>0</v>
          </cell>
          <cell r="E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E42">
            <v>0</v>
          </cell>
          <cell r="G42">
            <v>4508</v>
          </cell>
          <cell r="H42">
            <v>103032.51</v>
          </cell>
        </row>
        <row r="43">
          <cell r="D43">
            <v>0</v>
          </cell>
          <cell r="E43">
            <v>0</v>
          </cell>
          <cell r="G43">
            <v>7302.57</v>
          </cell>
          <cell r="H43">
            <v>29936.200000000004</v>
          </cell>
        </row>
        <row r="44">
          <cell r="D44">
            <v>0</v>
          </cell>
          <cell r="E44">
            <v>0</v>
          </cell>
          <cell r="G44">
            <v>70609</v>
          </cell>
          <cell r="H44">
            <v>0</v>
          </cell>
        </row>
        <row r="45">
          <cell r="D45">
            <v>0</v>
          </cell>
          <cell r="E45">
            <v>0</v>
          </cell>
          <cell r="G45">
            <v>40.5</v>
          </cell>
          <cell r="H45">
            <v>0</v>
          </cell>
        </row>
        <row r="46">
          <cell r="D46">
            <v>0</v>
          </cell>
          <cell r="E46">
            <v>0</v>
          </cell>
          <cell r="G46">
            <v>23876.25</v>
          </cell>
          <cell r="H46">
            <v>0</v>
          </cell>
        </row>
        <row r="47">
          <cell r="D47">
            <v>0</v>
          </cell>
          <cell r="E47">
            <v>0</v>
          </cell>
          <cell r="G47">
            <v>0</v>
          </cell>
          <cell r="H47">
            <v>0</v>
          </cell>
        </row>
        <row r="48">
          <cell r="D48">
            <v>0</v>
          </cell>
          <cell r="E48">
            <v>0</v>
          </cell>
          <cell r="G48">
            <v>0</v>
          </cell>
          <cell r="H48">
            <v>0</v>
          </cell>
        </row>
        <row r="49">
          <cell r="D49">
            <v>0</v>
          </cell>
          <cell r="E49">
            <v>0</v>
          </cell>
          <cell r="G49">
            <v>128000</v>
          </cell>
          <cell r="H49">
            <v>0</v>
          </cell>
        </row>
        <row r="50">
          <cell r="D50">
            <v>0</v>
          </cell>
          <cell r="E50">
            <v>0</v>
          </cell>
          <cell r="G50">
            <v>0</v>
          </cell>
          <cell r="H50">
            <v>0</v>
          </cell>
        </row>
        <row r="51">
          <cell r="D51">
            <v>0</v>
          </cell>
          <cell r="E51">
            <v>0</v>
          </cell>
          <cell r="G51">
            <v>0</v>
          </cell>
          <cell r="H51">
            <v>0</v>
          </cell>
        </row>
        <row r="52">
          <cell r="D52">
            <v>0</v>
          </cell>
          <cell r="E52">
            <v>0</v>
          </cell>
          <cell r="G52">
            <v>0</v>
          </cell>
          <cell r="H52">
            <v>0</v>
          </cell>
        </row>
        <row r="53">
          <cell r="D53">
            <v>0</v>
          </cell>
          <cell r="E53">
            <v>0</v>
          </cell>
          <cell r="G53">
            <v>0</v>
          </cell>
          <cell r="H53">
            <v>0</v>
          </cell>
        </row>
        <row r="54">
          <cell r="D54">
            <v>0</v>
          </cell>
          <cell r="E54">
            <v>0</v>
          </cell>
          <cell r="G54">
            <v>204000</v>
          </cell>
          <cell r="H54">
            <v>0</v>
          </cell>
        </row>
        <row r="55">
          <cell r="D55">
            <v>0</v>
          </cell>
          <cell r="E55">
            <v>0</v>
          </cell>
          <cell r="G55">
            <v>0</v>
          </cell>
          <cell r="H55">
            <v>0</v>
          </cell>
        </row>
        <row r="56">
          <cell r="D56">
            <v>0</v>
          </cell>
          <cell r="E56">
            <v>0</v>
          </cell>
          <cell r="G56">
            <v>0</v>
          </cell>
          <cell r="H56">
            <v>0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</row>
        <row r="58">
          <cell r="D58">
            <v>0</v>
          </cell>
          <cell r="E58">
            <v>0</v>
          </cell>
          <cell r="G58">
            <v>0</v>
          </cell>
          <cell r="H58">
            <v>0</v>
          </cell>
        </row>
        <row r="59">
          <cell r="D59">
            <v>0</v>
          </cell>
          <cell r="E59">
            <v>-1263.5</v>
          </cell>
          <cell r="G59">
            <v>0</v>
          </cell>
          <cell r="H59">
            <v>0</v>
          </cell>
        </row>
        <row r="62">
          <cell r="D62">
            <v>0</v>
          </cell>
          <cell r="E62">
            <v>0</v>
          </cell>
          <cell r="G62">
            <v>0</v>
          </cell>
          <cell r="H62">
            <v>0</v>
          </cell>
        </row>
        <row r="63">
          <cell r="D63">
            <v>0</v>
          </cell>
          <cell r="E63">
            <v>0</v>
          </cell>
          <cell r="G63">
            <v>0</v>
          </cell>
          <cell r="H63">
            <v>0</v>
          </cell>
        </row>
        <row r="64">
          <cell r="D64">
            <v>0</v>
          </cell>
          <cell r="E64">
            <v>0</v>
          </cell>
          <cell r="G64">
            <v>0</v>
          </cell>
          <cell r="H64">
            <v>0</v>
          </cell>
        </row>
        <row r="65">
          <cell r="D65">
            <v>0</v>
          </cell>
          <cell r="E65">
            <v>0</v>
          </cell>
          <cell r="G65">
            <v>0</v>
          </cell>
          <cell r="H65">
            <v>0</v>
          </cell>
        </row>
        <row r="66">
          <cell r="D66">
            <v>0</v>
          </cell>
          <cell r="E66">
            <v>0</v>
          </cell>
          <cell r="G66">
            <v>0</v>
          </cell>
          <cell r="H66">
            <v>0</v>
          </cell>
        </row>
      </sheetData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24A30-4BF3-4836-B11B-A5EAF0C158E8}" name="Table32" displayName="Table32" ref="B12:R136" totalsRowShown="0" dataDxfId="23">
  <autoFilter ref="B12:R136" xr:uid="{DE76FB49-A34A-402C-BA23-27BF4068B4E9}"/>
  <tableColumns count="17">
    <tableColumn id="1" xr3:uid="{003E9901-56C0-401B-BF04-94C4BAC233D6}" name="Project Profile" dataDxfId="22"/>
    <tableColumn id="2" xr3:uid="{1B186284-A70F-4DFA-BD71-A6C882BE93E1}" name="Notes/Assumptions" dataDxfId="21"/>
    <tableColumn id="3" xr3:uid="{55A7EBD4-A462-47CC-B756-637BE4E42D4C}" name="Contributions" dataDxfId="20" dataCellStyle="Normal_HTFPREBU.XL"/>
    <tableColumn id="4" xr3:uid="{A0555552-8D21-439D-A2BB-42D568CD83DC}" name="Base Variables " dataDxfId="19" dataCellStyle="Currency"/>
    <tableColumn id="5" xr3:uid="{7EDB82CA-87C4-46D3-B3D6-90EE84DB6AE5}" name="Baseline" dataDxfId="18">
      <calculatedColumnFormula>E13</calculatedColumnFormula>
    </tableColumn>
    <tableColumn id="6" xr3:uid="{10A50975-4387-463A-B70D-991B37C9C77D}" name="P1 Adjusted variables " dataDxfId="17" dataCellStyle="Currency"/>
    <tableColumn id="7" xr3:uid="{24A78AB8-F959-4FF5-B038-A2AB0EDCDAF9}" name="P1 financing savings" dataDxfId="16">
      <calculatedColumnFormula>F13</calculatedColumnFormula>
    </tableColumn>
    <tableColumn id="11" xr3:uid="{44B4B56D-C4B6-4655-98FC-ED9B9F6A5E15}" name="P2 Adjusted Variable " dataDxfId="15" dataCellStyle="Currency"/>
    <tableColumn id="8" xr3:uid="{78AFE4EA-D112-4461-868F-CCFD9FA59DFE}" name="P2 Fees, Permiting &amp; Tax" dataDxfId="14">
      <calculatedColumnFormula>H13</calculatedColumnFormula>
    </tableColumn>
    <tableColumn id="9" xr3:uid="{63D56C14-1350-40BE-9867-64201EE2FF55}" name="P3 Adjusted variables" dataDxfId="13"/>
    <tableColumn id="10" xr3:uid="{FF879970-152F-4DED-826F-CB0DEDE337DB}" name="P3 Non-podium" dataDxfId="12">
      <calculatedColumnFormula>J13</calculatedColumnFormula>
    </tableColumn>
    <tableColumn id="15" xr3:uid="{0C33DAAD-2093-42A6-81F2-334846F46152}" name="P4 Adjusted variables" dataDxfId="11" dataCellStyle="Currency"/>
    <tableColumn id="14" xr3:uid="{4EAB7AE6-C6FD-4C41-8D82-1DF1F80F0ADE}" name="P4 free land" dataDxfId="10"/>
    <tableColumn id="17" xr3:uid="{96ECB0B0-5CE9-4479-A9FA-D43D505F22D5}" name="P5 Adjusted variables2" dataDxfId="9" dataCellStyle="Currency"/>
    <tableColumn id="16" xr3:uid="{9CA5910A-1554-4EEC-8867-6A25F7CCB843}" name="P5 All savings" dataDxfId="8"/>
    <tableColumn id="12" xr3:uid="{46BBAE8C-3A75-40F0-B39A-27A4BCDDD9EE}" name="P3 Adjusted variables2" dataDxfId="7"/>
    <tableColumn id="13" xr3:uid="{C5161F30-440A-4E74-82F3-93A8E7F92178}" name="P3 Podium High commercial " dataDxfId="6">
      <calculatedColumnFormula>L13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88EA-F94A-4CED-A41E-A5FC8125C9E9}">
  <dimension ref="A5:V137"/>
  <sheetViews>
    <sheetView topLeftCell="A31" zoomScaleNormal="60" workbookViewId="0">
      <selection activeCell="B104" sqref="B104"/>
    </sheetView>
  </sheetViews>
  <sheetFormatPr baseColWidth="10" defaultColWidth="8.83203125" defaultRowHeight="15"/>
  <cols>
    <col min="1" max="1" width="10" bestFit="1" customWidth="1"/>
    <col min="2" max="2" width="40.1640625" bestFit="1" customWidth="1"/>
    <col min="3" max="3" width="57.6640625" customWidth="1"/>
    <col min="4" max="4" width="11.5" customWidth="1"/>
    <col min="5" max="5" width="14.5" customWidth="1"/>
    <col min="6" max="6" width="16.6640625" customWidth="1"/>
    <col min="7" max="7" width="21.5" customWidth="1"/>
    <col min="8" max="8" width="21.5" bestFit="1" customWidth="1"/>
    <col min="9" max="10" width="21.5" customWidth="1"/>
    <col min="11" max="11" width="19" customWidth="1"/>
    <col min="12" max="12" width="21.83203125" customWidth="1"/>
    <col min="13" max="13" width="19" customWidth="1"/>
    <col min="14" max="14" width="21.83203125" customWidth="1"/>
    <col min="15" max="15" width="19" customWidth="1"/>
    <col min="16" max="16" width="21.83203125" customWidth="1"/>
    <col min="17" max="17" width="21.33203125" customWidth="1"/>
    <col min="18" max="18" width="28.1640625" bestFit="1" customWidth="1"/>
    <col min="19" max="19" width="21.6640625" customWidth="1"/>
    <col min="20" max="20" width="25.33203125" customWidth="1"/>
    <col min="21" max="21" width="16" bestFit="1" customWidth="1"/>
    <col min="22" max="22" width="16.83203125" customWidth="1"/>
  </cols>
  <sheetData>
    <row r="5" spans="1:19">
      <c r="H5" s="15"/>
      <c r="I5" s="15"/>
      <c r="J5" s="15"/>
      <c r="K5" s="15"/>
      <c r="L5" s="15"/>
      <c r="M5" s="15"/>
      <c r="N5" s="15"/>
      <c r="O5" s="15"/>
      <c r="P5" s="15"/>
    </row>
    <row r="8" spans="1:19">
      <c r="G8" s="301" t="s">
        <v>221</v>
      </c>
      <c r="H8" s="301"/>
      <c r="I8" s="301" t="s">
        <v>222</v>
      </c>
      <c r="J8" s="301"/>
      <c r="K8" s="301" t="s">
        <v>230</v>
      </c>
      <c r="L8" s="301"/>
      <c r="M8" s="301" t="s">
        <v>243</v>
      </c>
      <c r="N8" s="301"/>
      <c r="O8" s="301" t="s">
        <v>245</v>
      </c>
      <c r="P8" s="301"/>
      <c r="Q8" s="301" t="s">
        <v>260</v>
      </c>
      <c r="R8" s="301"/>
    </row>
    <row r="9" spans="1:19" ht="14.5" customHeight="1">
      <c r="G9" s="302" t="s">
        <v>223</v>
      </c>
      <c r="H9" s="302"/>
      <c r="I9" s="302" t="s">
        <v>224</v>
      </c>
      <c r="J9" s="302"/>
      <c r="K9" s="302" t="s">
        <v>232</v>
      </c>
      <c r="L9" s="302"/>
      <c r="M9" s="302" t="s">
        <v>244</v>
      </c>
      <c r="N9" s="302"/>
      <c r="O9" s="302" t="s">
        <v>233</v>
      </c>
      <c r="P9" s="302"/>
      <c r="Q9" s="302" t="s">
        <v>235</v>
      </c>
      <c r="R9" s="302"/>
    </row>
    <row r="10" spans="1:19"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</row>
    <row r="11" spans="1:19">
      <c r="F11">
        <f>F14/F18</f>
        <v>588.23529411764707</v>
      </c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</row>
    <row r="12" spans="1:19" ht="16">
      <c r="B12" s="1" t="s">
        <v>115</v>
      </c>
      <c r="C12" s="1" t="s">
        <v>203</v>
      </c>
      <c r="D12" t="s">
        <v>204</v>
      </c>
      <c r="E12" t="s">
        <v>205</v>
      </c>
      <c r="F12" t="s">
        <v>219</v>
      </c>
      <c r="G12" t="s">
        <v>206</v>
      </c>
      <c r="H12" t="s">
        <v>207</v>
      </c>
      <c r="I12" t="s">
        <v>225</v>
      </c>
      <c r="J12" t="s">
        <v>226</v>
      </c>
      <c r="K12" t="s">
        <v>214</v>
      </c>
      <c r="L12" t="s">
        <v>228</v>
      </c>
      <c r="M12" t="s">
        <v>242</v>
      </c>
      <c r="N12" t="s">
        <v>248</v>
      </c>
      <c r="O12" t="s">
        <v>246</v>
      </c>
      <c r="P12" t="s">
        <v>247</v>
      </c>
      <c r="Q12" t="s">
        <v>227</v>
      </c>
      <c r="R12" t="s">
        <v>215</v>
      </c>
    </row>
    <row r="13" spans="1:19" ht="16">
      <c r="B13" t="s">
        <v>106</v>
      </c>
      <c r="D13" s="176"/>
      <c r="E13" s="176"/>
      <c r="F13" s="252">
        <f>F15+F14</f>
        <v>64045</v>
      </c>
      <c r="G13" s="252"/>
      <c r="H13" s="252">
        <v>62632</v>
      </c>
      <c r="I13" s="252"/>
      <c r="J13" s="252">
        <v>62632</v>
      </c>
      <c r="K13" s="253"/>
      <c r="L13" s="254">
        <f>SUM(L14,L15)</f>
        <v>47250</v>
      </c>
      <c r="M13" s="255"/>
      <c r="N13" s="252">
        <v>62632</v>
      </c>
      <c r="O13" s="253"/>
      <c r="P13" s="254">
        <f>SUM(P14,P15)</f>
        <v>47250</v>
      </c>
      <c r="Q13" s="253"/>
      <c r="R13" s="254">
        <f>SUM(R14:R15)</f>
        <v>47250</v>
      </c>
    </row>
    <row r="14" spans="1:19" ht="17">
      <c r="B14" t="s">
        <v>107</v>
      </c>
      <c r="D14" s="176"/>
      <c r="E14" s="176"/>
      <c r="F14" s="8">
        <v>60000</v>
      </c>
      <c r="G14" s="8"/>
      <c r="H14" s="8">
        <v>58587</v>
      </c>
      <c r="I14" s="8"/>
      <c r="J14" s="8">
        <v>58587</v>
      </c>
      <c r="K14" s="255"/>
      <c r="L14" s="256">
        <v>46000</v>
      </c>
      <c r="M14" s="255"/>
      <c r="N14" s="8">
        <v>58587</v>
      </c>
      <c r="O14" s="255"/>
      <c r="P14" s="256">
        <v>46000</v>
      </c>
      <c r="Q14" s="255"/>
      <c r="R14" s="256">
        <v>41000</v>
      </c>
    </row>
    <row r="15" spans="1:19" ht="13.5" customHeight="1">
      <c r="B15" t="s">
        <v>112</v>
      </c>
      <c r="D15" s="177"/>
      <c r="E15" s="177"/>
      <c r="F15" s="8">
        <v>4045</v>
      </c>
      <c r="G15" s="8"/>
      <c r="H15" s="8">
        <v>4045</v>
      </c>
      <c r="I15" s="8"/>
      <c r="J15" s="8">
        <v>4045</v>
      </c>
      <c r="K15" s="255"/>
      <c r="L15" s="256">
        <v>1250</v>
      </c>
      <c r="M15" s="255"/>
      <c r="N15" s="8">
        <v>4045</v>
      </c>
      <c r="O15" s="255"/>
      <c r="P15" s="256">
        <v>1250</v>
      </c>
      <c r="Q15" s="255"/>
      <c r="R15" s="256">
        <v>6250</v>
      </c>
    </row>
    <row r="16" spans="1:19" ht="13.5" customHeight="1">
      <c r="A16" s="197"/>
      <c r="B16" s="3" t="s">
        <v>231</v>
      </c>
      <c r="C16" s="134"/>
      <c r="D16" s="178"/>
      <c r="E16" s="75"/>
      <c r="F16" s="256">
        <v>15000</v>
      </c>
      <c r="G16" s="257"/>
      <c r="H16" s="257">
        <v>15000</v>
      </c>
      <c r="I16" s="257"/>
      <c r="J16" s="257">
        <v>15000</v>
      </c>
      <c r="K16" s="257"/>
      <c r="L16" s="257">
        <v>15000</v>
      </c>
      <c r="M16" s="255"/>
      <c r="N16" s="256">
        <v>15000</v>
      </c>
      <c r="O16" s="257"/>
      <c r="P16" s="257">
        <v>15000</v>
      </c>
      <c r="Q16" s="257"/>
      <c r="R16" s="257">
        <v>15000</v>
      </c>
      <c r="S16" s="3"/>
    </row>
    <row r="17" spans="2:22">
      <c r="B17" t="s">
        <v>108</v>
      </c>
      <c r="D17" s="176"/>
      <c r="E17" s="176"/>
      <c r="F17" s="8">
        <v>6</v>
      </c>
      <c r="G17" s="8"/>
      <c r="H17" s="8">
        <v>6</v>
      </c>
      <c r="I17" s="8"/>
      <c r="J17" s="8">
        <v>6</v>
      </c>
      <c r="K17" s="255"/>
      <c r="L17" s="256">
        <v>5</v>
      </c>
      <c r="M17" s="255"/>
      <c r="N17" s="8">
        <v>6</v>
      </c>
      <c r="O17" s="255"/>
      <c r="P17" s="256">
        <v>5</v>
      </c>
      <c r="Q17" s="255"/>
      <c r="R17" s="256">
        <v>4</v>
      </c>
      <c r="U17" s="2"/>
    </row>
    <row r="18" spans="2:22">
      <c r="B18" t="s">
        <v>239</v>
      </c>
      <c r="D18" s="176"/>
      <c r="E18" s="176"/>
      <c r="F18" s="8">
        <v>102</v>
      </c>
      <c r="G18" s="8"/>
      <c r="H18" s="8">
        <v>102</v>
      </c>
      <c r="I18" s="8"/>
      <c r="J18" s="8">
        <v>102</v>
      </c>
      <c r="K18" s="255"/>
      <c r="L18" s="256">
        <v>80</v>
      </c>
      <c r="M18" s="255"/>
      <c r="N18" s="8">
        <v>102</v>
      </c>
      <c r="O18" s="255"/>
      <c r="P18" s="256">
        <v>80</v>
      </c>
      <c r="Q18" s="255"/>
      <c r="R18" s="256">
        <v>56</v>
      </c>
      <c r="U18" s="2"/>
    </row>
    <row r="19" spans="2:22">
      <c r="B19" t="s">
        <v>2</v>
      </c>
      <c r="D19" s="176"/>
      <c r="E19" s="176"/>
      <c r="F19" s="258">
        <v>3</v>
      </c>
      <c r="G19" s="8"/>
      <c r="H19" s="8">
        <v>3</v>
      </c>
      <c r="I19" s="8"/>
      <c r="J19" s="8">
        <v>3</v>
      </c>
      <c r="K19" s="255"/>
      <c r="L19" s="256">
        <v>2</v>
      </c>
      <c r="M19" s="255"/>
      <c r="N19" s="258">
        <v>3</v>
      </c>
      <c r="O19" s="255"/>
      <c r="P19" s="256">
        <v>2</v>
      </c>
      <c r="Q19" s="255"/>
      <c r="R19" s="256">
        <v>8</v>
      </c>
      <c r="U19" s="2"/>
    </row>
    <row r="20" spans="2:22">
      <c r="B20" t="s">
        <v>109</v>
      </c>
      <c r="D20" s="176"/>
      <c r="E20" s="176"/>
      <c r="F20" s="8">
        <f>F18+F19</f>
        <v>105</v>
      </c>
      <c r="G20" s="8"/>
      <c r="H20" s="8">
        <f>H18+H19</f>
        <v>105</v>
      </c>
      <c r="I20" s="8"/>
      <c r="J20" s="8">
        <f>J18+J19</f>
        <v>105</v>
      </c>
      <c r="K20" s="255"/>
      <c r="L20" s="256">
        <f>L19+L18</f>
        <v>82</v>
      </c>
      <c r="M20" s="255"/>
      <c r="N20" s="8">
        <f>N18+N19</f>
        <v>105</v>
      </c>
      <c r="O20" s="255"/>
      <c r="P20" s="256">
        <f>P19+P18</f>
        <v>82</v>
      </c>
      <c r="Q20" s="255"/>
      <c r="R20" s="256">
        <f>R18+R19</f>
        <v>64</v>
      </c>
      <c r="U20" s="2"/>
    </row>
    <row r="21" spans="2:22">
      <c r="B21" t="s">
        <v>167</v>
      </c>
      <c r="D21" s="176"/>
      <c r="E21" s="176"/>
      <c r="F21" s="8">
        <v>20</v>
      </c>
      <c r="G21" s="8"/>
      <c r="H21" s="8">
        <v>20</v>
      </c>
      <c r="I21" s="8"/>
      <c r="J21" s="8">
        <v>20</v>
      </c>
      <c r="K21" s="255"/>
      <c r="L21" s="256">
        <v>20</v>
      </c>
      <c r="M21" s="255"/>
      <c r="N21" s="8">
        <v>20</v>
      </c>
      <c r="O21" s="255"/>
      <c r="P21" s="256">
        <v>20</v>
      </c>
      <c r="Q21" s="255"/>
      <c r="R21" s="256">
        <v>20</v>
      </c>
    </row>
    <row r="22" spans="2:22">
      <c r="B22" t="s">
        <v>168</v>
      </c>
      <c r="D22" s="176"/>
      <c r="E22" s="176"/>
      <c r="F22" s="8">
        <v>16</v>
      </c>
      <c r="G22" s="8"/>
      <c r="H22" s="8">
        <v>16</v>
      </c>
      <c r="I22" s="8"/>
      <c r="J22" s="8">
        <v>16</v>
      </c>
      <c r="K22" s="255"/>
      <c r="L22" s="256">
        <v>14</v>
      </c>
      <c r="M22" s="255"/>
      <c r="N22" s="8">
        <v>16</v>
      </c>
      <c r="O22" s="255"/>
      <c r="P22" s="256">
        <v>14</v>
      </c>
      <c r="Q22" s="255"/>
      <c r="R22" s="256">
        <v>14</v>
      </c>
      <c r="U22" s="2"/>
    </row>
    <row r="23" spans="2:22">
      <c r="B23" t="s">
        <v>169</v>
      </c>
      <c r="D23" s="176"/>
      <c r="E23" s="176"/>
      <c r="F23" s="8">
        <f>F21+F22</f>
        <v>36</v>
      </c>
      <c r="G23" s="8"/>
      <c r="H23" s="8">
        <f>H21+H22</f>
        <v>36</v>
      </c>
      <c r="I23" s="8"/>
      <c r="J23" s="8">
        <f>J21+J22</f>
        <v>36</v>
      </c>
      <c r="K23" s="255"/>
      <c r="L23" s="256">
        <f>L21+L22</f>
        <v>34</v>
      </c>
      <c r="M23" s="255"/>
      <c r="N23" s="8">
        <f>N21+N22</f>
        <v>36</v>
      </c>
      <c r="O23" s="255"/>
      <c r="P23" s="256">
        <f>P21+P22</f>
        <v>34</v>
      </c>
      <c r="Q23" s="255"/>
      <c r="R23" s="256">
        <f>R21+R22</f>
        <v>34</v>
      </c>
    </row>
    <row r="24" spans="2:22">
      <c r="B24" t="s">
        <v>173</v>
      </c>
      <c r="D24" s="176"/>
      <c r="E24" s="176"/>
      <c r="F24" s="8">
        <v>8</v>
      </c>
      <c r="G24" s="8"/>
      <c r="H24" s="8">
        <v>8</v>
      </c>
      <c r="I24" s="8"/>
      <c r="J24" s="8">
        <v>8</v>
      </c>
      <c r="K24" s="255"/>
      <c r="L24" s="256">
        <v>8</v>
      </c>
      <c r="M24" s="255"/>
      <c r="N24" s="8">
        <v>8</v>
      </c>
      <c r="O24" s="255"/>
      <c r="P24" s="256">
        <v>8</v>
      </c>
      <c r="Q24" s="255"/>
      <c r="R24" s="256">
        <v>8</v>
      </c>
    </row>
    <row r="25" spans="2:22">
      <c r="B25" t="s">
        <v>113</v>
      </c>
      <c r="D25" s="176"/>
      <c r="E25" s="176"/>
      <c r="F25" s="15">
        <f t="shared" ref="F25:R25" si="0">SUM(F29:F34,F47,F50,F54,F58,F64:F66,F71:F76,F80,F86,F94,F101,F106:F110,F113,F115:F117,F120,F124:F125,F133:F136,F57)</f>
        <v>35440771.5119</v>
      </c>
      <c r="G25" s="15"/>
      <c r="H25" s="15">
        <f>SUM(H29:H34,H47,H50,H54,H58,H64:H66,H71:H76,H80,H86,H94,H101,H106:H110,H113,H115:H117,H120,H124:H125,H133:H136,H57)</f>
        <v>33169549.94624</v>
      </c>
      <c r="I25" s="15"/>
      <c r="J25" s="15">
        <f t="shared" si="0"/>
        <v>31090190.533173334</v>
      </c>
      <c r="K25" s="15"/>
      <c r="L25" s="15">
        <f t="shared" si="0"/>
        <v>20787629.300000001</v>
      </c>
      <c r="M25" s="255"/>
      <c r="N25" s="15">
        <f t="shared" ref="N25" si="1">SUM(N29:N34,N47,N50,N54,N58,N64:N66,N71:N76,N80,N86,N94,N101,N106:N110,N113,N115:N117,N120,N124:N125,N133:N136,N57)</f>
        <v>31705071.962239999</v>
      </c>
      <c r="O25" s="15"/>
      <c r="P25" s="15">
        <f>SUM(P29:P34,P47,P50,P54,P58,P64:P66,P71:P76,P80,P86,P94,P101,P106:P110,P113,P115:P117,P120,P124:P125,P133:P136,P57)</f>
        <v>15611894.612000002</v>
      </c>
      <c r="Q25" s="15"/>
      <c r="R25" s="15">
        <f t="shared" si="0"/>
        <v>24386514.600000001</v>
      </c>
    </row>
    <row r="26" spans="2:22">
      <c r="B26" t="s">
        <v>194</v>
      </c>
      <c r="D26" s="176"/>
      <c r="E26" s="176"/>
      <c r="F26" s="232">
        <f>F25/F20</f>
        <v>337531.15725619049</v>
      </c>
      <c r="G26" s="232"/>
      <c r="H26" s="232">
        <f>H25/H20</f>
        <v>315900.47567847621</v>
      </c>
      <c r="I26" s="232"/>
      <c r="J26" s="232">
        <f>J25/J20</f>
        <v>296097.05269688892</v>
      </c>
      <c r="K26" s="27"/>
      <c r="L26" s="27">
        <f>L25/L20</f>
        <v>253507.67439024392</v>
      </c>
      <c r="M26" s="27"/>
      <c r="N26" s="232">
        <f>N25/N20</f>
        <v>301953.06630704761</v>
      </c>
      <c r="O26" s="27"/>
      <c r="P26" s="27">
        <f>P25/P20</f>
        <v>190388.95868292684</v>
      </c>
      <c r="Q26" s="27"/>
      <c r="R26" s="27">
        <f>R25/R20</f>
        <v>381039.29062500002</v>
      </c>
    </row>
    <row r="27" spans="2:22">
      <c r="B27" t="s">
        <v>240</v>
      </c>
      <c r="C27" t="s">
        <v>241</v>
      </c>
      <c r="D27" s="176"/>
      <c r="E27" s="176"/>
      <c r="F27" s="17">
        <v>21000</v>
      </c>
      <c r="G27" s="17"/>
      <c r="H27" s="17">
        <v>21000</v>
      </c>
      <c r="I27" s="17"/>
      <c r="J27" s="17">
        <v>21000</v>
      </c>
      <c r="K27" s="27"/>
      <c r="L27" s="231">
        <v>21000</v>
      </c>
      <c r="M27" s="27"/>
      <c r="N27" s="17">
        <v>21000</v>
      </c>
      <c r="O27" s="27"/>
      <c r="P27" s="231">
        <v>21000</v>
      </c>
      <c r="Q27" s="231"/>
      <c r="R27" s="231">
        <f t="shared" ref="R27" si="2">(R29+R34)/R20</f>
        <v>266307.8125</v>
      </c>
      <c r="U27" s="5"/>
      <c r="V27" s="5"/>
    </row>
    <row r="28" spans="2:22" ht="16">
      <c r="B28" s="80" t="s">
        <v>0</v>
      </c>
      <c r="C28" s="135"/>
      <c r="D28" s="179"/>
      <c r="E28" s="55">
        <v>0.10452199794883126</v>
      </c>
      <c r="G28" s="188">
        <v>0.1</v>
      </c>
      <c r="I28" s="188">
        <v>0.1</v>
      </c>
      <c r="K28" s="81">
        <v>0.10452199794883126</v>
      </c>
      <c r="L28" s="16"/>
      <c r="M28" s="55">
        <v>0.10452199794883126</v>
      </c>
      <c r="O28" s="81">
        <v>0.10452199794883126</v>
      </c>
      <c r="P28" s="16"/>
      <c r="Q28" s="188">
        <v>0.1</v>
      </c>
    </row>
    <row r="29" spans="2:22">
      <c r="B29" s="86" t="s">
        <v>3</v>
      </c>
      <c r="C29" s="136" t="s">
        <v>117</v>
      </c>
      <c r="D29" s="178" t="s">
        <v>201</v>
      </c>
      <c r="E29" s="56">
        <v>210</v>
      </c>
      <c r="F29" s="167">
        <f>F16*$E$29</f>
        <v>3150000</v>
      </c>
      <c r="G29" s="29">
        <v>210</v>
      </c>
      <c r="H29" s="87">
        <f>H16*$G$29</f>
        <v>3150000</v>
      </c>
      <c r="I29" s="29">
        <v>210</v>
      </c>
      <c r="J29" s="87">
        <f>J16*$I$29</f>
        <v>3150000</v>
      </c>
      <c r="K29" s="38">
        <v>210</v>
      </c>
      <c r="L29" s="87">
        <f>K29*L16</f>
        <v>3150000</v>
      </c>
      <c r="M29" s="56">
        <v>0</v>
      </c>
      <c r="N29" s="167">
        <f>N16*$M$29</f>
        <v>0</v>
      </c>
      <c r="O29" s="38">
        <v>0</v>
      </c>
      <c r="P29" s="87">
        <f>O29*P16</f>
        <v>0</v>
      </c>
      <c r="Q29" s="210">
        <v>240</v>
      </c>
      <c r="R29" s="87">
        <f>R16*$Q$29</f>
        <v>3600000</v>
      </c>
    </row>
    <row r="30" spans="2:22">
      <c r="B30" s="82" t="s">
        <v>4</v>
      </c>
      <c r="C30" s="137" t="s">
        <v>122</v>
      </c>
      <c r="D30" s="178"/>
      <c r="E30" s="57">
        <v>0</v>
      </c>
      <c r="F30" s="16"/>
      <c r="G30" s="84">
        <v>0</v>
      </c>
      <c r="H30" s="16"/>
      <c r="I30" s="84">
        <v>0</v>
      </c>
      <c r="J30" s="16"/>
      <c r="K30" s="85">
        <v>0</v>
      </c>
      <c r="L30" s="16"/>
      <c r="M30" s="57">
        <v>0</v>
      </c>
      <c r="N30" s="16"/>
      <c r="O30" s="85">
        <v>0</v>
      </c>
      <c r="P30" s="16"/>
      <c r="Q30" s="84">
        <v>0</v>
      </c>
      <c r="R30" s="16"/>
    </row>
    <row r="31" spans="2:22" ht="16">
      <c r="B31" s="21" t="s">
        <v>1</v>
      </c>
      <c r="C31" s="138"/>
      <c r="D31" s="180"/>
      <c r="E31" s="58">
        <v>4.4798725589428783E-3</v>
      </c>
      <c r="F31" s="16"/>
      <c r="G31" s="58">
        <v>4.4798725589428783E-3</v>
      </c>
      <c r="H31" s="16"/>
      <c r="I31" s="58">
        <v>4.4798725589428783E-3</v>
      </c>
      <c r="J31" s="16"/>
      <c r="K31" s="47">
        <v>4.4798725589428783E-3</v>
      </c>
      <c r="L31" s="16"/>
      <c r="M31" s="58">
        <v>4.4798725589428783E-3</v>
      </c>
      <c r="N31" s="16"/>
      <c r="O31" s="47">
        <v>4.4798725589428783E-3</v>
      </c>
      <c r="P31" s="16"/>
      <c r="Q31" s="58">
        <v>4.4798725589428783E-3</v>
      </c>
      <c r="R31" s="16"/>
    </row>
    <row r="32" spans="2:22">
      <c r="B32" s="19" t="s">
        <v>20</v>
      </c>
      <c r="C32" s="139" t="s">
        <v>134</v>
      </c>
      <c r="D32" s="178" t="s">
        <v>202</v>
      </c>
      <c r="E32" s="59">
        <v>100000</v>
      </c>
      <c r="F32" s="13">
        <f>$E32+(5*(F13/F17))</f>
        <v>153370.83333333331</v>
      </c>
      <c r="G32" s="59">
        <v>100000</v>
      </c>
      <c r="H32" s="13">
        <f>$E32+(5*(H13/H17))</f>
        <v>152193.33333333331</v>
      </c>
      <c r="I32" s="59">
        <v>100000</v>
      </c>
      <c r="J32" s="13">
        <f>$E32+(5*(J13/J17))</f>
        <v>152193.33333333331</v>
      </c>
      <c r="K32" s="207">
        <v>25000</v>
      </c>
      <c r="L32" s="12">
        <f>$K32+(5*(L13/L17))</f>
        <v>72250</v>
      </c>
      <c r="M32" s="59">
        <v>100000</v>
      </c>
      <c r="N32" s="13">
        <f>$E32+(5*(N13/N17))</f>
        <v>152193.33333333331</v>
      </c>
      <c r="O32" s="207">
        <v>25000</v>
      </c>
      <c r="P32" s="12">
        <f>$K32+(5*(P13/P17))</f>
        <v>72250</v>
      </c>
      <c r="Q32" s="59">
        <v>100000</v>
      </c>
      <c r="R32" s="13">
        <f>$E32+(5*(R13/R17))</f>
        <v>159062.5</v>
      </c>
    </row>
    <row r="33" spans="2:18">
      <c r="B33" s="88" t="s">
        <v>5</v>
      </c>
      <c r="C33" s="140" t="s">
        <v>135</v>
      </c>
      <c r="D33" s="178" t="s">
        <v>202</v>
      </c>
      <c r="E33" s="56">
        <v>50000</v>
      </c>
      <c r="F33" s="16">
        <f>$E$33</f>
        <v>50000</v>
      </c>
      <c r="G33" s="90">
        <v>50000</v>
      </c>
      <c r="H33" s="16">
        <f>$E$33</f>
        <v>50000</v>
      </c>
      <c r="I33" s="90">
        <v>50000</v>
      </c>
      <c r="J33" s="16">
        <f>$E$33</f>
        <v>50000</v>
      </c>
      <c r="K33" s="208">
        <v>0</v>
      </c>
      <c r="L33" s="16">
        <f>K33</f>
        <v>0</v>
      </c>
      <c r="M33" s="56">
        <v>50000</v>
      </c>
      <c r="N33" s="16">
        <f>$E$33</f>
        <v>50000</v>
      </c>
      <c r="O33" s="208">
        <v>0</v>
      </c>
      <c r="P33" s="16">
        <f>O33</f>
        <v>0</v>
      </c>
      <c r="Q33" s="90">
        <v>50000</v>
      </c>
      <c r="R33" s="16">
        <f>$E$33</f>
        <v>50000</v>
      </c>
    </row>
    <row r="34" spans="2:18" ht="16">
      <c r="B34" s="94" t="s">
        <v>110</v>
      </c>
      <c r="C34" s="141" t="s">
        <v>124</v>
      </c>
      <c r="D34" s="181"/>
      <c r="E34" s="60" t="s">
        <v>208</v>
      </c>
      <c r="F34" s="168">
        <f>SUM(F35:F46)</f>
        <v>19368370</v>
      </c>
      <c r="G34" s="60" t="s">
        <v>208</v>
      </c>
      <c r="H34" s="42">
        <f>SUM(H35:H46)</f>
        <v>18964252</v>
      </c>
      <c r="I34" s="133" t="s">
        <v>216</v>
      </c>
      <c r="J34" s="42">
        <f>SUM(J35:J46)*0.99</f>
        <v>18774609.48</v>
      </c>
      <c r="K34" s="39" t="s">
        <v>213</v>
      </c>
      <c r="L34" s="42">
        <f>SUM(L35:L46)</f>
        <v>10686100</v>
      </c>
      <c r="M34" s="60" t="s">
        <v>208</v>
      </c>
      <c r="N34" s="168">
        <f>SUM(N35:N46)</f>
        <v>18964252</v>
      </c>
      <c r="O34" s="233" t="s">
        <v>234</v>
      </c>
      <c r="P34" s="42">
        <f>SUM(P35:P46)*0.99</f>
        <v>10579239</v>
      </c>
      <c r="Q34" s="30" t="s">
        <v>209</v>
      </c>
      <c r="R34" s="42">
        <f>SUM(R35:R46)</f>
        <v>13443700</v>
      </c>
    </row>
    <row r="35" spans="2:18">
      <c r="B35" s="83" t="s">
        <v>6</v>
      </c>
      <c r="C35" s="142" t="s">
        <v>119</v>
      </c>
      <c r="D35" s="178" t="s">
        <v>201</v>
      </c>
      <c r="E35" s="61">
        <v>280</v>
      </c>
      <c r="F35" s="10">
        <f>F13*$E35</f>
        <v>17932600</v>
      </c>
      <c r="G35" s="92">
        <v>280</v>
      </c>
      <c r="H35" s="10">
        <f>H13*$G35</f>
        <v>17536960</v>
      </c>
      <c r="I35" s="92">
        <v>280</v>
      </c>
      <c r="J35" s="10">
        <f>J13*I35</f>
        <v>17536960</v>
      </c>
      <c r="K35" s="209">
        <v>200</v>
      </c>
      <c r="L35" s="16">
        <f>L13*$K35</f>
        <v>9450000</v>
      </c>
      <c r="M35" s="61">
        <v>280</v>
      </c>
      <c r="N35" s="10">
        <f>N13*$E35</f>
        <v>17536960</v>
      </c>
      <c r="O35" s="209">
        <v>200</v>
      </c>
      <c r="P35" s="16">
        <f>P13*$K35</f>
        <v>9450000</v>
      </c>
      <c r="Q35" s="131">
        <v>260</v>
      </c>
      <c r="R35" s="10">
        <f>R13*Q35</f>
        <v>12285000</v>
      </c>
    </row>
    <row r="36" spans="2:18">
      <c r="B36" s="89" t="s">
        <v>7</v>
      </c>
      <c r="C36" s="143" t="s">
        <v>145</v>
      </c>
      <c r="D36" s="178" t="s">
        <v>202</v>
      </c>
      <c r="E36" s="62">
        <v>6.9069330781707109E-3</v>
      </c>
      <c r="G36" s="95">
        <v>6.9069330781707109E-3</v>
      </c>
      <c r="I36" s="95">
        <v>6.9069330781707109E-3</v>
      </c>
      <c r="K36" s="91">
        <v>6.9069330781707109E-3</v>
      </c>
      <c r="L36" s="16"/>
      <c r="M36" s="62">
        <v>6.9069330781707109E-3</v>
      </c>
      <c r="O36" s="91">
        <v>6.9069330781707109E-3</v>
      </c>
      <c r="P36" s="16"/>
      <c r="Q36" s="95">
        <v>6.9069330781707109E-3</v>
      </c>
    </row>
    <row r="37" spans="2:18">
      <c r="B37" s="97" t="s">
        <v>15</v>
      </c>
      <c r="C37" s="136" t="s">
        <v>120</v>
      </c>
      <c r="D37" s="178" t="s">
        <v>201</v>
      </c>
      <c r="E37" s="63">
        <v>2100</v>
      </c>
      <c r="F37" s="169">
        <f>$E37*F20</f>
        <v>220500</v>
      </c>
      <c r="G37" s="31">
        <v>2100</v>
      </c>
      <c r="H37" s="98">
        <f>$E37*H20</f>
        <v>220500</v>
      </c>
      <c r="I37" s="31">
        <v>2100</v>
      </c>
      <c r="J37" s="98">
        <f>$E37*J20</f>
        <v>220500</v>
      </c>
      <c r="K37" s="38">
        <v>2100</v>
      </c>
      <c r="L37" s="87">
        <f>$E37*L20</f>
        <v>172200</v>
      </c>
      <c r="M37" s="63">
        <v>2100</v>
      </c>
      <c r="N37" s="169">
        <f>$E37*N20</f>
        <v>220500</v>
      </c>
      <c r="O37" s="38">
        <v>2100</v>
      </c>
      <c r="P37" s="87">
        <f>$E37*P20</f>
        <v>172200</v>
      </c>
      <c r="Q37" s="31">
        <v>2100</v>
      </c>
      <c r="R37" s="98">
        <f>$Q37*R20</f>
        <v>134400</v>
      </c>
    </row>
    <row r="38" spans="2:18">
      <c r="B38" s="97" t="s">
        <v>16</v>
      </c>
      <c r="C38" s="136" t="s">
        <v>121</v>
      </c>
      <c r="D38" s="178" t="s">
        <v>201</v>
      </c>
      <c r="E38" s="63">
        <v>2200</v>
      </c>
      <c r="F38" s="169">
        <f>$E38*F20</f>
        <v>231000</v>
      </c>
      <c r="G38" s="31">
        <v>2200</v>
      </c>
      <c r="H38" s="98">
        <f>$E38*H20</f>
        <v>231000</v>
      </c>
      <c r="I38" s="31">
        <v>2200</v>
      </c>
      <c r="J38" s="98">
        <f>$E38*J20</f>
        <v>231000</v>
      </c>
      <c r="K38" s="38">
        <v>2200</v>
      </c>
      <c r="L38" s="87">
        <f>$E38*L20</f>
        <v>180400</v>
      </c>
      <c r="M38" s="63">
        <v>2200</v>
      </c>
      <c r="N38" s="169">
        <f>$E38*N20</f>
        <v>231000</v>
      </c>
      <c r="O38" s="38">
        <v>2200</v>
      </c>
      <c r="P38" s="87">
        <f>$E38*P20</f>
        <v>180400</v>
      </c>
      <c r="Q38" s="31">
        <v>2200</v>
      </c>
      <c r="R38" s="98">
        <f>$Q38*R20</f>
        <v>140800</v>
      </c>
    </row>
    <row r="39" spans="2:18">
      <c r="B39" s="83" t="s">
        <v>8</v>
      </c>
      <c r="C39" s="144" t="s">
        <v>122</v>
      </c>
      <c r="D39" s="178"/>
      <c r="E39" s="62">
        <v>1.1085394058457146E-2</v>
      </c>
      <c r="G39" s="96">
        <v>1.1085394058457146E-2</v>
      </c>
      <c r="I39" s="96">
        <v>1.1085394058457146E-2</v>
      </c>
      <c r="K39" s="85">
        <v>1.1085394058457146E-2</v>
      </c>
      <c r="L39" s="16"/>
      <c r="M39" s="62">
        <v>1.1085394058457146E-2</v>
      </c>
      <c r="O39" s="85">
        <v>1.1085394058457146E-2</v>
      </c>
      <c r="P39" s="16"/>
      <c r="Q39" s="96">
        <v>1.1085394058457146E-2</v>
      </c>
    </row>
    <row r="40" spans="2:18">
      <c r="B40" s="20" t="s">
        <v>97</v>
      </c>
      <c r="C40" s="139" t="s">
        <v>123</v>
      </c>
      <c r="D40" s="178" t="s">
        <v>201</v>
      </c>
      <c r="E40" s="63">
        <v>6</v>
      </c>
      <c r="F40" s="9">
        <f>$E40*F13</f>
        <v>384270</v>
      </c>
      <c r="G40" s="63">
        <v>6</v>
      </c>
      <c r="H40" s="9">
        <f>$E40*H13</f>
        <v>375792</v>
      </c>
      <c r="I40" s="63">
        <v>6</v>
      </c>
      <c r="J40" s="9">
        <f>$E40*J13</f>
        <v>375792</v>
      </c>
      <c r="K40" s="46">
        <v>6</v>
      </c>
      <c r="L40" s="16">
        <f>$K40*L13</f>
        <v>283500</v>
      </c>
      <c r="M40" s="63">
        <v>6</v>
      </c>
      <c r="N40" s="9">
        <f>$E40*N13</f>
        <v>375792</v>
      </c>
      <c r="O40" s="46">
        <v>6</v>
      </c>
      <c r="P40" s="16">
        <f>$K40*P13</f>
        <v>283500</v>
      </c>
      <c r="Q40" s="63">
        <v>6</v>
      </c>
      <c r="R40" s="9">
        <f>$E40*R13</f>
        <v>283500</v>
      </c>
    </row>
    <row r="41" spans="2:18">
      <c r="B41" s="20" t="s">
        <v>98</v>
      </c>
      <c r="C41" s="145" t="s">
        <v>122</v>
      </c>
      <c r="D41" s="178" t="s">
        <v>202</v>
      </c>
      <c r="E41" s="62">
        <v>0</v>
      </c>
      <c r="G41" s="62">
        <v>0</v>
      </c>
      <c r="I41" s="62">
        <v>0</v>
      </c>
      <c r="K41" s="46">
        <v>0</v>
      </c>
      <c r="L41" s="16"/>
      <c r="M41" s="62">
        <v>0</v>
      </c>
      <c r="O41" s="46">
        <v>0</v>
      </c>
      <c r="P41" s="16"/>
      <c r="Q41" s="62">
        <v>0</v>
      </c>
    </row>
    <row r="42" spans="2:18">
      <c r="B42" s="20" t="s">
        <v>9</v>
      </c>
      <c r="C42" s="145" t="s">
        <v>122</v>
      </c>
      <c r="D42" s="178"/>
      <c r="E42" s="62">
        <v>0</v>
      </c>
      <c r="G42" s="62">
        <v>0</v>
      </c>
      <c r="I42" s="62">
        <v>0</v>
      </c>
      <c r="K42" s="46">
        <v>0</v>
      </c>
      <c r="L42" s="16"/>
      <c r="M42" s="62">
        <v>0</v>
      </c>
      <c r="O42" s="46">
        <v>0</v>
      </c>
      <c r="P42" s="16"/>
      <c r="Q42" s="62">
        <v>0</v>
      </c>
    </row>
    <row r="43" spans="2:18">
      <c r="B43" s="20" t="s">
        <v>10</v>
      </c>
      <c r="C43" s="145" t="s">
        <v>122</v>
      </c>
      <c r="D43" s="178"/>
      <c r="E43" s="62">
        <v>2.9863427985380358E-4</v>
      </c>
      <c r="G43" s="62">
        <v>2.9863427985380358E-4</v>
      </c>
      <c r="I43" s="62">
        <v>2.9863427985380358E-4</v>
      </c>
      <c r="K43" s="46">
        <v>2.9863427985380358E-4</v>
      </c>
      <c r="L43" s="16"/>
      <c r="M43" s="62">
        <v>2.9863427985380358E-4</v>
      </c>
      <c r="O43" s="46">
        <v>2.9863427985380358E-4</v>
      </c>
      <c r="P43" s="16"/>
      <c r="Q43" s="62">
        <v>2.9863427985380358E-4</v>
      </c>
    </row>
    <row r="44" spans="2:18">
      <c r="B44" s="20" t="s">
        <v>11</v>
      </c>
      <c r="C44" s="145" t="s">
        <v>122</v>
      </c>
      <c r="D44" s="178" t="s">
        <v>114</v>
      </c>
      <c r="E44" s="62">
        <v>0</v>
      </c>
      <c r="G44" s="62">
        <v>0</v>
      </c>
      <c r="I44" s="62">
        <v>0</v>
      </c>
      <c r="K44" s="46">
        <v>0</v>
      </c>
      <c r="L44" s="16"/>
      <c r="M44" s="62">
        <v>0</v>
      </c>
      <c r="O44" s="46">
        <v>0</v>
      </c>
      <c r="P44" s="16"/>
      <c r="Q44" s="62">
        <v>0</v>
      </c>
    </row>
    <row r="45" spans="2:18">
      <c r="B45" s="20" t="s">
        <v>12</v>
      </c>
      <c r="C45" s="139" t="s">
        <v>125</v>
      </c>
      <c r="D45" s="178" t="s">
        <v>202</v>
      </c>
      <c r="E45" s="63">
        <v>300000</v>
      </c>
      <c r="F45" s="9">
        <f>E45</f>
        <v>300000</v>
      </c>
      <c r="G45" s="63">
        <v>300000</v>
      </c>
      <c r="H45" s="9">
        <f>G45</f>
        <v>300000</v>
      </c>
      <c r="I45" s="63">
        <v>300000</v>
      </c>
      <c r="J45" s="9">
        <f>H45</f>
        <v>300000</v>
      </c>
      <c r="K45" s="46">
        <v>300000</v>
      </c>
      <c r="L45" s="16">
        <f>J45</f>
        <v>300000</v>
      </c>
      <c r="M45" s="63">
        <v>300000</v>
      </c>
      <c r="N45" s="9">
        <f>M45</f>
        <v>300000</v>
      </c>
      <c r="O45" s="46">
        <v>300000</v>
      </c>
      <c r="P45" s="16">
        <f>N45</f>
        <v>300000</v>
      </c>
      <c r="Q45" s="63">
        <v>300000</v>
      </c>
      <c r="R45" s="9">
        <f>L45</f>
        <v>300000</v>
      </c>
    </row>
    <row r="46" spans="2:18">
      <c r="B46" s="20" t="s">
        <v>13</v>
      </c>
      <c r="C46" s="139" t="s">
        <v>126</v>
      </c>
      <c r="D46" s="178" t="s">
        <v>202</v>
      </c>
      <c r="E46" s="63">
        <v>300000</v>
      </c>
      <c r="F46" s="9">
        <f>E46</f>
        <v>300000</v>
      </c>
      <c r="G46" s="63">
        <v>300000</v>
      </c>
      <c r="H46" s="9">
        <f>F46</f>
        <v>300000</v>
      </c>
      <c r="I46" s="63">
        <v>300000</v>
      </c>
      <c r="J46" s="9">
        <f>H46</f>
        <v>300000</v>
      </c>
      <c r="K46" s="46">
        <v>300000</v>
      </c>
      <c r="L46" s="16">
        <f>J46</f>
        <v>300000</v>
      </c>
      <c r="M46" s="63">
        <v>300000</v>
      </c>
      <c r="N46" s="9">
        <f>M46</f>
        <v>300000</v>
      </c>
      <c r="O46" s="46">
        <v>300000</v>
      </c>
      <c r="P46" s="16">
        <f>N46</f>
        <v>300000</v>
      </c>
      <c r="Q46" s="63">
        <v>300000</v>
      </c>
      <c r="R46" s="9">
        <f>L46</f>
        <v>300000</v>
      </c>
    </row>
    <row r="47" spans="2:18">
      <c r="B47" s="22" t="s">
        <v>87</v>
      </c>
      <c r="C47" s="146" t="s">
        <v>118</v>
      </c>
      <c r="D47" s="182"/>
      <c r="E47" s="64"/>
      <c r="F47" s="11">
        <f>SUM(F48:F49)</f>
        <v>60000</v>
      </c>
      <c r="G47" s="64"/>
      <c r="H47" s="11">
        <f>SUM(H48:H49)</f>
        <v>60000</v>
      </c>
      <c r="I47" s="64"/>
      <c r="J47" s="11">
        <f>SUM(J48:J49)</f>
        <v>60000</v>
      </c>
      <c r="K47" s="49"/>
      <c r="L47" s="16">
        <f>SUM(L48:L49)</f>
        <v>60000</v>
      </c>
      <c r="M47" s="64"/>
      <c r="N47" s="11">
        <f>SUM(N48:N49)</f>
        <v>60000</v>
      </c>
      <c r="O47" s="49"/>
      <c r="P47" s="16">
        <f>SUM(P48:P49)</f>
        <v>60000</v>
      </c>
      <c r="Q47" s="64"/>
      <c r="R47" s="11">
        <f>SUM(R48:R49)</f>
        <v>60000</v>
      </c>
    </row>
    <row r="48" spans="2:18">
      <c r="B48" s="20" t="s">
        <v>88</v>
      </c>
      <c r="C48" s="139" t="s">
        <v>127</v>
      </c>
      <c r="D48" s="178" t="s">
        <v>202</v>
      </c>
      <c r="E48" s="63">
        <v>50000</v>
      </c>
      <c r="F48" s="9">
        <f>E48</f>
        <v>50000</v>
      </c>
      <c r="G48" s="63">
        <v>50000</v>
      </c>
      <c r="H48" s="9">
        <f>F48</f>
        <v>50000</v>
      </c>
      <c r="I48" s="63">
        <v>50000</v>
      </c>
      <c r="J48" s="9">
        <f>H48</f>
        <v>50000</v>
      </c>
      <c r="K48" s="46">
        <v>50000</v>
      </c>
      <c r="L48" s="16">
        <f>J48</f>
        <v>50000</v>
      </c>
      <c r="M48" s="63">
        <v>50000</v>
      </c>
      <c r="N48" s="9">
        <f>M48</f>
        <v>50000</v>
      </c>
      <c r="O48" s="46">
        <v>50000</v>
      </c>
      <c r="P48" s="16">
        <f>N48</f>
        <v>50000</v>
      </c>
      <c r="Q48" s="63">
        <v>50000</v>
      </c>
      <c r="R48" s="9">
        <f>L48</f>
        <v>50000</v>
      </c>
    </row>
    <row r="49" spans="2:18">
      <c r="B49" s="20" t="s">
        <v>3</v>
      </c>
      <c r="C49" s="139" t="s">
        <v>128</v>
      </c>
      <c r="D49" s="178" t="s">
        <v>202</v>
      </c>
      <c r="E49" s="63">
        <v>10000</v>
      </c>
      <c r="F49" s="9">
        <f>E49</f>
        <v>10000</v>
      </c>
      <c r="G49" s="63">
        <v>10000</v>
      </c>
      <c r="H49" s="9">
        <f>F49</f>
        <v>10000</v>
      </c>
      <c r="I49" s="63">
        <v>10000</v>
      </c>
      <c r="J49" s="9">
        <f>H49</f>
        <v>10000</v>
      </c>
      <c r="K49" s="46">
        <v>10000</v>
      </c>
      <c r="L49" s="16">
        <f>J49</f>
        <v>10000</v>
      </c>
      <c r="M49" s="63">
        <v>10000</v>
      </c>
      <c r="N49" s="9">
        <f>M49</f>
        <v>10000</v>
      </c>
      <c r="O49" s="46">
        <v>10000</v>
      </c>
      <c r="P49" s="16">
        <f>N49</f>
        <v>10000</v>
      </c>
      <c r="Q49" s="63">
        <v>10000</v>
      </c>
      <c r="R49" s="9">
        <f>L49</f>
        <v>10000</v>
      </c>
    </row>
    <row r="50" spans="2:18">
      <c r="B50" s="23" t="s">
        <v>90</v>
      </c>
      <c r="C50" s="146" t="s">
        <v>118</v>
      </c>
      <c r="D50" s="183"/>
      <c r="E50" s="65"/>
      <c r="F50" s="16">
        <f>SUM(F51:F53)</f>
        <v>2517888.1000000006</v>
      </c>
      <c r="G50" s="65"/>
      <c r="H50" s="16">
        <f>SUM(H51:H53)</f>
        <v>2465352.7600000002</v>
      </c>
      <c r="I50" s="225"/>
      <c r="J50" s="16">
        <f>SUM(J51:J53)</f>
        <v>2440699.2324000001</v>
      </c>
      <c r="K50" s="50"/>
      <c r="L50" s="16">
        <f>SUM(L51:L53)</f>
        <v>1389193</v>
      </c>
      <c r="M50" s="65"/>
      <c r="N50" s="16">
        <f>SUM(N51:N53)</f>
        <v>2465352.7600000002</v>
      </c>
      <c r="O50" s="50"/>
      <c r="P50" s="16">
        <f>SUM(P51:P53)</f>
        <v>1375301.07</v>
      </c>
      <c r="Q50" s="132" t="s">
        <v>210</v>
      </c>
      <c r="R50" s="16">
        <f>SUM(R51:R53)</f>
        <v>1747681</v>
      </c>
    </row>
    <row r="51" spans="2:18">
      <c r="B51" s="24" t="s">
        <v>14</v>
      </c>
      <c r="C51" s="134" t="s">
        <v>129</v>
      </c>
      <c r="D51" s="184" t="s">
        <v>201</v>
      </c>
      <c r="E51" s="66">
        <v>7.0000000000000007E-2</v>
      </c>
      <c r="F51" s="15">
        <f>F34*$E51</f>
        <v>1355785.9000000001</v>
      </c>
      <c r="G51" s="66">
        <v>7.0000000000000007E-2</v>
      </c>
      <c r="H51" s="15">
        <f>H34*$E51</f>
        <v>1327497.6400000001</v>
      </c>
      <c r="I51" s="66">
        <v>7.0000000000000007E-2</v>
      </c>
      <c r="J51" s="15">
        <f>J34*$E51</f>
        <v>1314222.6636000001</v>
      </c>
      <c r="K51" s="211">
        <v>7.0000000000000007E-2</v>
      </c>
      <c r="L51" s="16">
        <f>L34*$K51</f>
        <v>748027.00000000012</v>
      </c>
      <c r="M51" s="66">
        <v>7.0000000000000007E-2</v>
      </c>
      <c r="N51" s="15">
        <f>N34*$E51</f>
        <v>1327497.6400000001</v>
      </c>
      <c r="O51" s="211">
        <v>7.0000000000000007E-2</v>
      </c>
      <c r="P51" s="16">
        <f>P34*$K51</f>
        <v>740546.7300000001</v>
      </c>
      <c r="Q51" s="66">
        <v>7.0000000000000007E-2</v>
      </c>
      <c r="R51" s="15">
        <f>R34*$E51</f>
        <v>941059.00000000012</v>
      </c>
    </row>
    <row r="52" spans="2:18">
      <c r="B52" s="24" t="s">
        <v>19</v>
      </c>
      <c r="C52" s="134" t="s">
        <v>136</v>
      </c>
      <c r="D52" s="184" t="s">
        <v>201</v>
      </c>
      <c r="E52" s="66">
        <v>0.05</v>
      </c>
      <c r="F52" s="15">
        <f>F34*$E52</f>
        <v>968418.5</v>
      </c>
      <c r="G52" s="66">
        <v>0.05</v>
      </c>
      <c r="H52" s="15">
        <f>H34*$E52</f>
        <v>948212.60000000009</v>
      </c>
      <c r="I52" s="66">
        <v>0.05</v>
      </c>
      <c r="J52" s="15">
        <f>J34*$E52</f>
        <v>938730.47400000005</v>
      </c>
      <c r="K52" s="211">
        <v>0.05</v>
      </c>
      <c r="L52" s="16">
        <f>L34*$E52</f>
        <v>534305</v>
      </c>
      <c r="M52" s="66">
        <v>0.05</v>
      </c>
      <c r="N52" s="15">
        <f>N34*$E52</f>
        <v>948212.60000000009</v>
      </c>
      <c r="O52" s="211">
        <v>0.05</v>
      </c>
      <c r="P52" s="16">
        <f>P34*$E52</f>
        <v>528961.95000000007</v>
      </c>
      <c r="Q52" s="66">
        <v>0.05</v>
      </c>
      <c r="R52" s="15">
        <f>R34*$E52</f>
        <v>672185</v>
      </c>
    </row>
    <row r="53" spans="2:18">
      <c r="B53" s="99" t="s">
        <v>89</v>
      </c>
      <c r="C53" s="147" t="s">
        <v>137</v>
      </c>
      <c r="D53" s="184" t="s">
        <v>201</v>
      </c>
      <c r="E53" s="66">
        <v>0.01</v>
      </c>
      <c r="F53" s="14">
        <f>F34*$E53</f>
        <v>193683.7</v>
      </c>
      <c r="G53" s="66">
        <v>0.01</v>
      </c>
      <c r="H53" s="14">
        <f>H34*$E53</f>
        <v>189642.52</v>
      </c>
      <c r="I53" s="66">
        <v>0.01</v>
      </c>
      <c r="J53" s="14">
        <f>J34*$E53</f>
        <v>187746.09480000002</v>
      </c>
      <c r="K53" s="212">
        <v>0.01</v>
      </c>
      <c r="L53" s="16">
        <f>L34*$E53</f>
        <v>106861</v>
      </c>
      <c r="M53" s="66">
        <v>0.01</v>
      </c>
      <c r="N53" s="14">
        <f>N34*$E53</f>
        <v>189642.52</v>
      </c>
      <c r="O53" s="212">
        <v>0.01</v>
      </c>
      <c r="P53" s="16">
        <f>P34*$E53</f>
        <v>105792.39</v>
      </c>
      <c r="Q53" s="66">
        <v>0.01</v>
      </c>
      <c r="R53" s="14">
        <f>R34*$E53</f>
        <v>134437</v>
      </c>
    </row>
    <row r="54" spans="2:18">
      <c r="B54" s="102" t="s">
        <v>17</v>
      </c>
      <c r="C54" s="148" t="s">
        <v>133</v>
      </c>
      <c r="D54" s="183"/>
      <c r="E54" s="189"/>
      <c r="F54" s="190">
        <f>SUM(F55:F56)</f>
        <v>2268555.4685666668</v>
      </c>
      <c r="G54" s="65"/>
      <c r="H54" s="190">
        <f>SUM(H55:H56)</f>
        <v>2222722.7129066666</v>
      </c>
      <c r="I54" s="65" t="s">
        <v>211</v>
      </c>
      <c r="J54" s="190">
        <f>SUM(J55:J56)</f>
        <v>0</v>
      </c>
      <c r="K54" s="28"/>
      <c r="L54" s="190"/>
      <c r="M54" s="189"/>
      <c r="N54" s="190">
        <f>SUM(N55:N56)</f>
        <v>2222722.7129066666</v>
      </c>
      <c r="O54" s="28"/>
      <c r="P54" s="190"/>
      <c r="Q54" s="65" t="s">
        <v>211</v>
      </c>
      <c r="R54" s="190">
        <f>SUM(R55:R56)</f>
        <v>0</v>
      </c>
    </row>
    <row r="55" spans="2:18">
      <c r="B55" s="101" t="s">
        <v>91</v>
      </c>
      <c r="C55" s="149" t="s">
        <v>131</v>
      </c>
      <c r="D55" s="184" t="s">
        <v>201</v>
      </c>
      <c r="E55" s="67">
        <v>0.10100000000000001</v>
      </c>
      <c r="F55" s="14">
        <f>$E55*SUM(F32:F34)</f>
        <v>1976745.8241666667</v>
      </c>
      <c r="G55" s="217">
        <v>0.10100000000000001</v>
      </c>
      <c r="H55" s="14">
        <f>$G55*SUM(H32:H34)</f>
        <v>1935810.9786666667</v>
      </c>
      <c r="I55" s="191">
        <v>0</v>
      </c>
      <c r="J55" s="14">
        <f>$I55*SUM(J32:J34)</f>
        <v>0</v>
      </c>
      <c r="K55" s="213">
        <v>0.10100000000000001</v>
      </c>
      <c r="L55" s="16">
        <f>$E55*SUM(L32:L34)</f>
        <v>1086593.3500000001</v>
      </c>
      <c r="M55" s="67">
        <v>0.10100000000000001</v>
      </c>
      <c r="N55" s="14">
        <f>$E55*SUM(N32:N34)</f>
        <v>1935810.9786666667</v>
      </c>
      <c r="O55" s="234">
        <v>0</v>
      </c>
      <c r="P55" s="16">
        <f>$M55*SUM(P32:P34)</f>
        <v>1075800.389</v>
      </c>
      <c r="Q55" s="191">
        <v>0</v>
      </c>
      <c r="R55" s="14">
        <f>$I55*SUM(R32:R34)</f>
        <v>0</v>
      </c>
    </row>
    <row r="56" spans="2:18">
      <c r="B56" s="99" t="s">
        <v>92</v>
      </c>
      <c r="C56" s="147" t="s">
        <v>138</v>
      </c>
      <c r="D56" s="184" t="s">
        <v>201</v>
      </c>
      <c r="E56" s="67">
        <v>0.10100000000000001</v>
      </c>
      <c r="F56" s="15">
        <f>$E56*SUM(F61:F62,F51:F52,F47)</f>
        <v>291809.64440000005</v>
      </c>
      <c r="G56" s="218">
        <v>0.10100000000000001</v>
      </c>
      <c r="H56" s="15">
        <f>$G56*SUM(H61:H62,H51:H52,H47)</f>
        <v>286911.73424000002</v>
      </c>
      <c r="I56" s="192">
        <v>0</v>
      </c>
      <c r="J56" s="15">
        <f>$I56*SUM(J61:J62,J51:J52,J47)</f>
        <v>0</v>
      </c>
      <c r="K56" s="212">
        <v>0.10100000000000001</v>
      </c>
      <c r="L56" s="16">
        <f>$E56*SUM(L61:L62,L51:L52,L47)</f>
        <v>186580.53200000001</v>
      </c>
      <c r="M56" s="67">
        <v>0.10100000000000001</v>
      </c>
      <c r="N56" s="15">
        <f>$E56*SUM(N61:N62,N51:N52,N47)</f>
        <v>286911.73424000002</v>
      </c>
      <c r="O56" s="235">
        <v>0</v>
      </c>
      <c r="P56" s="16">
        <f>$M56*SUM(P61:P62,P51:P52,P47)</f>
        <v>185285.37668000002</v>
      </c>
      <c r="Q56" s="192">
        <v>0</v>
      </c>
      <c r="R56" s="15">
        <f>$I56*SUM(R61:R62,R51:R52,R47)</f>
        <v>0</v>
      </c>
    </row>
    <row r="57" spans="2:18">
      <c r="B57" s="129" t="s">
        <v>18</v>
      </c>
      <c r="C57" s="150" t="s">
        <v>132</v>
      </c>
      <c r="D57" s="184" t="s">
        <v>202</v>
      </c>
      <c r="E57" s="67">
        <v>8.0000000000000002E-3</v>
      </c>
      <c r="F57" s="171">
        <f>F34*$E57</f>
        <v>154946.96</v>
      </c>
      <c r="G57" s="193">
        <v>0</v>
      </c>
      <c r="H57" s="130">
        <f>H34*$G57</f>
        <v>0</v>
      </c>
      <c r="I57" s="219">
        <v>8.0000000000000002E-3</v>
      </c>
      <c r="J57" s="130">
        <f>J34*$I57</f>
        <v>150196.87583999999</v>
      </c>
      <c r="K57" s="236">
        <v>8.0000000000000002E-3</v>
      </c>
      <c r="L57" s="126">
        <f>L34*$K57</f>
        <v>85488.8</v>
      </c>
      <c r="M57" s="67">
        <v>8.0000000000000002E-3</v>
      </c>
      <c r="N57" s="171">
        <f>N34*$E57</f>
        <v>151714.016</v>
      </c>
      <c r="O57" s="237">
        <v>0</v>
      </c>
      <c r="P57" s="87">
        <f>P34*$M57</f>
        <v>84633.911999999997</v>
      </c>
      <c r="Q57" s="193">
        <v>0</v>
      </c>
      <c r="R57" s="130">
        <f>R34*$I57</f>
        <v>107549.6</v>
      </c>
    </row>
    <row r="58" spans="2:18">
      <c r="B58" s="127" t="s">
        <v>21</v>
      </c>
      <c r="C58" s="151" t="s">
        <v>133</v>
      </c>
      <c r="D58" s="183"/>
      <c r="E58" s="250">
        <v>2.5383913787573303E-3</v>
      </c>
      <c r="F58" s="11">
        <f>SUM(F59:F62)</f>
        <v>660000</v>
      </c>
      <c r="G58" s="251">
        <v>2.5383913787573303E-3</v>
      </c>
      <c r="H58" s="11">
        <f>SUM(H59:H62)</f>
        <v>660000</v>
      </c>
      <c r="I58" s="251">
        <v>2.5383913787573303E-3</v>
      </c>
      <c r="J58" s="11">
        <f>SUM(J59:J62)</f>
        <v>660000</v>
      </c>
      <c r="K58" s="251">
        <v>2.5383913787573303E-3</v>
      </c>
      <c r="L58" s="16">
        <f>SUM(L59:L62)</f>
        <v>660000</v>
      </c>
      <c r="M58" s="250">
        <v>2.5383913787573303E-3</v>
      </c>
      <c r="N58" s="11">
        <f>SUM(N59:N62)</f>
        <v>660000</v>
      </c>
      <c r="O58" s="251">
        <v>2.5383913787573303E-3</v>
      </c>
      <c r="P58" s="16">
        <f>SUM(P59:P62)</f>
        <v>660000</v>
      </c>
      <c r="Q58" s="128">
        <v>2.5383913787573303E-3</v>
      </c>
      <c r="R58" s="11">
        <f>SUM(R59:R62)</f>
        <v>730000</v>
      </c>
    </row>
    <row r="59" spans="2:18">
      <c r="B59" s="24" t="s">
        <v>22</v>
      </c>
      <c r="C59" s="134" t="s">
        <v>139</v>
      </c>
      <c r="D59" s="184" t="s">
        <v>114</v>
      </c>
      <c r="E59" s="68">
        <v>80000</v>
      </c>
      <c r="F59" s="9">
        <f>E59</f>
        <v>80000</v>
      </c>
      <c r="G59" s="68">
        <v>80000</v>
      </c>
      <c r="H59" s="9">
        <f>F59</f>
        <v>80000</v>
      </c>
      <c r="I59" s="68">
        <v>80000</v>
      </c>
      <c r="J59" s="9">
        <f>H59</f>
        <v>80000</v>
      </c>
      <c r="K59" s="51">
        <v>80000</v>
      </c>
      <c r="L59" s="16">
        <f>J59</f>
        <v>80000</v>
      </c>
      <c r="M59" s="68">
        <v>80000</v>
      </c>
      <c r="N59" s="9">
        <f>M59</f>
        <v>80000</v>
      </c>
      <c r="O59" s="51">
        <v>80000</v>
      </c>
      <c r="P59" s="16">
        <f>N59</f>
        <v>80000</v>
      </c>
      <c r="Q59" s="214">
        <v>150000</v>
      </c>
      <c r="R59" s="9">
        <f>Q59</f>
        <v>150000</v>
      </c>
    </row>
    <row r="60" spans="2:18">
      <c r="B60" s="24" t="s">
        <v>23</v>
      </c>
      <c r="C60" s="152" t="s">
        <v>141</v>
      </c>
      <c r="D60" s="184" t="s">
        <v>114</v>
      </c>
      <c r="E60" s="68">
        <v>75000</v>
      </c>
      <c r="F60" s="9">
        <f t="shared" ref="F60:F62" si="3">E60</f>
        <v>75000</v>
      </c>
      <c r="G60" s="68">
        <v>75000</v>
      </c>
      <c r="H60" s="9">
        <f>F60</f>
        <v>75000</v>
      </c>
      <c r="I60" s="68">
        <v>75000</v>
      </c>
      <c r="J60" s="9">
        <f>H60</f>
        <v>75000</v>
      </c>
      <c r="K60" s="51">
        <v>75000</v>
      </c>
      <c r="L60" s="16">
        <f>J60</f>
        <v>75000</v>
      </c>
      <c r="M60" s="68">
        <v>75000</v>
      </c>
      <c r="N60" s="9">
        <f t="shared" ref="N60:N62" si="4">M60</f>
        <v>75000</v>
      </c>
      <c r="O60" s="51">
        <v>75000</v>
      </c>
      <c r="P60" s="16">
        <f>N60</f>
        <v>75000</v>
      </c>
      <c r="Q60" s="68">
        <v>75000</v>
      </c>
      <c r="R60" s="9">
        <f>Q60</f>
        <v>75000</v>
      </c>
    </row>
    <row r="61" spans="2:18">
      <c r="B61" s="24" t="s">
        <v>24</v>
      </c>
      <c r="C61" s="152" t="s">
        <v>140</v>
      </c>
      <c r="D61" s="184" t="s">
        <v>202</v>
      </c>
      <c r="E61" s="68">
        <v>300000</v>
      </c>
      <c r="F61" s="9">
        <f t="shared" si="3"/>
        <v>300000</v>
      </c>
      <c r="G61" s="68">
        <v>300000</v>
      </c>
      <c r="H61" s="9">
        <f>F61</f>
        <v>300000</v>
      </c>
      <c r="I61" s="68">
        <v>300000</v>
      </c>
      <c r="J61" s="9">
        <f>H61</f>
        <v>300000</v>
      </c>
      <c r="K61" s="51">
        <v>300000</v>
      </c>
      <c r="L61" s="16">
        <f>J61</f>
        <v>300000</v>
      </c>
      <c r="M61" s="68">
        <v>300000</v>
      </c>
      <c r="N61" s="9">
        <f t="shared" si="4"/>
        <v>300000</v>
      </c>
      <c r="O61" s="51">
        <v>300000</v>
      </c>
      <c r="P61" s="16">
        <f>N61</f>
        <v>300000</v>
      </c>
      <c r="Q61" s="68">
        <v>300000</v>
      </c>
      <c r="R61" s="9">
        <f>Q61</f>
        <v>300000</v>
      </c>
    </row>
    <row r="62" spans="2:18">
      <c r="B62" s="24" t="s">
        <v>25</v>
      </c>
      <c r="C62" s="152" t="s">
        <v>195</v>
      </c>
      <c r="D62" s="184" t="s">
        <v>202</v>
      </c>
      <c r="E62" s="68">
        <v>205000</v>
      </c>
      <c r="F62" s="9">
        <f t="shared" si="3"/>
        <v>205000</v>
      </c>
      <c r="G62" s="68">
        <v>205000</v>
      </c>
      <c r="H62" s="9">
        <f>F62</f>
        <v>205000</v>
      </c>
      <c r="I62" s="68">
        <v>205000</v>
      </c>
      <c r="J62" s="9">
        <f>H62</f>
        <v>205000</v>
      </c>
      <c r="K62" s="51">
        <v>205000</v>
      </c>
      <c r="L62" s="16">
        <f>J62</f>
        <v>205000</v>
      </c>
      <c r="M62" s="68">
        <v>205000</v>
      </c>
      <c r="N62" s="9">
        <f t="shared" si="4"/>
        <v>205000</v>
      </c>
      <c r="O62" s="51">
        <v>205000</v>
      </c>
      <c r="P62" s="16">
        <f>N62</f>
        <v>205000</v>
      </c>
      <c r="Q62" s="68">
        <v>205000</v>
      </c>
      <c r="R62" s="9">
        <f>Q62</f>
        <v>205000</v>
      </c>
    </row>
    <row r="63" spans="2:18" ht="16">
      <c r="B63" s="18" t="s">
        <v>26</v>
      </c>
      <c r="C63" s="153"/>
      <c r="D63" s="177"/>
      <c r="E63" s="55">
        <v>0</v>
      </c>
      <c r="G63" s="55">
        <v>0</v>
      </c>
      <c r="I63" s="55">
        <v>0</v>
      </c>
      <c r="K63" s="45">
        <v>0</v>
      </c>
      <c r="L63" s="16"/>
      <c r="M63" s="55">
        <v>0</v>
      </c>
      <c r="O63" s="45">
        <v>0</v>
      </c>
      <c r="P63" s="16"/>
      <c r="Q63" s="55">
        <v>0</v>
      </c>
    </row>
    <row r="64" spans="2:18">
      <c r="B64" s="3" t="s">
        <v>27</v>
      </c>
      <c r="C64" s="152" t="s">
        <v>122</v>
      </c>
      <c r="D64" s="184" t="s">
        <v>114</v>
      </c>
      <c r="E64" s="69">
        <v>3500</v>
      </c>
      <c r="G64" s="69">
        <v>3500</v>
      </c>
      <c r="I64" s="69">
        <v>3500</v>
      </c>
      <c r="K64" s="51">
        <v>3500</v>
      </c>
      <c r="L64" s="16"/>
      <c r="M64" s="69">
        <v>3500</v>
      </c>
      <c r="O64" s="51">
        <v>3500</v>
      </c>
      <c r="P64" s="16"/>
      <c r="Q64" s="69">
        <v>3500</v>
      </c>
    </row>
    <row r="65" spans="1:18">
      <c r="B65" s="3" t="s">
        <v>28</v>
      </c>
      <c r="C65" s="152" t="s">
        <v>122</v>
      </c>
      <c r="D65" s="184" t="s">
        <v>114</v>
      </c>
      <c r="E65" s="69">
        <v>7000</v>
      </c>
      <c r="G65" s="69">
        <v>7000</v>
      </c>
      <c r="I65" s="69">
        <v>7000</v>
      </c>
      <c r="K65" s="51">
        <v>7000</v>
      </c>
      <c r="L65" s="16"/>
      <c r="M65" s="69">
        <v>7000</v>
      </c>
      <c r="O65" s="51">
        <v>7000</v>
      </c>
      <c r="P65" s="16"/>
      <c r="Q65" s="69">
        <v>7000</v>
      </c>
    </row>
    <row r="66" spans="1:18">
      <c r="B66" s="23" t="s">
        <v>93</v>
      </c>
      <c r="C66" s="154" t="s">
        <v>133</v>
      </c>
      <c r="D66" s="183"/>
      <c r="E66" s="65">
        <v>0</v>
      </c>
      <c r="F66" s="13">
        <f>SUM(F67:F70)</f>
        <v>1445785.9000000001</v>
      </c>
      <c r="G66" s="65">
        <v>0</v>
      </c>
      <c r="H66" s="13">
        <f>SUM(H67:H70)</f>
        <v>1417497.6400000001</v>
      </c>
      <c r="I66" s="65">
        <v>0</v>
      </c>
      <c r="J66" s="13">
        <f>SUM(J67:J70)</f>
        <v>1404222.6636000001</v>
      </c>
      <c r="K66" s="50">
        <v>0</v>
      </c>
      <c r="L66" s="13">
        <f>SUM(L67:L70)</f>
        <v>838027.00000000012</v>
      </c>
      <c r="M66" s="65">
        <v>0</v>
      </c>
      <c r="N66" s="13">
        <f>SUM(N67:N70)</f>
        <v>1417497.6400000001</v>
      </c>
      <c r="O66" s="50">
        <v>0</v>
      </c>
      <c r="P66" s="13">
        <f>SUM(P67:P70)</f>
        <v>830546.7300000001</v>
      </c>
      <c r="Q66" s="65">
        <v>0</v>
      </c>
      <c r="R66" s="13">
        <f>SUM(R67:R70)</f>
        <v>1031059.0000000001</v>
      </c>
    </row>
    <row r="67" spans="1:18">
      <c r="B67" s="20" t="s">
        <v>29</v>
      </c>
      <c r="C67" s="145" t="s">
        <v>160</v>
      </c>
      <c r="D67" s="178" t="s">
        <v>114</v>
      </c>
      <c r="E67" s="63">
        <v>50000</v>
      </c>
      <c r="F67" s="9">
        <f>E67</f>
        <v>50000</v>
      </c>
      <c r="G67" s="63">
        <v>50000</v>
      </c>
      <c r="H67" s="9">
        <f>F67</f>
        <v>50000</v>
      </c>
      <c r="I67" s="63">
        <v>50000</v>
      </c>
      <c r="J67" s="9">
        <f>H67</f>
        <v>50000</v>
      </c>
      <c r="K67" s="46">
        <v>50000</v>
      </c>
      <c r="L67" s="16">
        <f>J67</f>
        <v>50000</v>
      </c>
      <c r="M67" s="63">
        <v>50000</v>
      </c>
      <c r="N67" s="9">
        <f>M67</f>
        <v>50000</v>
      </c>
      <c r="O67" s="46">
        <v>50000</v>
      </c>
      <c r="P67" s="16">
        <f>N67</f>
        <v>50000</v>
      </c>
      <c r="Q67" s="63">
        <v>50000</v>
      </c>
      <c r="R67" s="9">
        <f>L67</f>
        <v>50000</v>
      </c>
    </row>
    <row r="68" spans="1:18">
      <c r="B68" s="20" t="s">
        <v>30</v>
      </c>
      <c r="C68" s="139" t="s">
        <v>142</v>
      </c>
      <c r="D68" s="178" t="s">
        <v>202</v>
      </c>
      <c r="E68" s="62">
        <v>7.0000000000000007E-2</v>
      </c>
      <c r="F68" s="15">
        <f>$E68*F34</f>
        <v>1355785.9000000001</v>
      </c>
      <c r="G68" s="62">
        <v>7.0000000000000007E-2</v>
      </c>
      <c r="H68" s="15">
        <f>$E68*H34</f>
        <v>1327497.6400000001</v>
      </c>
      <c r="I68" s="194">
        <v>7.0000000000000007E-2</v>
      </c>
      <c r="J68" s="15">
        <f>$E68*J34</f>
        <v>1314222.6636000001</v>
      </c>
      <c r="K68" s="216">
        <v>7.0000000000000007E-2</v>
      </c>
      <c r="L68" s="16">
        <f>$K68*L34</f>
        <v>748027.00000000012</v>
      </c>
      <c r="M68" s="62">
        <v>7.0000000000000007E-2</v>
      </c>
      <c r="N68" s="15">
        <f>$E68*N34</f>
        <v>1327497.6400000001</v>
      </c>
      <c r="O68" s="216">
        <v>7.0000000000000007E-2</v>
      </c>
      <c r="P68" s="238">
        <f>$M68*P34</f>
        <v>740546.7300000001</v>
      </c>
      <c r="Q68" s="194">
        <v>7.0000000000000007E-2</v>
      </c>
      <c r="R68" s="15">
        <f>$E68*R34</f>
        <v>941059.00000000012</v>
      </c>
    </row>
    <row r="69" spans="1:18">
      <c r="B69" s="20" t="s">
        <v>31</v>
      </c>
      <c r="C69" s="145" t="s">
        <v>143</v>
      </c>
      <c r="D69" s="178" t="s">
        <v>114</v>
      </c>
      <c r="E69" s="63">
        <v>8000</v>
      </c>
      <c r="F69" s="9">
        <f>E69</f>
        <v>8000</v>
      </c>
      <c r="G69" s="63">
        <v>8000</v>
      </c>
      <c r="H69" s="9">
        <f t="shared" ref="H69:H75" si="5">F69</f>
        <v>8000</v>
      </c>
      <c r="I69" s="63">
        <v>8000</v>
      </c>
      <c r="J69" s="9">
        <f t="shared" ref="J69:J75" si="6">H69</f>
        <v>8000</v>
      </c>
      <c r="K69" s="46">
        <v>8000</v>
      </c>
      <c r="L69" s="16">
        <f t="shared" ref="L69:L75" si="7">J69</f>
        <v>8000</v>
      </c>
      <c r="M69" s="63">
        <v>8000</v>
      </c>
      <c r="N69" s="9">
        <f>M69</f>
        <v>8000</v>
      </c>
      <c r="O69" s="46">
        <v>8000</v>
      </c>
      <c r="P69" s="16">
        <f t="shared" ref="P69:P75" si="8">N69</f>
        <v>8000</v>
      </c>
      <c r="Q69" s="63">
        <v>8000</v>
      </c>
      <c r="R69" s="9">
        <f t="shared" ref="R69:R75" si="9">L69</f>
        <v>8000</v>
      </c>
    </row>
    <row r="70" spans="1:18">
      <c r="B70" s="20" t="s">
        <v>32</v>
      </c>
      <c r="C70" s="145" t="s">
        <v>122</v>
      </c>
      <c r="D70" s="178" t="s">
        <v>114</v>
      </c>
      <c r="E70" s="63">
        <v>32000</v>
      </c>
      <c r="F70" s="9">
        <f t="shared" ref="F70:F75" si="10">E70</f>
        <v>32000</v>
      </c>
      <c r="G70" s="63">
        <v>32000</v>
      </c>
      <c r="H70" s="9">
        <f t="shared" si="5"/>
        <v>32000</v>
      </c>
      <c r="I70" s="63">
        <v>32000</v>
      </c>
      <c r="J70" s="9">
        <f t="shared" si="6"/>
        <v>32000</v>
      </c>
      <c r="K70" s="46">
        <v>32000</v>
      </c>
      <c r="L70" s="16">
        <f t="shared" si="7"/>
        <v>32000</v>
      </c>
      <c r="M70" s="63">
        <v>32000</v>
      </c>
      <c r="N70" s="9">
        <f t="shared" ref="N70:N75" si="11">M70</f>
        <v>32000</v>
      </c>
      <c r="O70" s="46">
        <v>32000</v>
      </c>
      <c r="P70" s="16">
        <f t="shared" si="8"/>
        <v>32000</v>
      </c>
      <c r="Q70" s="63">
        <v>32000</v>
      </c>
      <c r="R70" s="9">
        <f t="shared" si="9"/>
        <v>32000</v>
      </c>
    </row>
    <row r="71" spans="1:18">
      <c r="B71" s="3" t="s">
        <v>33</v>
      </c>
      <c r="C71" s="145" t="s">
        <v>146</v>
      </c>
      <c r="D71" s="178" t="s">
        <v>114</v>
      </c>
      <c r="E71" s="69">
        <v>20000</v>
      </c>
      <c r="F71" s="11">
        <f t="shared" si="10"/>
        <v>20000</v>
      </c>
      <c r="G71" s="69">
        <v>20000</v>
      </c>
      <c r="H71" s="11">
        <f t="shared" si="5"/>
        <v>20000</v>
      </c>
      <c r="I71" s="69">
        <v>20000</v>
      </c>
      <c r="J71" s="11">
        <f t="shared" si="6"/>
        <v>20000</v>
      </c>
      <c r="K71" s="51">
        <v>20000</v>
      </c>
      <c r="L71" s="16">
        <f t="shared" si="7"/>
        <v>20000</v>
      </c>
      <c r="M71" s="69">
        <v>20000</v>
      </c>
      <c r="N71" s="11">
        <f t="shared" si="11"/>
        <v>20000</v>
      </c>
      <c r="O71" s="51">
        <v>20000</v>
      </c>
      <c r="P71" s="16">
        <f t="shared" si="8"/>
        <v>20000</v>
      </c>
      <c r="Q71" s="69">
        <v>20000</v>
      </c>
      <c r="R71" s="11">
        <f t="shared" si="9"/>
        <v>20000</v>
      </c>
    </row>
    <row r="72" spans="1:18">
      <c r="B72" s="3" t="s">
        <v>34</v>
      </c>
      <c r="C72" s="139" t="s">
        <v>148</v>
      </c>
      <c r="D72" s="178" t="s">
        <v>114</v>
      </c>
      <c r="E72" s="69">
        <v>12000</v>
      </c>
      <c r="F72" s="11">
        <f t="shared" si="10"/>
        <v>12000</v>
      </c>
      <c r="G72" s="69">
        <v>12000</v>
      </c>
      <c r="H72" s="11">
        <f t="shared" si="5"/>
        <v>12000</v>
      </c>
      <c r="I72" s="69">
        <v>12000</v>
      </c>
      <c r="J72" s="11">
        <f t="shared" si="6"/>
        <v>12000</v>
      </c>
      <c r="K72" s="51">
        <v>12000</v>
      </c>
      <c r="L72" s="16">
        <f t="shared" si="7"/>
        <v>12000</v>
      </c>
      <c r="M72" s="69">
        <v>12000</v>
      </c>
      <c r="N72" s="11">
        <f t="shared" si="11"/>
        <v>12000</v>
      </c>
      <c r="O72" s="51">
        <v>12000</v>
      </c>
      <c r="P72" s="16">
        <f t="shared" si="8"/>
        <v>12000</v>
      </c>
      <c r="Q72" s="69">
        <v>12000</v>
      </c>
      <c r="R72" s="11">
        <f t="shared" si="9"/>
        <v>12000</v>
      </c>
    </row>
    <row r="73" spans="1:18">
      <c r="B73" s="3" t="s">
        <v>35</v>
      </c>
      <c r="C73" s="139" t="s">
        <v>148</v>
      </c>
      <c r="D73" s="178" t="s">
        <v>114</v>
      </c>
      <c r="E73" s="69">
        <v>12000</v>
      </c>
      <c r="F73" s="11">
        <f t="shared" si="10"/>
        <v>12000</v>
      </c>
      <c r="G73" s="69">
        <v>12000</v>
      </c>
      <c r="H73" s="11">
        <f t="shared" si="5"/>
        <v>12000</v>
      </c>
      <c r="I73" s="69">
        <v>12000</v>
      </c>
      <c r="J73" s="11">
        <f t="shared" si="6"/>
        <v>12000</v>
      </c>
      <c r="K73" s="51">
        <v>12000</v>
      </c>
      <c r="L73" s="16">
        <f t="shared" si="7"/>
        <v>12000</v>
      </c>
      <c r="M73" s="69">
        <v>12000</v>
      </c>
      <c r="N73" s="11">
        <f t="shared" si="11"/>
        <v>12000</v>
      </c>
      <c r="O73" s="51">
        <v>12000</v>
      </c>
      <c r="P73" s="16">
        <f t="shared" si="8"/>
        <v>12000</v>
      </c>
      <c r="Q73" s="69">
        <v>12000</v>
      </c>
      <c r="R73" s="11">
        <f t="shared" si="9"/>
        <v>12000</v>
      </c>
    </row>
    <row r="74" spans="1:18">
      <c r="B74" s="3" t="s">
        <v>36</v>
      </c>
      <c r="C74" s="139" t="s">
        <v>149</v>
      </c>
      <c r="D74" s="178" t="s">
        <v>114</v>
      </c>
      <c r="E74" s="69">
        <v>45000</v>
      </c>
      <c r="F74" s="11">
        <f t="shared" si="10"/>
        <v>45000</v>
      </c>
      <c r="G74" s="69">
        <v>45000</v>
      </c>
      <c r="H74" s="11">
        <f t="shared" si="5"/>
        <v>45000</v>
      </c>
      <c r="I74" s="69">
        <v>45000</v>
      </c>
      <c r="J74" s="11">
        <f t="shared" si="6"/>
        <v>45000</v>
      </c>
      <c r="K74" s="51">
        <v>45000</v>
      </c>
      <c r="L74" s="16">
        <f t="shared" si="7"/>
        <v>45000</v>
      </c>
      <c r="M74" s="69">
        <v>45000</v>
      </c>
      <c r="N74" s="11">
        <f t="shared" si="11"/>
        <v>45000</v>
      </c>
      <c r="O74" s="51">
        <v>45000</v>
      </c>
      <c r="P74" s="16">
        <f t="shared" si="8"/>
        <v>45000</v>
      </c>
      <c r="Q74" s="69">
        <v>45000</v>
      </c>
      <c r="R74" s="11">
        <f t="shared" si="9"/>
        <v>45000</v>
      </c>
    </row>
    <row r="75" spans="1:18">
      <c r="B75" s="111" t="s">
        <v>37</v>
      </c>
      <c r="C75" s="140" t="s">
        <v>147</v>
      </c>
      <c r="D75" s="178" t="s">
        <v>114</v>
      </c>
      <c r="E75" s="69">
        <v>25000</v>
      </c>
      <c r="F75" s="11">
        <f t="shared" si="10"/>
        <v>25000</v>
      </c>
      <c r="G75" s="124">
        <v>25000</v>
      </c>
      <c r="H75" s="11">
        <f t="shared" si="5"/>
        <v>25000</v>
      </c>
      <c r="I75" s="124">
        <v>25000</v>
      </c>
      <c r="J75" s="11">
        <f t="shared" si="6"/>
        <v>25000</v>
      </c>
      <c r="K75" s="100">
        <v>25000</v>
      </c>
      <c r="L75" s="16">
        <f t="shared" si="7"/>
        <v>25000</v>
      </c>
      <c r="M75" s="69">
        <v>25000</v>
      </c>
      <c r="N75" s="11">
        <f t="shared" si="11"/>
        <v>25000</v>
      </c>
      <c r="O75" s="100">
        <v>25000</v>
      </c>
      <c r="P75" s="16">
        <f t="shared" si="8"/>
        <v>25000</v>
      </c>
      <c r="Q75" s="124">
        <v>25000</v>
      </c>
      <c r="R75" s="11">
        <f t="shared" si="9"/>
        <v>25000</v>
      </c>
    </row>
    <row r="76" spans="1:18">
      <c r="A76" s="197"/>
      <c r="B76" s="125" t="s">
        <v>94</v>
      </c>
      <c r="C76" s="155" t="s">
        <v>150</v>
      </c>
      <c r="D76" s="183" t="s">
        <v>201</v>
      </c>
      <c r="E76" s="70">
        <v>0.125</v>
      </c>
      <c r="F76" s="172">
        <f>F34*0.125</f>
        <v>2421046.25</v>
      </c>
      <c r="G76" s="33">
        <v>0.125</v>
      </c>
      <c r="H76" s="126">
        <f>H34*Table32[[#This Row],[P1 Adjusted variables ]]</f>
        <v>2370531.5</v>
      </c>
      <c r="I76" s="226">
        <v>0.1</v>
      </c>
      <c r="J76" s="126">
        <f>J34*Table32[[#This Row],[P2 Adjusted Variable ]]</f>
        <v>1877460.9480000001</v>
      </c>
      <c r="K76" s="230">
        <v>0.125</v>
      </c>
      <c r="L76" s="87">
        <f>L34*Table32[[#This Row],[P3 Adjusted variables]]</f>
        <v>1335762.5</v>
      </c>
      <c r="M76" s="70">
        <v>0.125</v>
      </c>
      <c r="N76" s="172">
        <f>N34*0.125</f>
        <v>2370531.5</v>
      </c>
      <c r="O76" s="239">
        <v>0.1</v>
      </c>
      <c r="P76" s="87">
        <f>P34*O76</f>
        <v>1057923.9000000001</v>
      </c>
      <c r="Q76" s="195">
        <v>0.125</v>
      </c>
      <c r="R76" s="126">
        <f>R34*0.125</f>
        <v>1680462.5</v>
      </c>
    </row>
    <row r="77" spans="1:18">
      <c r="B77" s="83" t="s">
        <v>38</v>
      </c>
      <c r="C77" s="142" t="s">
        <v>151</v>
      </c>
      <c r="D77" s="178"/>
      <c r="E77" s="62">
        <v>1.2344137548040927E-2</v>
      </c>
      <c r="G77" s="96">
        <v>1.2344137548040927E-2</v>
      </c>
      <c r="I77" s="96">
        <v>1.2344137548040927E-2</v>
      </c>
      <c r="K77" s="85">
        <v>1.2344137548040927E-2</v>
      </c>
      <c r="L77" s="16"/>
      <c r="M77" s="62">
        <v>1.2344137548040927E-2</v>
      </c>
      <c r="O77" s="85">
        <v>1.2344137548040927E-2</v>
      </c>
      <c r="P77" s="16"/>
      <c r="Q77" s="96">
        <v>1.2344137548040927E-2</v>
      </c>
    </row>
    <row r="78" spans="1:18">
      <c r="B78" s="20" t="s">
        <v>39</v>
      </c>
      <c r="C78" s="145" t="s">
        <v>196</v>
      </c>
      <c r="D78" s="178"/>
      <c r="E78" s="62">
        <v>2.418937666815809E-4</v>
      </c>
      <c r="G78" s="62">
        <v>2.418937666815809E-4</v>
      </c>
      <c r="I78" s="62">
        <v>2.418937666815809E-4</v>
      </c>
      <c r="K78" s="46">
        <v>2.418937666815809E-4</v>
      </c>
      <c r="L78" s="16"/>
      <c r="M78" s="62">
        <v>2.418937666815809E-4</v>
      </c>
      <c r="O78" s="46">
        <v>2.418937666815809E-4</v>
      </c>
      <c r="P78" s="16"/>
      <c r="Q78" s="62">
        <v>2.418937666815809E-4</v>
      </c>
    </row>
    <row r="79" spans="1:18">
      <c r="B79" s="3" t="s">
        <v>40</v>
      </c>
      <c r="C79" s="139" t="s">
        <v>152</v>
      </c>
      <c r="D79" s="178" t="s">
        <v>114</v>
      </c>
      <c r="E79" s="69">
        <v>8000</v>
      </c>
      <c r="F79" s="9">
        <f>Table32[[#This Row],[Base Variables ]]</f>
        <v>8000</v>
      </c>
      <c r="G79" s="69">
        <v>8000</v>
      </c>
      <c r="H79" s="9">
        <f>Table32[[#This Row],[P1 Adjusted variables ]]</f>
        <v>8000</v>
      </c>
      <c r="I79" s="69">
        <v>8000</v>
      </c>
      <c r="J79" s="9">
        <f>Table32[[#This Row],[P2 Adjusted Variable ]]</f>
        <v>8000</v>
      </c>
      <c r="K79" s="51">
        <v>8000</v>
      </c>
      <c r="L79" s="16">
        <f>Table32[[#This Row],[P3 Adjusted variables]]</f>
        <v>8000</v>
      </c>
      <c r="M79" s="69">
        <v>8000</v>
      </c>
      <c r="N79" s="9">
        <f>Table32[[#This Row],[Base Variables ]]</f>
        <v>8000</v>
      </c>
      <c r="O79" s="51">
        <v>8000</v>
      </c>
      <c r="P79" s="16">
        <f>Table32[[#This Row],[P3 Adjusted variables]]</f>
        <v>8000</v>
      </c>
      <c r="Q79" s="69">
        <v>8000</v>
      </c>
    </row>
    <row r="80" spans="1:18">
      <c r="B80" s="25" t="s">
        <v>41</v>
      </c>
      <c r="C80" s="156" t="s">
        <v>118</v>
      </c>
      <c r="D80" s="185"/>
      <c r="E80" s="71">
        <v>1.7918056791228214E-3</v>
      </c>
      <c r="F80" s="11">
        <f>SUM(F81:F85)</f>
        <v>195000</v>
      </c>
      <c r="G80" s="71">
        <v>1.7918056791228214E-3</v>
      </c>
      <c r="H80" s="11">
        <f>SUM(H81:H85)</f>
        <v>195000</v>
      </c>
      <c r="I80" s="71">
        <v>1.7918056791228214E-3</v>
      </c>
      <c r="J80" s="11">
        <f>SUM(J81:J85)</f>
        <v>195000</v>
      </c>
      <c r="K80" s="50">
        <v>1.7918056791228214E-3</v>
      </c>
      <c r="L80" s="16">
        <f>SUM(L81:L85)</f>
        <v>195000</v>
      </c>
      <c r="M80" s="71">
        <v>1.7918056791228214E-3</v>
      </c>
      <c r="N80" s="11">
        <f>SUM(N81:N85)</f>
        <v>195000</v>
      </c>
      <c r="O80" s="50">
        <v>1.7918056791228214E-3</v>
      </c>
      <c r="P80" s="16">
        <f>SUM(P81:P85)</f>
        <v>195000</v>
      </c>
      <c r="Q80" s="71">
        <v>1.7918056791228214E-3</v>
      </c>
      <c r="R80" s="11">
        <f>SUM(R81:R85)</f>
        <v>195000</v>
      </c>
    </row>
    <row r="81" spans="1:18">
      <c r="B81" s="20" t="s">
        <v>42</v>
      </c>
      <c r="C81" s="139" t="s">
        <v>153</v>
      </c>
      <c r="D81" s="178" t="s">
        <v>114</v>
      </c>
      <c r="E81" s="63">
        <v>50000</v>
      </c>
      <c r="F81" s="9">
        <f>E81</f>
        <v>50000</v>
      </c>
      <c r="G81" s="63">
        <v>50000</v>
      </c>
      <c r="H81" s="9">
        <f>F81</f>
        <v>50000</v>
      </c>
      <c r="I81" s="63">
        <v>50000</v>
      </c>
      <c r="J81" s="9">
        <f>H81</f>
        <v>50000</v>
      </c>
      <c r="K81" s="46">
        <v>50000</v>
      </c>
      <c r="L81" s="16">
        <f>J81</f>
        <v>50000</v>
      </c>
      <c r="M81" s="63">
        <v>50000</v>
      </c>
      <c r="N81" s="9">
        <f>M81</f>
        <v>50000</v>
      </c>
      <c r="O81" s="46">
        <v>50000</v>
      </c>
      <c r="P81" s="16">
        <f>N81</f>
        <v>50000</v>
      </c>
      <c r="Q81" s="63">
        <v>50000</v>
      </c>
      <c r="R81" s="9">
        <f>L81</f>
        <v>50000</v>
      </c>
    </row>
    <row r="82" spans="1:18">
      <c r="B82" s="20" t="s">
        <v>43</v>
      </c>
      <c r="C82" s="139" t="s">
        <v>154</v>
      </c>
      <c r="D82" s="178" t="s">
        <v>114</v>
      </c>
      <c r="E82" s="63">
        <v>18000</v>
      </c>
      <c r="F82" s="9">
        <f t="shared" ref="F82:F85" si="12">E82</f>
        <v>18000</v>
      </c>
      <c r="G82" s="63">
        <v>18000</v>
      </c>
      <c r="H82" s="9">
        <f>F82</f>
        <v>18000</v>
      </c>
      <c r="I82" s="63">
        <v>18000</v>
      </c>
      <c r="J82" s="9">
        <f>H82</f>
        <v>18000</v>
      </c>
      <c r="K82" s="46">
        <v>18000</v>
      </c>
      <c r="L82" s="16">
        <f>J82</f>
        <v>18000</v>
      </c>
      <c r="M82" s="63">
        <v>18000</v>
      </c>
      <c r="N82" s="9">
        <f t="shared" ref="N82:N85" si="13">M82</f>
        <v>18000</v>
      </c>
      <c r="O82" s="46">
        <v>18000</v>
      </c>
      <c r="P82" s="16">
        <f>N82</f>
        <v>18000</v>
      </c>
      <c r="Q82" s="63">
        <v>18000</v>
      </c>
      <c r="R82" s="9">
        <f>L82</f>
        <v>18000</v>
      </c>
    </row>
    <row r="83" spans="1:18">
      <c r="B83" s="20" t="s">
        <v>44</v>
      </c>
      <c r="C83" s="139" t="s">
        <v>155</v>
      </c>
      <c r="D83" s="178" t="s">
        <v>114</v>
      </c>
      <c r="E83" s="63">
        <v>50000</v>
      </c>
      <c r="F83" s="9">
        <f t="shared" si="12"/>
        <v>50000</v>
      </c>
      <c r="G83" s="63">
        <v>50000</v>
      </c>
      <c r="H83" s="9">
        <f>F83</f>
        <v>50000</v>
      </c>
      <c r="I83" s="63">
        <v>50000</v>
      </c>
      <c r="J83" s="9">
        <f>H83</f>
        <v>50000</v>
      </c>
      <c r="K83" s="46">
        <v>50000</v>
      </c>
      <c r="L83" s="16">
        <f>J83</f>
        <v>50000</v>
      </c>
      <c r="M83" s="63">
        <v>50000</v>
      </c>
      <c r="N83" s="9">
        <f t="shared" si="13"/>
        <v>50000</v>
      </c>
      <c r="O83" s="46">
        <v>50000</v>
      </c>
      <c r="P83" s="16">
        <f>N83</f>
        <v>50000</v>
      </c>
      <c r="Q83" s="63">
        <v>50000</v>
      </c>
      <c r="R83" s="9">
        <f>L83</f>
        <v>50000</v>
      </c>
    </row>
    <row r="84" spans="1:18">
      <c r="B84" s="20" t="s">
        <v>45</v>
      </c>
      <c r="C84" s="139" t="s">
        <v>156</v>
      </c>
      <c r="D84" s="178" t="s">
        <v>114</v>
      </c>
      <c r="E84" s="63">
        <v>30000</v>
      </c>
      <c r="F84" s="9">
        <f t="shared" si="12"/>
        <v>30000</v>
      </c>
      <c r="G84" s="63">
        <v>30000</v>
      </c>
      <c r="H84" s="9">
        <f>F84</f>
        <v>30000</v>
      </c>
      <c r="I84" s="63">
        <v>30000</v>
      </c>
      <c r="J84" s="9">
        <f>H84</f>
        <v>30000</v>
      </c>
      <c r="K84" s="46">
        <v>30000</v>
      </c>
      <c r="L84" s="16">
        <f>J84</f>
        <v>30000</v>
      </c>
      <c r="M84" s="63">
        <v>30000</v>
      </c>
      <c r="N84" s="9">
        <f t="shared" si="13"/>
        <v>30000</v>
      </c>
      <c r="O84" s="46">
        <v>30000</v>
      </c>
      <c r="P84" s="16">
        <f>N84</f>
        <v>30000</v>
      </c>
      <c r="Q84" s="63">
        <v>30000</v>
      </c>
      <c r="R84" s="9">
        <f>L84</f>
        <v>30000</v>
      </c>
    </row>
    <row r="85" spans="1:18">
      <c r="B85" s="20" t="s">
        <v>46</v>
      </c>
      <c r="C85" s="139" t="s">
        <v>157</v>
      </c>
      <c r="D85" s="178" t="s">
        <v>114</v>
      </c>
      <c r="E85" s="63">
        <v>47000</v>
      </c>
      <c r="F85" s="9">
        <f t="shared" si="12"/>
        <v>47000</v>
      </c>
      <c r="G85" s="63">
        <v>47000</v>
      </c>
      <c r="H85" s="9">
        <f>F85</f>
        <v>47000</v>
      </c>
      <c r="I85" s="63">
        <v>47000</v>
      </c>
      <c r="J85" s="9">
        <f>H85</f>
        <v>47000</v>
      </c>
      <c r="K85" s="46">
        <v>47000</v>
      </c>
      <c r="L85" s="16">
        <f>J85</f>
        <v>47000</v>
      </c>
      <c r="M85" s="63">
        <v>47000</v>
      </c>
      <c r="N85" s="9">
        <f t="shared" si="13"/>
        <v>47000</v>
      </c>
      <c r="O85" s="46">
        <v>47000</v>
      </c>
      <c r="P85" s="16">
        <f>N85</f>
        <v>47000</v>
      </c>
      <c r="Q85" s="63">
        <v>47000</v>
      </c>
      <c r="R85" s="9">
        <f>L85</f>
        <v>47000</v>
      </c>
    </row>
    <row r="86" spans="1:18">
      <c r="B86" s="25" t="s">
        <v>47</v>
      </c>
      <c r="C86" s="156" t="s">
        <v>133</v>
      </c>
      <c r="D86" s="185"/>
      <c r="E86" s="71">
        <v>1.0797803274272333E-3</v>
      </c>
      <c r="F86" s="11">
        <f>SUM(F87:F88)</f>
        <v>37000</v>
      </c>
      <c r="G86" s="71">
        <v>1.0797803274272333E-3</v>
      </c>
      <c r="H86" s="11">
        <f>SUM(H87:H88)</f>
        <v>37000</v>
      </c>
      <c r="I86" s="71">
        <v>1.0797803274272333E-3</v>
      </c>
      <c r="J86" s="11">
        <f>SUM(J87:J88)</f>
        <v>37000</v>
      </c>
      <c r="K86" s="50">
        <v>1.0797803274272333E-3</v>
      </c>
      <c r="L86" s="16">
        <f>SUM(L87:L88)</f>
        <v>37000</v>
      </c>
      <c r="M86" s="71">
        <v>1.0797803274272333E-3</v>
      </c>
      <c r="N86" s="11">
        <f>SUM(N87:N88)</f>
        <v>37000</v>
      </c>
      <c r="O86" s="50">
        <v>1.0797803274272333E-3</v>
      </c>
      <c r="P86" s="16">
        <f>SUM(P87:P88)</f>
        <v>37000</v>
      </c>
      <c r="Q86" s="71">
        <v>1.0797803274272333E-3</v>
      </c>
      <c r="R86" s="11">
        <f>SUM(R87:R88)</f>
        <v>37000</v>
      </c>
    </row>
    <row r="87" spans="1:18">
      <c r="B87" s="20" t="s">
        <v>48</v>
      </c>
      <c r="C87" s="139" t="s">
        <v>159</v>
      </c>
      <c r="D87" s="178"/>
      <c r="E87" s="63">
        <v>30000</v>
      </c>
      <c r="F87" s="9">
        <f>E87</f>
        <v>30000</v>
      </c>
      <c r="G87" s="63">
        <v>30000</v>
      </c>
      <c r="H87" s="9">
        <f>F87</f>
        <v>30000</v>
      </c>
      <c r="I87" s="63">
        <v>30000</v>
      </c>
      <c r="J87" s="9">
        <f>H87</f>
        <v>30000</v>
      </c>
      <c r="K87" s="46">
        <v>30000</v>
      </c>
      <c r="L87" s="16">
        <f>J87</f>
        <v>30000</v>
      </c>
      <c r="M87" s="63">
        <v>30000</v>
      </c>
      <c r="N87" s="9">
        <f>M87</f>
        <v>30000</v>
      </c>
      <c r="O87" s="46">
        <v>30000</v>
      </c>
      <c r="P87" s="16">
        <f>N87</f>
        <v>30000</v>
      </c>
      <c r="Q87" s="63">
        <v>30000</v>
      </c>
      <c r="R87" s="9">
        <f>L87</f>
        <v>30000</v>
      </c>
    </row>
    <row r="88" spans="1:18">
      <c r="B88" s="20" t="s">
        <v>49</v>
      </c>
      <c r="C88" s="139" t="s">
        <v>158</v>
      </c>
      <c r="D88" s="178"/>
      <c r="E88" s="63">
        <v>7000</v>
      </c>
      <c r="F88" s="9">
        <f>E88</f>
        <v>7000</v>
      </c>
      <c r="G88" s="63">
        <v>7000</v>
      </c>
      <c r="H88" s="9">
        <f>F88</f>
        <v>7000</v>
      </c>
      <c r="I88" s="63">
        <v>7000</v>
      </c>
      <c r="J88" s="9">
        <f>H88</f>
        <v>7000</v>
      </c>
      <c r="K88" s="46">
        <v>7000</v>
      </c>
      <c r="L88" s="16">
        <f>J88</f>
        <v>7000</v>
      </c>
      <c r="M88" s="63">
        <v>7000</v>
      </c>
      <c r="N88" s="9">
        <f>M88</f>
        <v>7000</v>
      </c>
      <c r="O88" s="46">
        <v>7000</v>
      </c>
      <c r="P88" s="16">
        <f>N88</f>
        <v>7000</v>
      </c>
      <c r="Q88" s="63">
        <v>7000</v>
      </c>
      <c r="R88" s="9">
        <f>L88</f>
        <v>7000</v>
      </c>
    </row>
    <row r="89" spans="1:18">
      <c r="B89" s="104" t="s">
        <v>50</v>
      </c>
      <c r="C89" s="157"/>
      <c r="D89" s="186"/>
      <c r="E89" s="72">
        <v>8.3617598359064999E-4</v>
      </c>
      <c r="G89" s="121">
        <v>8.3617598359064999E-4</v>
      </c>
      <c r="I89" s="121">
        <v>8.3617598359064999E-4</v>
      </c>
      <c r="K89" s="122">
        <v>8.3617598359064999E-4</v>
      </c>
      <c r="L89" s="16"/>
      <c r="M89" s="72">
        <v>8.3617598359064999E-4</v>
      </c>
      <c r="O89" s="122">
        <v>8.3617598359064999E-4</v>
      </c>
      <c r="P89" s="16"/>
      <c r="Q89" s="121">
        <v>8.3617598359064999E-4</v>
      </c>
    </row>
    <row r="90" spans="1:18">
      <c r="B90" s="123" t="s">
        <v>51</v>
      </c>
      <c r="C90" s="136" t="s">
        <v>162</v>
      </c>
      <c r="D90" s="176" t="s">
        <v>161</v>
      </c>
      <c r="E90" s="69">
        <v>28000</v>
      </c>
      <c r="F90" s="169">
        <f>E90</f>
        <v>28000</v>
      </c>
      <c r="G90" s="196">
        <v>0</v>
      </c>
      <c r="H90" s="98">
        <f>G90</f>
        <v>0</v>
      </c>
      <c r="I90" s="227">
        <v>28000</v>
      </c>
      <c r="J90" s="98">
        <f>I90</f>
        <v>28000</v>
      </c>
      <c r="K90" s="41">
        <v>28000</v>
      </c>
      <c r="L90" s="87">
        <f>Table32[[#This Row],[P3 Adjusted variables]]</f>
        <v>28000</v>
      </c>
      <c r="M90" s="69">
        <v>28000</v>
      </c>
      <c r="N90" s="169">
        <f>M90</f>
        <v>28000</v>
      </c>
      <c r="O90" s="240">
        <v>0</v>
      </c>
      <c r="P90" s="87">
        <f>Table32[[#This Row],[P4 Adjusted variables]]</f>
        <v>28000</v>
      </c>
      <c r="Q90" s="196">
        <v>0</v>
      </c>
      <c r="R90" s="98">
        <f>Q90</f>
        <v>0</v>
      </c>
    </row>
    <row r="91" spans="1:18">
      <c r="A91" s="197"/>
      <c r="B91" s="115" t="s">
        <v>52</v>
      </c>
      <c r="C91" s="158" t="s">
        <v>133</v>
      </c>
      <c r="D91" s="185" t="s">
        <v>161</v>
      </c>
      <c r="E91" s="71">
        <v>7.7811550690147354E-3</v>
      </c>
      <c r="F91" s="173">
        <f>SUM(F92:F93)</f>
        <v>0</v>
      </c>
      <c r="G91" s="34">
        <v>7.7811550690147354E-3</v>
      </c>
      <c r="H91" s="116">
        <f>SUM(H92:H93)</f>
        <v>0</v>
      </c>
      <c r="I91" s="34">
        <v>7.7811550690147354E-3</v>
      </c>
      <c r="J91" s="116">
        <f>SUM(J92:J93)</f>
        <v>0</v>
      </c>
      <c r="K91" s="32">
        <v>7.7811550690147354E-3</v>
      </c>
      <c r="L91" s="87">
        <f>SUM(L92:L93)</f>
        <v>0</v>
      </c>
      <c r="M91" s="71">
        <v>7.7811550690147354E-3</v>
      </c>
      <c r="N91" s="173">
        <f>SUM(N92:N93)</f>
        <v>0</v>
      </c>
      <c r="O91" s="32">
        <v>7.7811550690147354E-3</v>
      </c>
      <c r="P91" s="87">
        <f>SUM(P92:P93)</f>
        <v>0</v>
      </c>
      <c r="Q91" s="34">
        <v>7.7811550690147354E-3</v>
      </c>
      <c r="R91" s="116">
        <f>SUM(R92:R93)</f>
        <v>0</v>
      </c>
    </row>
    <row r="92" spans="1:18">
      <c r="A92" s="197"/>
      <c r="B92" s="83" t="s">
        <v>54</v>
      </c>
      <c r="C92" s="142" t="s">
        <v>163</v>
      </c>
      <c r="D92" s="178" t="s">
        <v>161</v>
      </c>
      <c r="E92" s="62">
        <v>0.11</v>
      </c>
      <c r="G92" s="96">
        <v>0.11</v>
      </c>
      <c r="I92" s="96">
        <v>0.11</v>
      </c>
      <c r="K92" s="215">
        <v>0.11</v>
      </c>
      <c r="L92" s="16"/>
      <c r="M92" s="62">
        <v>0.11</v>
      </c>
      <c r="O92" s="215">
        <v>0.11</v>
      </c>
      <c r="P92" s="16"/>
      <c r="Q92" s="96">
        <v>0.11</v>
      </c>
    </row>
    <row r="93" spans="1:18">
      <c r="B93" s="20" t="s">
        <v>105</v>
      </c>
      <c r="C93" s="139" t="s">
        <v>197</v>
      </c>
      <c r="D93" s="178" t="s">
        <v>161</v>
      </c>
      <c r="E93" s="62">
        <v>0.01</v>
      </c>
      <c r="G93" s="62">
        <v>0.01</v>
      </c>
      <c r="I93" s="62">
        <v>0.01</v>
      </c>
      <c r="K93" s="216">
        <v>0.01</v>
      </c>
      <c r="L93" s="16"/>
      <c r="M93" s="62">
        <v>0.01</v>
      </c>
      <c r="O93" s="216">
        <v>0.01</v>
      </c>
      <c r="P93" s="16"/>
      <c r="Q93" s="62">
        <v>0.01</v>
      </c>
    </row>
    <row r="94" spans="1:18">
      <c r="B94" s="104" t="s">
        <v>53</v>
      </c>
      <c r="C94" s="159" t="s">
        <v>133</v>
      </c>
      <c r="D94" s="187" t="s">
        <v>161</v>
      </c>
      <c r="E94" s="72"/>
      <c r="F94" s="15">
        <f>SUM(F95:F100)</f>
        <v>83500</v>
      </c>
      <c r="G94" s="15"/>
      <c r="H94" s="15">
        <f t="shared" ref="H94:R94" si="14">SUM(H95:H100)</f>
        <v>15000</v>
      </c>
      <c r="I94" s="15"/>
      <c r="J94" s="15">
        <f t="shared" si="14"/>
        <v>83500</v>
      </c>
      <c r="K94" s="15"/>
      <c r="L94" s="15">
        <f t="shared" si="14"/>
        <v>83500</v>
      </c>
      <c r="M94" s="72"/>
      <c r="N94" s="15">
        <f>SUM(N95:N100)</f>
        <v>83500</v>
      </c>
      <c r="O94" s="15"/>
      <c r="P94" s="15">
        <f t="shared" ref="P94" si="15">SUM(P95:P100)</f>
        <v>15000</v>
      </c>
      <c r="Q94" s="15"/>
      <c r="R94" s="15">
        <f t="shared" si="14"/>
        <v>15000</v>
      </c>
    </row>
    <row r="95" spans="1:18">
      <c r="B95" s="115" t="s">
        <v>95</v>
      </c>
      <c r="C95" s="158"/>
      <c r="D95" s="185"/>
      <c r="E95" s="71">
        <v>2.9371278692181288E-3</v>
      </c>
      <c r="F95" s="173"/>
      <c r="G95" s="34">
        <v>2.9371278692181288E-3</v>
      </c>
      <c r="H95" s="116"/>
      <c r="I95" s="34">
        <v>2.9371278692181288E-3</v>
      </c>
      <c r="J95" s="116"/>
      <c r="K95" s="32">
        <v>2.9371278692181288E-3</v>
      </c>
      <c r="L95" s="87"/>
      <c r="M95" s="71">
        <v>2.9371278692181288E-3</v>
      </c>
      <c r="N95" s="173"/>
      <c r="O95" s="32">
        <v>2.9371278692181288E-3</v>
      </c>
      <c r="P95" s="87"/>
      <c r="Q95" s="34">
        <v>2.9371278692181288E-3</v>
      </c>
      <c r="R95" s="116"/>
    </row>
    <row r="96" spans="1:18">
      <c r="B96" s="83" t="s">
        <v>56</v>
      </c>
      <c r="C96" s="144" t="s">
        <v>146</v>
      </c>
      <c r="D96" s="178"/>
      <c r="E96" s="62">
        <v>4.4795141978070535E-4</v>
      </c>
      <c r="G96" s="96">
        <v>4.4795141978070535E-4</v>
      </c>
      <c r="I96" s="96">
        <v>4.4795141978070535E-4</v>
      </c>
      <c r="K96" s="215">
        <v>4.4795141978070535E-4</v>
      </c>
      <c r="L96" s="16"/>
      <c r="M96" s="62">
        <v>4.4795141978070535E-4</v>
      </c>
      <c r="O96" s="215">
        <v>4.4795141978070535E-4</v>
      </c>
      <c r="P96" s="16"/>
      <c r="Q96" s="96">
        <v>4.4795141978070535E-4</v>
      </c>
    </row>
    <row r="97" spans="1:18">
      <c r="B97" s="20" t="s">
        <v>57</v>
      </c>
      <c r="C97" s="139" t="s">
        <v>165</v>
      </c>
      <c r="D97" s="178" t="s">
        <v>114</v>
      </c>
      <c r="E97" s="63">
        <v>20000</v>
      </c>
      <c r="F97" s="9">
        <f>E97</f>
        <v>20000</v>
      </c>
      <c r="G97" s="198">
        <v>5000</v>
      </c>
      <c r="H97" s="9">
        <f>G97</f>
        <v>5000</v>
      </c>
      <c r="I97" s="63">
        <v>20000</v>
      </c>
      <c r="J97" s="9">
        <f>I97</f>
        <v>20000</v>
      </c>
      <c r="K97" s="46">
        <v>20000</v>
      </c>
      <c r="L97" s="16">
        <f>K97</f>
        <v>20000</v>
      </c>
      <c r="M97" s="63">
        <v>20000</v>
      </c>
      <c r="N97" s="9">
        <f>M97</f>
        <v>20000</v>
      </c>
      <c r="O97" s="241">
        <v>5000</v>
      </c>
      <c r="P97" s="16">
        <f>O97</f>
        <v>5000</v>
      </c>
      <c r="Q97" s="198">
        <v>5000</v>
      </c>
      <c r="R97" s="9">
        <f>Q97</f>
        <v>5000</v>
      </c>
    </row>
    <row r="98" spans="1:18">
      <c r="B98" s="20" t="s">
        <v>27</v>
      </c>
      <c r="C98" s="139" t="s">
        <v>164</v>
      </c>
      <c r="D98" s="178" t="s">
        <v>114</v>
      </c>
      <c r="E98" s="63">
        <v>3500</v>
      </c>
      <c r="F98" s="9">
        <f t="shared" ref="F98:F100" si="16">E98</f>
        <v>3500</v>
      </c>
      <c r="G98" s="198">
        <v>0</v>
      </c>
      <c r="H98" s="9">
        <f>G98</f>
        <v>0</v>
      </c>
      <c r="I98" s="63">
        <v>3500</v>
      </c>
      <c r="J98" s="9">
        <f>I98</f>
        <v>3500</v>
      </c>
      <c r="K98" s="46">
        <v>3500</v>
      </c>
      <c r="L98" s="16">
        <f>K98</f>
        <v>3500</v>
      </c>
      <c r="M98" s="63">
        <v>3500</v>
      </c>
      <c r="N98" s="9">
        <f t="shared" ref="N98:N100" si="17">M98</f>
        <v>3500</v>
      </c>
      <c r="O98" s="241">
        <v>0</v>
      </c>
      <c r="P98" s="16">
        <f>O98</f>
        <v>0</v>
      </c>
      <c r="Q98" s="198">
        <v>0</v>
      </c>
      <c r="R98" s="9">
        <f>Q98</f>
        <v>0</v>
      </c>
    </row>
    <row r="99" spans="1:18">
      <c r="B99" s="20" t="s">
        <v>55</v>
      </c>
      <c r="C99" s="139" t="s">
        <v>198</v>
      </c>
      <c r="D99" s="178" t="s">
        <v>161</v>
      </c>
      <c r="E99" s="63">
        <v>45000</v>
      </c>
      <c r="F99" s="9">
        <f t="shared" si="16"/>
        <v>45000</v>
      </c>
      <c r="G99" s="198">
        <v>0</v>
      </c>
      <c r="H99" s="9">
        <f>G99</f>
        <v>0</v>
      </c>
      <c r="I99" s="63">
        <v>45000</v>
      </c>
      <c r="J99" s="9">
        <f>I99</f>
        <v>45000</v>
      </c>
      <c r="K99" s="46">
        <v>45000</v>
      </c>
      <c r="L99" s="16">
        <f>K99</f>
        <v>45000</v>
      </c>
      <c r="M99" s="63">
        <v>45000</v>
      </c>
      <c r="N99" s="9">
        <f t="shared" si="17"/>
        <v>45000</v>
      </c>
      <c r="O99" s="241">
        <v>0</v>
      </c>
      <c r="P99" s="16">
        <f>O99</f>
        <v>0</v>
      </c>
      <c r="Q99" s="198">
        <v>0</v>
      </c>
      <c r="R99" s="9">
        <f>Q99</f>
        <v>0</v>
      </c>
    </row>
    <row r="100" spans="1:18">
      <c r="B100" s="89" t="s">
        <v>102</v>
      </c>
      <c r="C100" s="140" t="s">
        <v>166</v>
      </c>
      <c r="D100" s="178" t="s">
        <v>114</v>
      </c>
      <c r="E100" s="63">
        <v>15000</v>
      </c>
      <c r="F100" s="9">
        <f t="shared" si="16"/>
        <v>15000</v>
      </c>
      <c r="G100" s="199">
        <v>10000</v>
      </c>
      <c r="H100" s="9">
        <f>G100</f>
        <v>10000</v>
      </c>
      <c r="I100" s="220">
        <v>15000</v>
      </c>
      <c r="J100" s="9">
        <f>I100</f>
        <v>15000</v>
      </c>
      <c r="K100" s="91">
        <v>15000</v>
      </c>
      <c r="L100" s="16">
        <f>K100</f>
        <v>15000</v>
      </c>
      <c r="M100" s="63">
        <v>15000</v>
      </c>
      <c r="N100" s="9">
        <f t="shared" si="17"/>
        <v>15000</v>
      </c>
      <c r="O100" s="208">
        <v>10000</v>
      </c>
      <c r="P100" s="16">
        <f>O100</f>
        <v>10000</v>
      </c>
      <c r="Q100" s="199">
        <v>10000</v>
      </c>
      <c r="R100" s="9">
        <f>Q100</f>
        <v>10000</v>
      </c>
    </row>
    <row r="101" spans="1:18">
      <c r="A101" t="s">
        <v>217</v>
      </c>
      <c r="B101" s="115" t="s">
        <v>58</v>
      </c>
      <c r="C101" s="158" t="s">
        <v>133</v>
      </c>
      <c r="D101" s="185"/>
      <c r="E101" s="73">
        <v>600000</v>
      </c>
      <c r="F101" s="174">
        <f>E101</f>
        <v>600000</v>
      </c>
      <c r="G101" s="35" t="s">
        <v>220</v>
      </c>
      <c r="H101" s="120">
        <v>0</v>
      </c>
      <c r="I101" s="221">
        <v>600000</v>
      </c>
      <c r="J101" s="120">
        <v>600000</v>
      </c>
      <c r="K101" s="40">
        <v>600000</v>
      </c>
      <c r="L101" s="87">
        <v>0</v>
      </c>
      <c r="M101" s="73">
        <v>600000</v>
      </c>
      <c r="N101" s="174">
        <f>M101</f>
        <v>600000</v>
      </c>
      <c r="O101" s="40">
        <v>600000</v>
      </c>
      <c r="P101" s="87">
        <v>0</v>
      </c>
      <c r="Q101" s="35">
        <v>600000</v>
      </c>
      <c r="R101" s="120">
        <v>0</v>
      </c>
    </row>
    <row r="102" spans="1:18">
      <c r="B102" s="83" t="s">
        <v>59</v>
      </c>
      <c r="C102" s="142" t="s">
        <v>174</v>
      </c>
      <c r="D102" s="178" t="s">
        <v>201</v>
      </c>
      <c r="E102" s="62">
        <v>0.02</v>
      </c>
      <c r="F102" s="14">
        <f>(F34*(F22/12)*E102)</f>
        <v>516489.86666666664</v>
      </c>
      <c r="G102" s="200">
        <v>0</v>
      </c>
      <c r="H102" s="14">
        <f>(H34*(H22/12)*G102)</f>
        <v>0</v>
      </c>
      <c r="I102" s="96">
        <v>0.02</v>
      </c>
      <c r="J102" s="14">
        <f>(J34*(J22/12)*$I$102)</f>
        <v>500656.25280000002</v>
      </c>
      <c r="K102" s="215">
        <v>0.02</v>
      </c>
      <c r="L102" s="16">
        <f>(L34*(L22/12)*K102)</f>
        <v>249342.33333333337</v>
      </c>
      <c r="M102" s="62">
        <v>0.02</v>
      </c>
      <c r="N102" s="14">
        <f>(N34*(N22/12)*M102)</f>
        <v>505713.38666666666</v>
      </c>
      <c r="O102" s="242">
        <v>0</v>
      </c>
      <c r="P102" s="238">
        <f>(P34*(P22/12)*O102)</f>
        <v>0</v>
      </c>
      <c r="Q102" s="200">
        <v>0</v>
      </c>
      <c r="R102" s="14">
        <f>(R34*(R22/12)*$I$102)</f>
        <v>313686.33333333337</v>
      </c>
    </row>
    <row r="103" spans="1:18">
      <c r="A103" s="197"/>
      <c r="B103" s="20" t="s">
        <v>60</v>
      </c>
      <c r="C103" s="145" t="s">
        <v>122</v>
      </c>
      <c r="D103" s="178"/>
      <c r="E103" s="62">
        <v>0</v>
      </c>
      <c r="F103" s="15"/>
      <c r="G103" s="62">
        <v>0</v>
      </c>
      <c r="H103" s="15"/>
      <c r="I103" s="62">
        <v>0</v>
      </c>
      <c r="J103" s="15"/>
      <c r="K103" s="46">
        <v>0</v>
      </c>
      <c r="L103" s="16"/>
      <c r="M103" s="62">
        <v>0</v>
      </c>
      <c r="N103" s="15"/>
      <c r="O103" s="46">
        <v>0</v>
      </c>
      <c r="P103" s="16"/>
      <c r="Q103" s="62">
        <v>0</v>
      </c>
      <c r="R103" s="15"/>
    </row>
    <row r="104" spans="1:18">
      <c r="B104" s="20" t="s">
        <v>100</v>
      </c>
      <c r="C104" s="145" t="s">
        <v>122</v>
      </c>
      <c r="D104" s="178"/>
      <c r="E104" s="62">
        <v>0</v>
      </c>
      <c r="F104" s="15"/>
      <c r="G104" s="62">
        <v>0</v>
      </c>
      <c r="H104" s="15"/>
      <c r="I104" s="62">
        <v>0</v>
      </c>
      <c r="J104" s="15"/>
      <c r="K104" s="46">
        <v>0</v>
      </c>
      <c r="L104" s="16"/>
      <c r="M104" s="62">
        <v>0</v>
      </c>
      <c r="N104" s="15"/>
      <c r="O104" s="46">
        <v>0</v>
      </c>
      <c r="P104" s="16"/>
      <c r="Q104" s="62">
        <v>0</v>
      </c>
      <c r="R104" s="15"/>
    </row>
    <row r="105" spans="1:18">
      <c r="B105" s="104" t="s">
        <v>61</v>
      </c>
      <c r="C105" s="157"/>
      <c r="D105" s="186"/>
      <c r="E105" s="74">
        <v>0</v>
      </c>
      <c r="F105" s="15"/>
      <c r="G105" s="105">
        <v>0</v>
      </c>
      <c r="H105" s="15"/>
      <c r="I105" s="105">
        <v>0</v>
      </c>
      <c r="J105" s="15"/>
      <c r="K105" s="106">
        <v>0</v>
      </c>
      <c r="L105" s="16"/>
      <c r="M105" s="74">
        <v>0</v>
      </c>
      <c r="N105" s="15"/>
      <c r="O105" s="106">
        <v>0</v>
      </c>
      <c r="P105" s="16"/>
      <c r="Q105" s="105">
        <v>0</v>
      </c>
      <c r="R105" s="15"/>
    </row>
    <row r="106" spans="1:18">
      <c r="B106" s="117" t="s">
        <v>62</v>
      </c>
      <c r="C106" s="160" t="s">
        <v>122</v>
      </c>
      <c r="D106" s="176" t="s">
        <v>161</v>
      </c>
      <c r="E106" s="75">
        <v>0</v>
      </c>
      <c r="F106" s="175"/>
      <c r="G106" s="36">
        <v>0</v>
      </c>
      <c r="H106" s="118"/>
      <c r="I106" s="36">
        <v>0</v>
      </c>
      <c r="J106" s="118"/>
      <c r="K106" s="42">
        <v>0</v>
      </c>
      <c r="L106" s="87"/>
      <c r="M106" s="75">
        <v>0</v>
      </c>
      <c r="N106" s="175"/>
      <c r="O106" s="42">
        <v>0</v>
      </c>
      <c r="P106" s="87"/>
      <c r="Q106" s="36">
        <v>0</v>
      </c>
      <c r="R106" s="118"/>
    </row>
    <row r="107" spans="1:18">
      <c r="B107" s="117" t="s">
        <v>99</v>
      </c>
      <c r="C107" s="160" t="s">
        <v>171</v>
      </c>
      <c r="D107" s="176" t="s">
        <v>161</v>
      </c>
      <c r="E107" s="75">
        <v>43308</v>
      </c>
      <c r="F107" s="175">
        <f t="shared" ref="F107:F135" si="18">E107</f>
        <v>43308</v>
      </c>
      <c r="G107" s="201">
        <v>0</v>
      </c>
      <c r="H107" s="118">
        <f>G107</f>
        <v>0</v>
      </c>
      <c r="I107" s="222">
        <f>Table32[[#This Row],[Baseline]]</f>
        <v>43308</v>
      </c>
      <c r="J107" s="118">
        <f>I107</f>
        <v>43308</v>
      </c>
      <c r="K107" s="42">
        <v>43308</v>
      </c>
      <c r="L107" s="87">
        <f>K107</f>
        <v>43308</v>
      </c>
      <c r="M107" s="75">
        <v>43308</v>
      </c>
      <c r="N107" s="175">
        <f t="shared" ref="N107:N109" si="19">M107</f>
        <v>43308</v>
      </c>
      <c r="O107" s="243">
        <v>0</v>
      </c>
      <c r="P107" s="87">
        <f>O107</f>
        <v>0</v>
      </c>
      <c r="Q107" s="201">
        <v>0</v>
      </c>
      <c r="R107" s="118">
        <f>Q107</f>
        <v>0</v>
      </c>
    </row>
    <row r="108" spans="1:18">
      <c r="B108" s="117" t="s">
        <v>63</v>
      </c>
      <c r="C108" s="161" t="s">
        <v>172</v>
      </c>
      <c r="D108" s="176" t="s">
        <v>161</v>
      </c>
      <c r="E108" s="75">
        <v>12000</v>
      </c>
      <c r="F108" s="175">
        <f t="shared" si="18"/>
        <v>12000</v>
      </c>
      <c r="G108" s="201">
        <v>0</v>
      </c>
      <c r="H108" s="118">
        <f>G108</f>
        <v>0</v>
      </c>
      <c r="I108" s="222">
        <f>Table32[[#This Row],[Baseline]]</f>
        <v>12000</v>
      </c>
      <c r="J108" s="118">
        <f>I108</f>
        <v>12000</v>
      </c>
      <c r="K108" s="42">
        <v>12000</v>
      </c>
      <c r="L108" s="87">
        <f t="shared" ref="L108:L117" si="20">K108</f>
        <v>12000</v>
      </c>
      <c r="M108" s="75">
        <v>12000</v>
      </c>
      <c r="N108" s="175">
        <f t="shared" si="19"/>
        <v>12000</v>
      </c>
      <c r="O108" s="243">
        <v>0</v>
      </c>
      <c r="P108" s="87">
        <f t="shared" ref="P108:P117" si="21">O108</f>
        <v>0</v>
      </c>
      <c r="Q108" s="201">
        <v>0</v>
      </c>
      <c r="R108" s="118">
        <f>Q108</f>
        <v>0</v>
      </c>
    </row>
    <row r="109" spans="1:18">
      <c r="B109" s="117" t="s">
        <v>111</v>
      </c>
      <c r="C109" s="161" t="s">
        <v>170</v>
      </c>
      <c r="D109" s="176" t="s">
        <v>161</v>
      </c>
      <c r="E109" s="75">
        <v>0</v>
      </c>
      <c r="F109" s="175">
        <f t="shared" si="18"/>
        <v>0</v>
      </c>
      <c r="G109" s="36">
        <v>0</v>
      </c>
      <c r="H109" s="118">
        <f>F109</f>
        <v>0</v>
      </c>
      <c r="I109" s="36">
        <v>0</v>
      </c>
      <c r="J109" s="118">
        <f>H109</f>
        <v>0</v>
      </c>
      <c r="K109" s="42">
        <v>0</v>
      </c>
      <c r="L109" s="87">
        <f t="shared" si="20"/>
        <v>0</v>
      </c>
      <c r="M109" s="75">
        <v>0</v>
      </c>
      <c r="N109" s="175">
        <f t="shared" si="19"/>
        <v>0</v>
      </c>
      <c r="O109" s="42">
        <v>0</v>
      </c>
      <c r="P109" s="87">
        <f t="shared" si="21"/>
        <v>0</v>
      </c>
      <c r="Q109" s="36">
        <v>0</v>
      </c>
      <c r="R109" s="118">
        <f>L109</f>
        <v>0</v>
      </c>
    </row>
    <row r="110" spans="1:18">
      <c r="B110" s="119" t="s">
        <v>96</v>
      </c>
      <c r="C110" s="158" t="s">
        <v>130</v>
      </c>
      <c r="D110" s="185" t="s">
        <v>161</v>
      </c>
      <c r="E110" s="76"/>
      <c r="F110" s="167">
        <f>SUM(F111:F112)</f>
        <v>80000</v>
      </c>
      <c r="G110" s="37"/>
      <c r="H110" s="87">
        <f>SUM(H111:H112)</f>
        <v>0</v>
      </c>
      <c r="I110" s="37"/>
      <c r="J110" s="87">
        <f>SUM(J111:J112)</f>
        <v>80000</v>
      </c>
      <c r="K110" s="43">
        <v>0</v>
      </c>
      <c r="L110" s="87">
        <f t="shared" si="20"/>
        <v>0</v>
      </c>
      <c r="M110" s="76"/>
      <c r="N110" s="167">
        <f>SUM(N111:N112)</f>
        <v>80000</v>
      </c>
      <c r="O110" s="43">
        <v>0</v>
      </c>
      <c r="P110" s="87">
        <f t="shared" si="21"/>
        <v>0</v>
      </c>
      <c r="Q110" s="37"/>
      <c r="R110" s="87">
        <f>SUM(R111:R112)</f>
        <v>0</v>
      </c>
    </row>
    <row r="111" spans="1:18">
      <c r="B111" s="83" t="s">
        <v>65</v>
      </c>
      <c r="C111" s="142" t="s">
        <v>175</v>
      </c>
      <c r="D111" s="178" t="s">
        <v>114</v>
      </c>
      <c r="E111" s="77">
        <v>40000</v>
      </c>
      <c r="F111" s="15">
        <f t="shared" si="18"/>
        <v>40000</v>
      </c>
      <c r="G111" s="202">
        <v>0</v>
      </c>
      <c r="H111" s="15">
        <f>G111</f>
        <v>0</v>
      </c>
      <c r="I111" s="114">
        <f>Table32[[#This Row],[Base Variables ]]</f>
        <v>40000</v>
      </c>
      <c r="J111" s="15">
        <f>I111</f>
        <v>40000</v>
      </c>
      <c r="K111" s="93">
        <v>40000</v>
      </c>
      <c r="L111" s="87">
        <f t="shared" si="20"/>
        <v>40000</v>
      </c>
      <c r="M111" s="77">
        <v>40000</v>
      </c>
      <c r="N111" s="15">
        <f t="shared" ref="N111:N118" si="22">M111</f>
        <v>40000</v>
      </c>
      <c r="O111" s="209">
        <v>0</v>
      </c>
      <c r="P111" s="87">
        <f t="shared" si="21"/>
        <v>0</v>
      </c>
      <c r="Q111" s="202">
        <v>0</v>
      </c>
      <c r="R111" s="15">
        <f>Q111</f>
        <v>0</v>
      </c>
    </row>
    <row r="112" spans="1:18">
      <c r="B112" s="20" t="s">
        <v>104</v>
      </c>
      <c r="C112" s="139" t="s">
        <v>180</v>
      </c>
      <c r="D112" s="178" t="s">
        <v>114</v>
      </c>
      <c r="E112" s="77">
        <v>40000</v>
      </c>
      <c r="F112" s="15">
        <f t="shared" si="18"/>
        <v>40000</v>
      </c>
      <c r="G112" s="203">
        <v>0</v>
      </c>
      <c r="H112" s="15">
        <f>G112</f>
        <v>0</v>
      </c>
      <c r="I112" s="114">
        <f>Table32[[#This Row],[Base Variables ]]</f>
        <v>40000</v>
      </c>
      <c r="J112" s="15">
        <f>I112</f>
        <v>40000</v>
      </c>
      <c r="K112" s="48">
        <v>40000</v>
      </c>
      <c r="L112" s="87">
        <f t="shared" si="20"/>
        <v>40000</v>
      </c>
      <c r="M112" s="77">
        <v>40000</v>
      </c>
      <c r="N112" s="15">
        <f t="shared" si="22"/>
        <v>40000</v>
      </c>
      <c r="O112" s="207">
        <v>0</v>
      </c>
      <c r="P112" s="87">
        <f t="shared" si="21"/>
        <v>0</v>
      </c>
      <c r="Q112" s="203">
        <v>0</v>
      </c>
      <c r="R112" s="15">
        <f>Q112</f>
        <v>0</v>
      </c>
    </row>
    <row r="113" spans="1:18">
      <c r="A113" s="197"/>
      <c r="B113" s="3" t="s">
        <v>66</v>
      </c>
      <c r="C113" s="134" t="s">
        <v>181</v>
      </c>
      <c r="D113" s="184" t="s">
        <v>114</v>
      </c>
      <c r="E113" s="75">
        <v>55000</v>
      </c>
      <c r="F113" s="16">
        <f t="shared" si="18"/>
        <v>55000</v>
      </c>
      <c r="G113" s="204">
        <v>0</v>
      </c>
      <c r="H113" s="16">
        <f>G113</f>
        <v>0</v>
      </c>
      <c r="I113" s="204">
        <v>0</v>
      </c>
      <c r="J113" s="16">
        <f>I113</f>
        <v>0</v>
      </c>
      <c r="K113" s="53">
        <v>55000</v>
      </c>
      <c r="L113" s="87">
        <f t="shared" si="20"/>
        <v>55000</v>
      </c>
      <c r="M113" s="75">
        <v>55000</v>
      </c>
      <c r="N113" s="16">
        <f t="shared" si="22"/>
        <v>55000</v>
      </c>
      <c r="O113" s="244">
        <v>0</v>
      </c>
      <c r="P113" s="87">
        <f t="shared" si="21"/>
        <v>0</v>
      </c>
      <c r="Q113" s="204">
        <v>20000</v>
      </c>
      <c r="R113" s="16">
        <f>Q113</f>
        <v>20000</v>
      </c>
    </row>
    <row r="114" spans="1:18">
      <c r="B114" s="104" t="s">
        <v>67</v>
      </c>
      <c r="C114" s="157"/>
      <c r="D114" s="186"/>
      <c r="E114" s="74">
        <v>0</v>
      </c>
      <c r="F114" s="15">
        <f t="shared" si="18"/>
        <v>0</v>
      </c>
      <c r="G114" s="105">
        <v>0</v>
      </c>
      <c r="H114" s="15">
        <f>F114</f>
        <v>0</v>
      </c>
      <c r="I114" s="105">
        <v>0</v>
      </c>
      <c r="J114" s="15">
        <f>H114</f>
        <v>0</v>
      </c>
      <c r="K114" s="106">
        <v>0</v>
      </c>
      <c r="L114" s="87">
        <f t="shared" si="20"/>
        <v>0</v>
      </c>
      <c r="M114" s="74">
        <v>0</v>
      </c>
      <c r="N114" s="15">
        <f t="shared" si="22"/>
        <v>0</v>
      </c>
      <c r="O114" s="106">
        <v>0</v>
      </c>
      <c r="P114" s="87">
        <f t="shared" si="21"/>
        <v>0</v>
      </c>
      <c r="Q114" s="105">
        <v>0</v>
      </c>
      <c r="R114" s="15">
        <f>L114</f>
        <v>0</v>
      </c>
    </row>
    <row r="115" spans="1:18">
      <c r="B115" s="109" t="s">
        <v>68</v>
      </c>
      <c r="C115" s="162" t="s">
        <v>199</v>
      </c>
      <c r="D115" s="176" t="s">
        <v>161</v>
      </c>
      <c r="E115" s="75">
        <v>600000</v>
      </c>
      <c r="F115" s="170">
        <f t="shared" si="18"/>
        <v>600000</v>
      </c>
      <c r="G115" s="205">
        <v>0</v>
      </c>
      <c r="H115" s="103">
        <f>G115</f>
        <v>0</v>
      </c>
      <c r="I115" s="223">
        <v>600000</v>
      </c>
      <c r="J115" s="103">
        <f>I115</f>
        <v>600000</v>
      </c>
      <c r="K115" s="110">
        <v>600000</v>
      </c>
      <c r="L115" s="87">
        <f t="shared" si="20"/>
        <v>600000</v>
      </c>
      <c r="M115" s="75">
        <v>600000</v>
      </c>
      <c r="N115" s="170">
        <f t="shared" si="22"/>
        <v>600000</v>
      </c>
      <c r="O115" s="245">
        <v>0</v>
      </c>
      <c r="P115" s="87">
        <f t="shared" si="21"/>
        <v>0</v>
      </c>
      <c r="Q115" s="205">
        <v>100000</v>
      </c>
      <c r="R115" s="103">
        <f>Q115</f>
        <v>100000</v>
      </c>
    </row>
    <row r="116" spans="1:18">
      <c r="B116" s="107" t="s">
        <v>101</v>
      </c>
      <c r="C116" s="163" t="s">
        <v>183</v>
      </c>
      <c r="D116" s="176" t="s">
        <v>161</v>
      </c>
      <c r="E116" s="75">
        <v>75000</v>
      </c>
      <c r="F116" s="16">
        <f t="shared" si="18"/>
        <v>75000</v>
      </c>
      <c r="G116" s="206">
        <v>0</v>
      </c>
      <c r="H116" s="16">
        <f>G116</f>
        <v>0</v>
      </c>
      <c r="I116" s="224">
        <v>75000</v>
      </c>
      <c r="J116" s="16">
        <f>I116</f>
        <v>75000</v>
      </c>
      <c r="K116" s="108">
        <v>75000</v>
      </c>
      <c r="L116" s="87">
        <f t="shared" si="20"/>
        <v>75000</v>
      </c>
      <c r="M116" s="75">
        <v>75000</v>
      </c>
      <c r="N116" s="16">
        <f t="shared" si="22"/>
        <v>75000</v>
      </c>
      <c r="O116" s="246">
        <v>0</v>
      </c>
      <c r="P116" s="87">
        <f t="shared" si="21"/>
        <v>0</v>
      </c>
      <c r="Q116" s="206">
        <v>0</v>
      </c>
      <c r="R116" s="16">
        <f>Q116</f>
        <v>0</v>
      </c>
    </row>
    <row r="117" spans="1:18">
      <c r="B117" s="3" t="s">
        <v>69</v>
      </c>
      <c r="C117" s="134" t="s">
        <v>182</v>
      </c>
      <c r="D117" s="176" t="s">
        <v>114</v>
      </c>
      <c r="E117" s="75">
        <v>36000</v>
      </c>
      <c r="F117" s="16">
        <f t="shared" si="18"/>
        <v>36000</v>
      </c>
      <c r="G117" s="75">
        <v>36000</v>
      </c>
      <c r="H117" s="16">
        <f>G117</f>
        <v>36000</v>
      </c>
      <c r="I117" s="75">
        <v>36000</v>
      </c>
      <c r="J117" s="16">
        <f>I117</f>
        <v>36000</v>
      </c>
      <c r="K117" s="53">
        <v>36000</v>
      </c>
      <c r="L117" s="87">
        <f t="shared" si="20"/>
        <v>36000</v>
      </c>
      <c r="M117" s="75">
        <v>36000</v>
      </c>
      <c r="N117" s="16">
        <f t="shared" si="22"/>
        <v>36000</v>
      </c>
      <c r="O117" s="53">
        <v>36000</v>
      </c>
      <c r="P117" s="87">
        <f t="shared" si="21"/>
        <v>36000</v>
      </c>
      <c r="Q117" s="75">
        <v>36000</v>
      </c>
      <c r="R117" s="16">
        <f>Q117</f>
        <v>36000</v>
      </c>
    </row>
    <row r="118" spans="1:18">
      <c r="B118" s="26" t="s">
        <v>70</v>
      </c>
      <c r="C118" s="164"/>
      <c r="D118" s="186"/>
      <c r="E118" s="78">
        <v>0</v>
      </c>
      <c r="F118" s="15">
        <f t="shared" si="18"/>
        <v>0</v>
      </c>
      <c r="G118" s="78">
        <v>0</v>
      </c>
      <c r="H118" s="15">
        <f>F118</f>
        <v>0</v>
      </c>
      <c r="I118" s="78">
        <v>0</v>
      </c>
      <c r="J118" s="15">
        <f>H118</f>
        <v>0</v>
      </c>
      <c r="K118" s="52">
        <v>0</v>
      </c>
      <c r="L118" s="16">
        <f>J118</f>
        <v>0</v>
      </c>
      <c r="M118" s="78">
        <v>0</v>
      </c>
      <c r="N118" s="15">
        <f t="shared" si="22"/>
        <v>0</v>
      </c>
      <c r="O118" s="52">
        <v>0</v>
      </c>
      <c r="P118" s="16">
        <f>N118</f>
        <v>0</v>
      </c>
      <c r="Q118" s="78">
        <v>0</v>
      </c>
      <c r="R118" s="15">
        <f>L118</f>
        <v>0</v>
      </c>
    </row>
    <row r="119" spans="1:18">
      <c r="B119" s="3" t="s">
        <v>71</v>
      </c>
      <c r="C119" s="134" t="s">
        <v>184</v>
      </c>
      <c r="D119" s="176"/>
      <c r="E119" s="79">
        <v>1.2800000000000001E-2</v>
      </c>
      <c r="F119" s="15">
        <f>Table32[[#This Row],[Base Variables ]]*F29</f>
        <v>40320</v>
      </c>
      <c r="G119" s="79">
        <v>1.2800000000000001E-2</v>
      </c>
      <c r="H119" s="15">
        <f>Table32[[#This Row],[P1 Adjusted variables ]]*H29</f>
        <v>40320</v>
      </c>
      <c r="I119" s="228">
        <v>0</v>
      </c>
      <c r="J119" s="15">
        <f>I119*J29</f>
        <v>0</v>
      </c>
      <c r="K119" s="247">
        <v>1.2800000000000001E-2</v>
      </c>
      <c r="L119" s="16">
        <f>K119*L29</f>
        <v>40320</v>
      </c>
      <c r="M119" s="79">
        <v>1.2800000000000001E-2</v>
      </c>
      <c r="N119" s="15">
        <f>Table32[[#This Row],[Base Variables ]]*N29</f>
        <v>0</v>
      </c>
      <c r="O119" s="248">
        <v>0</v>
      </c>
      <c r="P119" s="16">
        <f>O119*P29</f>
        <v>0</v>
      </c>
      <c r="Q119" s="79">
        <v>1.2800000000000001E-2</v>
      </c>
      <c r="R119" s="15">
        <f>L119</f>
        <v>40320</v>
      </c>
    </row>
    <row r="120" spans="1:18">
      <c r="B120" s="25" t="s">
        <v>85</v>
      </c>
      <c r="C120" s="156" t="s">
        <v>130</v>
      </c>
      <c r="D120" s="185"/>
      <c r="E120" s="76">
        <v>143242.57</v>
      </c>
      <c r="F120" s="16">
        <f>SUM(F121:F123)</f>
        <v>170000</v>
      </c>
      <c r="G120" s="76">
        <v>143242.57</v>
      </c>
      <c r="H120" s="16">
        <f>SUM(H121:H123)</f>
        <v>170000</v>
      </c>
      <c r="I120" s="76">
        <v>143242.57</v>
      </c>
      <c r="J120" s="16">
        <f>SUM(J121:J123)</f>
        <v>170000</v>
      </c>
      <c r="K120" s="54">
        <v>143242.57</v>
      </c>
      <c r="L120" s="16">
        <f>SUM(L121:L123)</f>
        <v>170000</v>
      </c>
      <c r="M120" s="76">
        <v>143242.57</v>
      </c>
      <c r="N120" s="16">
        <f>SUM(N121:N123)</f>
        <v>170000</v>
      </c>
      <c r="O120" s="54">
        <v>143242.57</v>
      </c>
      <c r="P120" s="16">
        <f>SUM(P121:P123)</f>
        <v>170000</v>
      </c>
      <c r="Q120" s="76">
        <v>143242.57</v>
      </c>
      <c r="R120" s="16">
        <f>SUM(R121:R123)</f>
        <v>170000</v>
      </c>
    </row>
    <row r="121" spans="1:18">
      <c r="B121" s="20" t="s">
        <v>72</v>
      </c>
      <c r="C121" s="139" t="s">
        <v>185</v>
      </c>
      <c r="D121" s="178" t="s">
        <v>114</v>
      </c>
      <c r="E121" s="77">
        <v>120000</v>
      </c>
      <c r="F121" s="15">
        <f t="shared" si="18"/>
        <v>120000</v>
      </c>
      <c r="G121" s="77">
        <v>120000</v>
      </c>
      <c r="H121" s="15">
        <f>F121</f>
        <v>120000</v>
      </c>
      <c r="I121" s="77">
        <v>120000</v>
      </c>
      <c r="J121" s="15">
        <f>H121</f>
        <v>120000</v>
      </c>
      <c r="K121" s="48">
        <v>120000</v>
      </c>
      <c r="L121" s="16">
        <f>J121</f>
        <v>120000</v>
      </c>
      <c r="M121" s="77">
        <v>120000</v>
      </c>
      <c r="N121" s="15">
        <f t="shared" ref="N121:N124" si="23">M121</f>
        <v>120000</v>
      </c>
      <c r="O121" s="48">
        <v>120000</v>
      </c>
      <c r="P121" s="16">
        <f>N121</f>
        <v>120000</v>
      </c>
      <c r="Q121" s="77">
        <v>120000</v>
      </c>
      <c r="R121" s="15">
        <f>L121</f>
        <v>120000</v>
      </c>
    </row>
    <row r="122" spans="1:18">
      <c r="B122" s="20" t="s">
        <v>103</v>
      </c>
      <c r="C122" s="139" t="s">
        <v>186</v>
      </c>
      <c r="D122" s="178" t="s">
        <v>114</v>
      </c>
      <c r="E122" s="77">
        <v>50000</v>
      </c>
      <c r="F122" s="15">
        <f t="shared" si="18"/>
        <v>50000</v>
      </c>
      <c r="G122" s="77">
        <v>50000</v>
      </c>
      <c r="H122" s="15">
        <f>F122</f>
        <v>50000</v>
      </c>
      <c r="I122" s="77">
        <v>50000</v>
      </c>
      <c r="J122" s="15">
        <f>H122</f>
        <v>50000</v>
      </c>
      <c r="K122" s="48">
        <v>50000</v>
      </c>
      <c r="L122" s="16">
        <f>J122</f>
        <v>50000</v>
      </c>
      <c r="M122" s="77">
        <v>50000</v>
      </c>
      <c r="N122" s="15">
        <f t="shared" si="23"/>
        <v>50000</v>
      </c>
      <c r="O122" s="48">
        <v>50000</v>
      </c>
      <c r="P122" s="16">
        <f>N122</f>
        <v>50000</v>
      </c>
      <c r="Q122" s="77">
        <v>50000</v>
      </c>
      <c r="R122" s="15">
        <f>L122</f>
        <v>50000</v>
      </c>
    </row>
    <row r="123" spans="1:18">
      <c r="B123" s="20" t="s">
        <v>86</v>
      </c>
      <c r="C123" s="165" t="s">
        <v>146</v>
      </c>
      <c r="D123" s="178"/>
      <c r="E123" s="77">
        <v>0</v>
      </c>
      <c r="F123" s="15">
        <f t="shared" si="18"/>
        <v>0</v>
      </c>
      <c r="G123" s="77">
        <v>0</v>
      </c>
      <c r="H123" s="15">
        <f>F123</f>
        <v>0</v>
      </c>
      <c r="I123" s="77">
        <v>0</v>
      </c>
      <c r="J123" s="15">
        <f>H123</f>
        <v>0</v>
      </c>
      <c r="K123" s="48">
        <v>0</v>
      </c>
      <c r="L123" s="16">
        <f>J123</f>
        <v>0</v>
      </c>
      <c r="M123" s="77">
        <v>0</v>
      </c>
      <c r="N123" s="15">
        <f t="shared" si="23"/>
        <v>0</v>
      </c>
      <c r="O123" s="48">
        <v>0</v>
      </c>
      <c r="P123" s="16">
        <f>N123</f>
        <v>0</v>
      </c>
      <c r="Q123" s="77">
        <v>0</v>
      </c>
      <c r="R123" s="15">
        <f>L123</f>
        <v>0</v>
      </c>
    </row>
    <row r="124" spans="1:18">
      <c r="B124" s="111" t="s">
        <v>73</v>
      </c>
      <c r="C124" s="147" t="s">
        <v>200</v>
      </c>
      <c r="D124" s="176" t="s">
        <v>116</v>
      </c>
      <c r="E124" s="75">
        <v>50000</v>
      </c>
      <c r="F124" s="16">
        <f t="shared" si="18"/>
        <v>50000</v>
      </c>
      <c r="G124" s="112">
        <v>50000</v>
      </c>
      <c r="H124" s="16">
        <f>F124</f>
        <v>50000</v>
      </c>
      <c r="I124" s="229">
        <v>0</v>
      </c>
      <c r="J124" s="16">
        <f>I124</f>
        <v>0</v>
      </c>
      <c r="K124" s="113">
        <v>50000</v>
      </c>
      <c r="L124" s="16">
        <f>K124</f>
        <v>50000</v>
      </c>
      <c r="M124" s="75">
        <v>50000</v>
      </c>
      <c r="N124" s="16">
        <f t="shared" si="23"/>
        <v>50000</v>
      </c>
      <c r="O124" s="249">
        <v>0</v>
      </c>
      <c r="P124" s="16">
        <f>O124</f>
        <v>0</v>
      </c>
      <c r="Q124" s="112">
        <v>50000</v>
      </c>
      <c r="R124" s="16">
        <f>L124</f>
        <v>50000</v>
      </c>
    </row>
    <row r="125" spans="1:18">
      <c r="B125" s="115" t="s">
        <v>74</v>
      </c>
      <c r="C125" s="160" t="s">
        <v>187</v>
      </c>
      <c r="D125" s="185"/>
      <c r="E125" s="76" t="s">
        <v>212</v>
      </c>
      <c r="F125" s="167">
        <f>SUM(F126:F131)</f>
        <v>780000</v>
      </c>
      <c r="G125" s="37" t="s">
        <v>212</v>
      </c>
      <c r="H125" s="87">
        <f>SUM(H126:H131)</f>
        <v>780000</v>
      </c>
      <c r="I125" s="37" t="s">
        <v>229</v>
      </c>
      <c r="J125" s="87">
        <f>SUM(J126:J131)</f>
        <v>65000</v>
      </c>
      <c r="K125" s="43">
        <v>709283</v>
      </c>
      <c r="L125" s="87">
        <f>SUM(L126:L131)</f>
        <v>780000</v>
      </c>
      <c r="M125" s="76" t="s">
        <v>212</v>
      </c>
      <c r="N125" s="167">
        <f>SUM(N126:N131)</f>
        <v>780000</v>
      </c>
      <c r="O125" s="37" t="s">
        <v>229</v>
      </c>
      <c r="P125" s="87">
        <f>SUM(P126:P131)</f>
        <v>65000</v>
      </c>
      <c r="Q125" s="37" t="s">
        <v>212</v>
      </c>
      <c r="R125" s="87">
        <f>SUM(R126:R131)</f>
        <v>780000</v>
      </c>
    </row>
    <row r="126" spans="1:18">
      <c r="B126" s="83" t="s">
        <v>75</v>
      </c>
      <c r="C126" s="142" t="s">
        <v>188</v>
      </c>
      <c r="D126" s="178" t="s">
        <v>114</v>
      </c>
      <c r="E126" s="77">
        <v>90000</v>
      </c>
      <c r="F126" s="15">
        <f t="shared" si="18"/>
        <v>90000</v>
      </c>
      <c r="G126" s="114">
        <v>90000</v>
      </c>
      <c r="H126" s="15">
        <f t="shared" ref="H126:H136" si="24">G126</f>
        <v>90000</v>
      </c>
      <c r="I126" s="202">
        <v>9000</v>
      </c>
      <c r="J126" s="15">
        <f t="shared" ref="J126:J136" si="25">I126</f>
        <v>9000</v>
      </c>
      <c r="K126" s="93">
        <v>90000</v>
      </c>
      <c r="L126" s="16">
        <f>K126</f>
        <v>90000</v>
      </c>
      <c r="M126" s="77">
        <v>90000</v>
      </c>
      <c r="N126" s="15">
        <f t="shared" ref="N126:N135" si="26">M126</f>
        <v>90000</v>
      </c>
      <c r="O126" s="209">
        <v>9000</v>
      </c>
      <c r="P126" s="16">
        <f>O126</f>
        <v>9000</v>
      </c>
      <c r="Q126" s="114">
        <v>90000</v>
      </c>
      <c r="R126" s="15">
        <f t="shared" ref="R126:R136" si="27">Q126</f>
        <v>90000</v>
      </c>
    </row>
    <row r="127" spans="1:18">
      <c r="B127" s="20" t="s">
        <v>76</v>
      </c>
      <c r="C127" s="139" t="s">
        <v>189</v>
      </c>
      <c r="D127" s="178" t="s">
        <v>114</v>
      </c>
      <c r="E127" s="77">
        <v>200000</v>
      </c>
      <c r="F127" s="15">
        <f t="shared" si="18"/>
        <v>200000</v>
      </c>
      <c r="G127" s="77">
        <v>200000</v>
      </c>
      <c r="H127" s="15">
        <f t="shared" si="24"/>
        <v>200000</v>
      </c>
      <c r="I127" s="203">
        <v>20000</v>
      </c>
      <c r="J127" s="15">
        <f t="shared" si="25"/>
        <v>20000</v>
      </c>
      <c r="K127" s="48">
        <v>200000</v>
      </c>
      <c r="L127" s="16">
        <f t="shared" ref="L127:L130" si="28">K127</f>
        <v>200000</v>
      </c>
      <c r="M127" s="77">
        <v>200000</v>
      </c>
      <c r="N127" s="15">
        <f t="shared" si="26"/>
        <v>200000</v>
      </c>
      <c r="O127" s="207">
        <v>20000</v>
      </c>
      <c r="P127" s="16">
        <f t="shared" ref="P127:P130" si="29">O127</f>
        <v>20000</v>
      </c>
      <c r="Q127" s="77">
        <v>200000</v>
      </c>
      <c r="R127" s="15">
        <f t="shared" si="27"/>
        <v>200000</v>
      </c>
    </row>
    <row r="128" spans="1:18">
      <c r="B128" s="20" t="s">
        <v>77</v>
      </c>
      <c r="C128" s="139" t="s">
        <v>176</v>
      </c>
      <c r="D128" s="178" t="s">
        <v>114</v>
      </c>
      <c r="E128" s="77">
        <v>35000</v>
      </c>
      <c r="F128" s="15">
        <f t="shared" si="18"/>
        <v>35000</v>
      </c>
      <c r="G128" s="77">
        <v>35000</v>
      </c>
      <c r="H128" s="15">
        <f t="shared" si="24"/>
        <v>35000</v>
      </c>
      <c r="I128" s="203">
        <v>0</v>
      </c>
      <c r="J128" s="15">
        <f t="shared" si="25"/>
        <v>0</v>
      </c>
      <c r="K128" s="48">
        <v>35000</v>
      </c>
      <c r="L128" s="16">
        <f t="shared" si="28"/>
        <v>35000</v>
      </c>
      <c r="M128" s="77">
        <v>35000</v>
      </c>
      <c r="N128" s="15">
        <f t="shared" si="26"/>
        <v>35000</v>
      </c>
      <c r="O128" s="207">
        <v>0</v>
      </c>
      <c r="P128" s="16">
        <f t="shared" si="29"/>
        <v>0</v>
      </c>
      <c r="Q128" s="77">
        <v>35000</v>
      </c>
      <c r="R128" s="15">
        <f t="shared" si="27"/>
        <v>35000</v>
      </c>
    </row>
    <row r="129" spans="2:18">
      <c r="B129" s="20" t="s">
        <v>78</v>
      </c>
      <c r="C129" s="139" t="s">
        <v>177</v>
      </c>
      <c r="D129" s="178" t="s">
        <v>114</v>
      </c>
      <c r="E129" s="77">
        <v>95000</v>
      </c>
      <c r="F129" s="15">
        <f t="shared" si="18"/>
        <v>95000</v>
      </c>
      <c r="G129" s="77">
        <v>95000</v>
      </c>
      <c r="H129" s="15">
        <f t="shared" si="24"/>
        <v>95000</v>
      </c>
      <c r="I129" s="203">
        <v>0</v>
      </c>
      <c r="J129" s="15">
        <f t="shared" si="25"/>
        <v>0</v>
      </c>
      <c r="K129" s="48">
        <v>95000</v>
      </c>
      <c r="L129" s="16">
        <f t="shared" si="28"/>
        <v>95000</v>
      </c>
      <c r="M129" s="77">
        <v>95000</v>
      </c>
      <c r="N129" s="15">
        <f t="shared" si="26"/>
        <v>95000</v>
      </c>
      <c r="O129" s="207">
        <v>0</v>
      </c>
      <c r="P129" s="16">
        <f t="shared" si="29"/>
        <v>0</v>
      </c>
      <c r="Q129" s="77">
        <v>95000</v>
      </c>
      <c r="R129" s="15">
        <f t="shared" si="27"/>
        <v>95000</v>
      </c>
    </row>
    <row r="130" spans="2:18">
      <c r="B130" s="20" t="s">
        <v>80</v>
      </c>
      <c r="C130" s="166" t="s">
        <v>190</v>
      </c>
      <c r="D130" s="178" t="s">
        <v>114</v>
      </c>
      <c r="E130" s="77">
        <v>350000</v>
      </c>
      <c r="F130" s="15">
        <f t="shared" si="18"/>
        <v>350000</v>
      </c>
      <c r="G130" s="77">
        <v>350000</v>
      </c>
      <c r="H130" s="15">
        <f t="shared" si="24"/>
        <v>350000</v>
      </c>
      <c r="I130" s="203">
        <v>35000</v>
      </c>
      <c r="J130" s="15">
        <f t="shared" si="25"/>
        <v>35000</v>
      </c>
      <c r="K130" s="48">
        <v>350000</v>
      </c>
      <c r="L130" s="16">
        <f t="shared" si="28"/>
        <v>350000</v>
      </c>
      <c r="M130" s="77">
        <v>350000</v>
      </c>
      <c r="N130" s="15">
        <f t="shared" si="26"/>
        <v>350000</v>
      </c>
      <c r="O130" s="207">
        <v>35000</v>
      </c>
      <c r="P130" s="16">
        <f t="shared" si="29"/>
        <v>35000</v>
      </c>
      <c r="Q130" s="77">
        <v>350000</v>
      </c>
      <c r="R130" s="15">
        <f t="shared" si="27"/>
        <v>350000</v>
      </c>
    </row>
    <row r="131" spans="2:18">
      <c r="B131" s="20" t="s">
        <v>79</v>
      </c>
      <c r="C131" s="139" t="s">
        <v>178</v>
      </c>
      <c r="D131" s="178" t="s">
        <v>114</v>
      </c>
      <c r="E131" s="77">
        <v>10000</v>
      </c>
      <c r="F131" s="15">
        <f t="shared" si="18"/>
        <v>10000</v>
      </c>
      <c r="G131" s="77">
        <v>10000</v>
      </c>
      <c r="H131" s="15">
        <f t="shared" si="24"/>
        <v>10000</v>
      </c>
      <c r="I131" s="203">
        <v>1000</v>
      </c>
      <c r="J131" s="15">
        <f t="shared" si="25"/>
        <v>1000</v>
      </c>
      <c r="K131" s="48">
        <v>10000</v>
      </c>
      <c r="L131" s="16">
        <f>K131</f>
        <v>10000</v>
      </c>
      <c r="M131" s="77">
        <v>10000</v>
      </c>
      <c r="N131" s="15">
        <f t="shared" si="26"/>
        <v>10000</v>
      </c>
      <c r="O131" s="207">
        <v>1000</v>
      </c>
      <c r="P131" s="16">
        <f>O131</f>
        <v>1000</v>
      </c>
      <c r="Q131" s="77">
        <v>10000</v>
      </c>
      <c r="R131" s="15">
        <f t="shared" si="27"/>
        <v>10000</v>
      </c>
    </row>
    <row r="132" spans="2:18">
      <c r="B132" s="3" t="s">
        <v>81</v>
      </c>
      <c r="C132" s="145" t="s">
        <v>191</v>
      </c>
      <c r="D132" s="176"/>
      <c r="E132" s="75">
        <v>0</v>
      </c>
      <c r="F132" s="15">
        <f t="shared" si="18"/>
        <v>0</v>
      </c>
      <c r="G132" s="75">
        <v>0</v>
      </c>
      <c r="H132" s="15">
        <f t="shared" si="24"/>
        <v>0</v>
      </c>
      <c r="I132" s="75">
        <v>0</v>
      </c>
      <c r="J132" s="15">
        <f t="shared" si="25"/>
        <v>0</v>
      </c>
      <c r="K132" s="53">
        <v>0</v>
      </c>
      <c r="L132" s="16">
        <f t="shared" ref="L132:L136" si="30">J132</f>
        <v>0</v>
      </c>
      <c r="M132" s="75">
        <v>0</v>
      </c>
      <c r="N132" s="15">
        <f t="shared" si="26"/>
        <v>0</v>
      </c>
      <c r="O132" s="53">
        <v>0</v>
      </c>
      <c r="P132" s="16">
        <f t="shared" ref="P132:P136" si="31">N132</f>
        <v>0</v>
      </c>
      <c r="Q132" s="75">
        <v>0</v>
      </c>
      <c r="R132" s="15">
        <f t="shared" si="27"/>
        <v>0</v>
      </c>
    </row>
    <row r="133" spans="2:18">
      <c r="B133" s="3" t="s">
        <v>64</v>
      </c>
      <c r="C133" s="139" t="s">
        <v>192</v>
      </c>
      <c r="D133" s="178" t="s">
        <v>114</v>
      </c>
      <c r="E133" s="75">
        <v>25000</v>
      </c>
      <c r="F133" s="16">
        <f t="shared" si="18"/>
        <v>25000</v>
      </c>
      <c r="G133" s="75">
        <v>25000</v>
      </c>
      <c r="H133" s="16">
        <f t="shared" si="24"/>
        <v>25000</v>
      </c>
      <c r="I133" s="75">
        <v>25000</v>
      </c>
      <c r="J133" s="16">
        <f t="shared" si="25"/>
        <v>25000</v>
      </c>
      <c r="K133" s="53">
        <v>25000</v>
      </c>
      <c r="L133" s="16">
        <f t="shared" si="30"/>
        <v>25000</v>
      </c>
      <c r="M133" s="75">
        <v>25000</v>
      </c>
      <c r="N133" s="16">
        <f t="shared" si="26"/>
        <v>25000</v>
      </c>
      <c r="O133" s="53">
        <v>25000</v>
      </c>
      <c r="P133" s="16">
        <f t="shared" si="31"/>
        <v>25000</v>
      </c>
      <c r="Q133" s="75">
        <v>25000</v>
      </c>
      <c r="R133" s="16">
        <f t="shared" si="27"/>
        <v>25000</v>
      </c>
    </row>
    <row r="134" spans="2:18">
      <c r="B134" s="3" t="s">
        <v>82</v>
      </c>
      <c r="C134" s="134" t="s">
        <v>179</v>
      </c>
      <c r="D134" s="178" t="s">
        <v>114</v>
      </c>
      <c r="E134" s="75">
        <v>20000</v>
      </c>
      <c r="F134" s="16">
        <f t="shared" si="18"/>
        <v>20000</v>
      </c>
      <c r="G134" s="75">
        <v>20000</v>
      </c>
      <c r="H134" s="16">
        <f t="shared" si="24"/>
        <v>20000</v>
      </c>
      <c r="I134" s="75">
        <v>20000</v>
      </c>
      <c r="J134" s="16">
        <f t="shared" si="25"/>
        <v>20000</v>
      </c>
      <c r="K134" s="53">
        <v>20000</v>
      </c>
      <c r="L134" s="16">
        <f t="shared" si="30"/>
        <v>20000</v>
      </c>
      <c r="M134" s="75">
        <v>20000</v>
      </c>
      <c r="N134" s="16">
        <f t="shared" si="26"/>
        <v>20000</v>
      </c>
      <c r="O134" s="53">
        <v>20000</v>
      </c>
      <c r="P134" s="16">
        <f t="shared" si="31"/>
        <v>20000</v>
      </c>
      <c r="Q134" s="75">
        <v>20000</v>
      </c>
      <c r="R134" s="16">
        <f t="shared" si="27"/>
        <v>20000</v>
      </c>
    </row>
    <row r="135" spans="2:18">
      <c r="B135" s="3" t="s">
        <v>83</v>
      </c>
      <c r="C135" s="134" t="s">
        <v>193</v>
      </c>
      <c r="D135" s="178" t="s">
        <v>114</v>
      </c>
      <c r="E135" s="75">
        <v>15000</v>
      </c>
      <c r="F135" s="16">
        <f t="shared" si="18"/>
        <v>15000</v>
      </c>
      <c r="G135" s="75">
        <v>15000</v>
      </c>
      <c r="H135" s="16">
        <f t="shared" si="24"/>
        <v>15000</v>
      </c>
      <c r="I135" s="75">
        <v>15000</v>
      </c>
      <c r="J135" s="16">
        <f t="shared" si="25"/>
        <v>15000</v>
      </c>
      <c r="K135" s="53">
        <v>15000</v>
      </c>
      <c r="L135" s="16">
        <f t="shared" si="30"/>
        <v>15000</v>
      </c>
      <c r="M135" s="75">
        <v>15000</v>
      </c>
      <c r="N135" s="16">
        <f t="shared" si="26"/>
        <v>15000</v>
      </c>
      <c r="O135" s="53">
        <v>15000</v>
      </c>
      <c r="P135" s="16">
        <f t="shared" si="31"/>
        <v>15000</v>
      </c>
      <c r="Q135" s="75">
        <v>15000</v>
      </c>
      <c r="R135" s="16">
        <f t="shared" si="27"/>
        <v>15000</v>
      </c>
    </row>
    <row r="136" spans="2:18">
      <c r="B136" s="3" t="s">
        <v>84</v>
      </c>
      <c r="C136" s="134" t="s">
        <v>189</v>
      </c>
      <c r="D136" s="178" t="s">
        <v>114</v>
      </c>
      <c r="E136" s="75">
        <v>200000</v>
      </c>
      <c r="F136" s="16">
        <f>E136</f>
        <v>200000</v>
      </c>
      <c r="G136" s="75">
        <v>200000</v>
      </c>
      <c r="H136" s="16">
        <f t="shared" si="24"/>
        <v>200000</v>
      </c>
      <c r="I136" s="75">
        <v>200000</v>
      </c>
      <c r="J136" s="16">
        <f t="shared" si="25"/>
        <v>200000</v>
      </c>
      <c r="K136" s="53">
        <v>200000</v>
      </c>
      <c r="L136" s="16">
        <f t="shared" si="30"/>
        <v>200000</v>
      </c>
      <c r="M136" s="75">
        <v>200000</v>
      </c>
      <c r="N136" s="16">
        <f>M136</f>
        <v>200000</v>
      </c>
      <c r="O136" s="53">
        <v>200000</v>
      </c>
      <c r="P136" s="16">
        <f t="shared" si="31"/>
        <v>200000</v>
      </c>
      <c r="Q136" s="75">
        <v>200000</v>
      </c>
      <c r="R136" s="16">
        <f t="shared" si="27"/>
        <v>200000</v>
      </c>
    </row>
    <row r="137" spans="2:18" ht="16">
      <c r="B137" s="18" t="s">
        <v>144</v>
      </c>
      <c r="C137" s="3"/>
      <c r="D137" s="107"/>
      <c r="E137" s="107"/>
      <c r="K137" s="44"/>
      <c r="M137" s="44"/>
      <c r="O137" s="44"/>
    </row>
  </sheetData>
  <mergeCells count="12">
    <mergeCell ref="M8:N8"/>
    <mergeCell ref="M9:N11"/>
    <mergeCell ref="Q9:R11"/>
    <mergeCell ref="Q8:R8"/>
    <mergeCell ref="G8:H8"/>
    <mergeCell ref="G9:H11"/>
    <mergeCell ref="I8:J8"/>
    <mergeCell ref="I9:J11"/>
    <mergeCell ref="K8:L8"/>
    <mergeCell ref="K9:L11"/>
    <mergeCell ref="O8:P8"/>
    <mergeCell ref="O9:P11"/>
  </mergeCells>
  <phoneticPr fontId="7" type="noConversion"/>
  <conditionalFormatting sqref="G28">
    <cfRule type="cellIs" dxfId="5" priority="6" operator="greaterThan">
      <formula>$E28</formula>
    </cfRule>
  </conditionalFormatting>
  <conditionalFormatting sqref="G29">
    <cfRule type="expression" dxfId="4" priority="5">
      <formula>IF(G29&gt;E29,Ture,FALSE)</formula>
    </cfRule>
  </conditionalFormatting>
  <conditionalFormatting sqref="I28">
    <cfRule type="cellIs" dxfId="3" priority="4" operator="greaterThan">
      <formula>$E28</formula>
    </cfRule>
  </conditionalFormatting>
  <conditionalFormatting sqref="I29">
    <cfRule type="expression" dxfId="2" priority="3">
      <formula>IF(I29&gt;G29,Ture,FALSE)</formula>
    </cfRule>
  </conditionalFormatting>
  <conditionalFormatting sqref="Q28">
    <cfRule type="cellIs" dxfId="1" priority="2" operator="greaterThan">
      <formula>$E28</formula>
    </cfRule>
  </conditionalFormatting>
  <conditionalFormatting sqref="Q29">
    <cfRule type="expression" dxfId="0" priority="1">
      <formula>IF(Q29&gt;K29,Ture,FALSE)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0478-6948-4950-B837-5BD08603DB90}">
  <dimension ref="A1:AA143"/>
  <sheetViews>
    <sheetView topLeftCell="A51" workbookViewId="0">
      <selection activeCell="B76" sqref="B76"/>
    </sheetView>
  </sheetViews>
  <sheetFormatPr baseColWidth="10" defaultColWidth="8.83203125" defaultRowHeight="15"/>
  <cols>
    <col min="1" max="1" width="10" bestFit="1" customWidth="1"/>
    <col min="2" max="2" width="40.1640625" bestFit="1" customWidth="1"/>
    <col min="3" max="3" width="17.33203125" bestFit="1" customWidth="1"/>
    <col min="4" max="4" width="19.83203125" customWidth="1"/>
    <col min="5" max="5" width="14.6640625" bestFit="1" customWidth="1"/>
    <col min="6" max="6" width="11.83203125" bestFit="1" customWidth="1"/>
    <col min="7" max="7" width="12.33203125" customWidth="1"/>
    <col min="8" max="8" width="13.1640625" bestFit="1" customWidth="1"/>
    <col min="9" max="9" width="13.1640625" customWidth="1"/>
    <col min="10" max="10" width="11.83203125" customWidth="1"/>
    <col min="11" max="11" width="14.6640625" bestFit="1" customWidth="1"/>
    <col min="12" max="13" width="14.6640625" customWidth="1"/>
    <col min="14" max="15" width="18.6640625" customWidth="1"/>
    <col min="16" max="16" width="17.1640625" bestFit="1" customWidth="1"/>
    <col min="17" max="19" width="8.33203125" customWidth="1"/>
    <col min="20" max="20" width="11" bestFit="1" customWidth="1"/>
  </cols>
  <sheetData>
    <row r="1" spans="2:15">
      <c r="D1" s="301"/>
      <c r="E1" s="301"/>
      <c r="F1" s="268"/>
    </row>
    <row r="2" spans="2:15">
      <c r="D2" s="6"/>
      <c r="J2" s="6"/>
    </row>
    <row r="3" spans="2:15" ht="13.5" customHeight="1">
      <c r="B3" s="1" t="s">
        <v>263</v>
      </c>
      <c r="C3" s="1"/>
      <c r="D3" s="269"/>
      <c r="E3" s="269"/>
      <c r="F3" s="269"/>
      <c r="G3" s="269"/>
      <c r="H3" s="269"/>
      <c r="I3" s="269"/>
      <c r="J3" s="270"/>
    </row>
    <row r="4" spans="2:15" ht="16">
      <c r="B4" t="s">
        <v>264</v>
      </c>
      <c r="D4" s="271"/>
      <c r="E4" s="272">
        <v>62632</v>
      </c>
      <c r="F4" s="273"/>
      <c r="G4" s="274"/>
      <c r="H4">
        <v>52934</v>
      </c>
      <c r="J4" s="274"/>
      <c r="K4">
        <v>61152</v>
      </c>
      <c r="N4" s="275">
        <v>83236</v>
      </c>
      <c r="O4" s="275"/>
    </row>
    <row r="5" spans="2:15" ht="16">
      <c r="B5" t="s">
        <v>265</v>
      </c>
      <c r="D5" s="271"/>
      <c r="E5" s="272"/>
      <c r="F5" s="273"/>
      <c r="G5" s="274"/>
      <c r="J5" s="274"/>
      <c r="N5" s="275">
        <v>4400</v>
      </c>
      <c r="O5" s="275"/>
    </row>
    <row r="6" spans="2:15" ht="16">
      <c r="B6" t="s">
        <v>266</v>
      </c>
      <c r="D6" s="271"/>
      <c r="E6" s="272"/>
      <c r="F6" s="273"/>
      <c r="G6" s="274"/>
      <c r="J6" s="274"/>
      <c r="N6" s="275">
        <v>2907</v>
      </c>
      <c r="O6" s="275"/>
    </row>
    <row r="7" spans="2:15" ht="16">
      <c r="B7" t="s">
        <v>267</v>
      </c>
      <c r="D7" s="271"/>
      <c r="E7" s="272"/>
      <c r="F7" s="273"/>
      <c r="G7" s="274"/>
      <c r="J7" s="274"/>
      <c r="N7" s="275">
        <v>21826</v>
      </c>
      <c r="O7" s="275"/>
    </row>
    <row r="8" spans="2:15">
      <c r="B8" t="s">
        <v>268</v>
      </c>
      <c r="E8">
        <v>58587</v>
      </c>
      <c r="H8">
        <v>49233</v>
      </c>
      <c r="K8">
        <v>53711.05</v>
      </c>
    </row>
    <row r="9" spans="2:15">
      <c r="B9" t="s">
        <v>269</v>
      </c>
      <c r="E9">
        <v>4045</v>
      </c>
      <c r="H9">
        <v>3701</v>
      </c>
      <c r="K9">
        <v>10192</v>
      </c>
    </row>
    <row r="10" spans="2:15">
      <c r="B10" t="s">
        <v>270</v>
      </c>
      <c r="D10" t="s">
        <v>271</v>
      </c>
      <c r="E10">
        <v>10961</v>
      </c>
      <c r="H10">
        <v>9263.4500000000007</v>
      </c>
      <c r="K10">
        <v>10701.6</v>
      </c>
    </row>
    <row r="11" spans="2:15">
      <c r="B11" t="s">
        <v>108</v>
      </c>
      <c r="E11">
        <v>6</v>
      </c>
      <c r="H11">
        <v>6</v>
      </c>
      <c r="K11">
        <v>6</v>
      </c>
      <c r="N11">
        <v>7</v>
      </c>
    </row>
    <row r="12" spans="2:15">
      <c r="B12" t="s">
        <v>272</v>
      </c>
      <c r="E12">
        <v>102</v>
      </c>
      <c r="H12">
        <v>91</v>
      </c>
      <c r="K12">
        <v>100</v>
      </c>
      <c r="N12">
        <v>156</v>
      </c>
    </row>
    <row r="13" spans="2:15">
      <c r="B13" t="s">
        <v>2</v>
      </c>
      <c r="C13">
        <v>300</v>
      </c>
      <c r="E13">
        <v>3</v>
      </c>
      <c r="H13">
        <v>1</v>
      </c>
      <c r="K13">
        <v>3</v>
      </c>
    </row>
    <row r="14" spans="2:15">
      <c r="B14" t="s">
        <v>273</v>
      </c>
      <c r="E14">
        <v>105</v>
      </c>
      <c r="H14">
        <v>92</v>
      </c>
      <c r="K14">
        <v>103</v>
      </c>
    </row>
    <row r="15" spans="2:15">
      <c r="B15" t="s">
        <v>167</v>
      </c>
    </row>
    <row r="16" spans="2:15">
      <c r="B16" t="s">
        <v>168</v>
      </c>
    </row>
    <row r="17" spans="2:27">
      <c r="B17" t="s">
        <v>169</v>
      </c>
    </row>
    <row r="18" spans="2:27">
      <c r="B18" t="s">
        <v>173</v>
      </c>
    </row>
    <row r="19" spans="2:27">
      <c r="B19" t="s">
        <v>113</v>
      </c>
      <c r="E19" s="2">
        <v>33485773.987150773</v>
      </c>
      <c r="F19" s="2"/>
      <c r="H19" s="2">
        <v>30863550.892999999</v>
      </c>
      <c r="I19" s="2"/>
      <c r="K19" s="2">
        <v>36414874.422999918</v>
      </c>
      <c r="L19" s="2"/>
      <c r="M19" s="2"/>
      <c r="N19" s="2">
        <v>42837797</v>
      </c>
      <c r="O19" s="2"/>
      <c r="S19">
        <v>1.1798666507702127</v>
      </c>
      <c r="U19" t="s">
        <v>274</v>
      </c>
    </row>
    <row r="20" spans="2:27">
      <c r="B20" t="s">
        <v>275</v>
      </c>
      <c r="C20" s="2">
        <v>335975.99420297053</v>
      </c>
      <c r="E20" s="6">
        <v>318912.13321095973</v>
      </c>
      <c r="F20" s="6"/>
      <c r="G20" s="6"/>
      <c r="H20" s="6">
        <v>335473.3792717391</v>
      </c>
      <c r="I20" s="6"/>
      <c r="J20" s="6"/>
      <c r="K20" s="6">
        <v>353542.47012621281</v>
      </c>
      <c r="L20" s="6"/>
      <c r="M20" s="6"/>
      <c r="N20" s="6">
        <v>274601.26282051281</v>
      </c>
      <c r="O20" s="6"/>
    </row>
    <row r="21" spans="2:27">
      <c r="B21" s="276" t="s">
        <v>276</v>
      </c>
      <c r="C21" s="276"/>
      <c r="E21" s="6">
        <v>285578.79987762641</v>
      </c>
      <c r="F21" s="6"/>
      <c r="G21" s="6"/>
      <c r="H21" s="6">
        <v>335473.3792717391</v>
      </c>
      <c r="I21" s="6"/>
      <c r="J21" s="6"/>
      <c r="K21" s="6">
        <v>324704.85847572738</v>
      </c>
      <c r="L21" s="6"/>
      <c r="M21" s="6"/>
      <c r="N21" s="6"/>
      <c r="O21" s="6"/>
      <c r="Q21" t="s">
        <v>277</v>
      </c>
      <c r="R21" t="s">
        <v>278</v>
      </c>
    </row>
    <row r="22" spans="2:27">
      <c r="B22" s="276" t="s">
        <v>279</v>
      </c>
      <c r="C22" s="276"/>
      <c r="E22" s="6">
        <v>177516.65686274509</v>
      </c>
      <c r="F22" s="6"/>
      <c r="G22" s="6"/>
      <c r="H22" s="6">
        <v>206290.81318681317</v>
      </c>
      <c r="I22" s="6"/>
      <c r="J22" s="6"/>
      <c r="K22" s="6">
        <v>229165.22000000003</v>
      </c>
      <c r="L22" s="6"/>
      <c r="M22" s="6"/>
      <c r="N22" s="6"/>
    </row>
    <row r="23" spans="2:27">
      <c r="E23" s="6"/>
      <c r="F23" s="6">
        <f>E25/F25</f>
        <v>10961</v>
      </c>
      <c r="G23" s="6"/>
      <c r="H23" s="6"/>
      <c r="I23" s="6">
        <f>H33/I33</f>
        <v>52934</v>
      </c>
      <c r="J23" s="6"/>
      <c r="K23" s="6"/>
      <c r="L23" s="6">
        <f>K25/L25</f>
        <v>10701.6</v>
      </c>
      <c r="M23" s="6"/>
      <c r="N23" s="6"/>
      <c r="O23" s="6">
        <f>N25/O25</f>
        <v>23349.742599580713</v>
      </c>
    </row>
    <row r="24" spans="2:27" ht="16">
      <c r="B24" s="1" t="s">
        <v>0</v>
      </c>
      <c r="C24" s="273" t="s">
        <v>280</v>
      </c>
      <c r="D24" t="s">
        <v>281</v>
      </c>
      <c r="E24" t="s">
        <v>282</v>
      </c>
      <c r="F24" t="s">
        <v>283</v>
      </c>
      <c r="G24" t="s">
        <v>284</v>
      </c>
      <c r="H24" t="s">
        <v>282</v>
      </c>
      <c r="J24" t="s">
        <v>285</v>
      </c>
      <c r="K24" t="s">
        <v>282</v>
      </c>
      <c r="M24" t="s">
        <v>286</v>
      </c>
      <c r="P24" t="s">
        <v>287</v>
      </c>
      <c r="T24" t="s">
        <v>288</v>
      </c>
    </row>
    <row r="25" spans="2:27" ht="16">
      <c r="B25" s="277" t="s">
        <v>3</v>
      </c>
      <c r="C25" t="s">
        <v>270</v>
      </c>
      <c r="D25" s="278">
        <v>0.10452199794883126</v>
      </c>
      <c r="E25" s="279">
        <v>3500000</v>
      </c>
      <c r="F25" s="280">
        <v>319.31393121065594</v>
      </c>
      <c r="G25" s="278">
        <v>0</v>
      </c>
      <c r="H25" s="281">
        <v>0</v>
      </c>
      <c r="I25" s="281">
        <v>0</v>
      </c>
      <c r="J25" s="282">
        <v>8.1567602444454726E-2</v>
      </c>
      <c r="K25" s="2">
        <v>2970274</v>
      </c>
      <c r="L25" s="7">
        <v>277.55419750317708</v>
      </c>
      <c r="M25" s="282">
        <v>5.7200000000000001E-2</v>
      </c>
      <c r="N25" s="7">
        <v>2450321.9884000001</v>
      </c>
      <c r="O25" s="7">
        <v>104.94</v>
      </c>
      <c r="P25" s="283">
        <v>2.2954395504376529E-2</v>
      </c>
      <c r="Q25" s="283" t="s">
        <v>308</v>
      </c>
      <c r="R25" s="283"/>
      <c r="S25" s="283"/>
      <c r="T25" s="2">
        <v>529726</v>
      </c>
      <c r="U25" s="4">
        <v>0.15135028571428571</v>
      </c>
    </row>
    <row r="26" spans="2:27" ht="16">
      <c r="B26" s="277" t="s">
        <v>289</v>
      </c>
      <c r="D26" s="278"/>
      <c r="E26" s="279"/>
      <c r="F26" s="280"/>
      <c r="G26" s="278"/>
      <c r="H26" s="281"/>
      <c r="I26" s="281"/>
      <c r="J26" s="282"/>
      <c r="K26" s="2"/>
      <c r="L26" s="7"/>
      <c r="M26" s="282">
        <v>2.3E-3</v>
      </c>
      <c r="N26" s="7">
        <v>98526.933099999995</v>
      </c>
      <c r="O26" s="7"/>
      <c r="P26" s="283"/>
      <c r="Q26" s="283"/>
      <c r="R26" s="283"/>
      <c r="S26" s="283"/>
      <c r="T26" s="2"/>
      <c r="U26" s="4"/>
    </row>
    <row r="27" spans="2:27" ht="16">
      <c r="B27" s="277" t="s">
        <v>4</v>
      </c>
      <c r="C27" s="284" t="s">
        <v>290</v>
      </c>
      <c r="D27" s="278">
        <v>0</v>
      </c>
      <c r="E27" s="279">
        <v>0</v>
      </c>
      <c r="F27" s="280">
        <v>0</v>
      </c>
      <c r="G27" s="278">
        <v>0</v>
      </c>
      <c r="H27" s="281">
        <v>0</v>
      </c>
      <c r="I27" s="281">
        <v>0</v>
      </c>
      <c r="J27" s="282">
        <v>0</v>
      </c>
      <c r="K27" s="2">
        <v>0</v>
      </c>
      <c r="L27" s="7">
        <v>0</v>
      </c>
      <c r="M27" s="282">
        <v>0</v>
      </c>
      <c r="N27" s="7">
        <v>0</v>
      </c>
      <c r="O27" s="7"/>
      <c r="P27" s="283">
        <v>0</v>
      </c>
      <c r="Q27" s="283" t="s">
        <v>308</v>
      </c>
      <c r="R27" s="283"/>
      <c r="S27" s="283"/>
      <c r="T27" s="2">
        <v>0</v>
      </c>
      <c r="U27" s="4" t="s">
        <v>309</v>
      </c>
      <c r="Z27" t="s">
        <v>291</v>
      </c>
    </row>
    <row r="28" spans="2:27" ht="16">
      <c r="B28" s="284" t="s">
        <v>292</v>
      </c>
      <c r="C28" s="284"/>
      <c r="D28" s="278"/>
      <c r="E28" s="279"/>
      <c r="F28" s="280"/>
      <c r="G28" s="278"/>
      <c r="H28" s="281"/>
      <c r="I28" s="281"/>
      <c r="J28" s="282"/>
      <c r="K28" s="2"/>
      <c r="L28" s="7"/>
      <c r="M28" s="282">
        <v>4.6999999999999999E-4</v>
      </c>
      <c r="N28" s="7">
        <v>20133.764589999999</v>
      </c>
      <c r="O28" s="7"/>
      <c r="P28" s="283"/>
      <c r="Q28" s="283"/>
      <c r="R28" s="283"/>
      <c r="S28" s="283"/>
      <c r="T28" s="2"/>
      <c r="U28" s="4"/>
    </row>
    <row r="29" spans="2:27" ht="16">
      <c r="B29" s="1" t="s">
        <v>1</v>
      </c>
      <c r="C29" s="1"/>
      <c r="D29" s="278">
        <v>0</v>
      </c>
      <c r="E29" s="279">
        <v>0</v>
      </c>
      <c r="F29" s="280" t="e">
        <v>#N/A</v>
      </c>
      <c r="G29" s="278">
        <v>0</v>
      </c>
      <c r="H29" s="281">
        <v>0</v>
      </c>
      <c r="I29" s="281" t="e">
        <v>#N/A</v>
      </c>
      <c r="J29" s="282">
        <v>0</v>
      </c>
      <c r="K29" s="2">
        <v>0</v>
      </c>
      <c r="L29" s="7" t="e">
        <v>#N/A</v>
      </c>
      <c r="M29" s="282">
        <v>0</v>
      </c>
      <c r="N29" s="7">
        <v>0</v>
      </c>
      <c r="O29" s="7"/>
      <c r="P29" s="283">
        <v>0</v>
      </c>
      <c r="Q29" s="283" t="s">
        <v>308</v>
      </c>
      <c r="R29" s="283"/>
      <c r="S29" s="283"/>
      <c r="T29" s="2">
        <v>0</v>
      </c>
      <c r="U29" s="4" t="s">
        <v>309</v>
      </c>
    </row>
    <row r="30" spans="2:27" ht="16">
      <c r="B30" s="277" t="s">
        <v>20</v>
      </c>
      <c r="C30" s="284" t="s">
        <v>270</v>
      </c>
      <c r="D30" s="278">
        <v>4.4798725589428783E-3</v>
      </c>
      <c r="E30" s="279">
        <v>150012</v>
      </c>
      <c r="F30" s="280">
        <v>13.685977556792263</v>
      </c>
      <c r="G30" s="278">
        <v>0</v>
      </c>
      <c r="H30" s="281">
        <v>0</v>
      </c>
      <c r="I30" s="281">
        <v>0</v>
      </c>
      <c r="J30" s="282">
        <v>0</v>
      </c>
      <c r="K30" s="2">
        <v>0</v>
      </c>
      <c r="L30" s="7">
        <v>0</v>
      </c>
      <c r="M30" s="282"/>
      <c r="N30" s="7">
        <v>0</v>
      </c>
      <c r="O30" s="7"/>
      <c r="P30" s="283">
        <v>4.4798725589428783E-3</v>
      </c>
      <c r="Q30" s="283" t="s">
        <v>308</v>
      </c>
      <c r="R30" s="283"/>
      <c r="S30" s="283"/>
      <c r="T30" s="2">
        <v>150012</v>
      </c>
      <c r="U30" s="4">
        <v>1</v>
      </c>
    </row>
    <row r="31" spans="2:27" ht="16">
      <c r="B31" s="277" t="s">
        <v>5</v>
      </c>
      <c r="C31" s="284" t="s">
        <v>264</v>
      </c>
      <c r="D31" s="278">
        <v>1.3883507670403327E-3</v>
      </c>
      <c r="E31" s="279">
        <v>46490</v>
      </c>
      <c r="F31" s="280">
        <v>0.74227232085834716</v>
      </c>
      <c r="G31" s="278">
        <v>0</v>
      </c>
      <c r="H31" s="281">
        <v>0</v>
      </c>
      <c r="I31" s="281">
        <v>0</v>
      </c>
      <c r="J31" s="282">
        <v>0</v>
      </c>
      <c r="K31" s="2">
        <v>0</v>
      </c>
      <c r="L31" s="7">
        <v>0</v>
      </c>
      <c r="M31" s="282"/>
      <c r="N31" s="7">
        <v>0</v>
      </c>
      <c r="O31" s="7"/>
      <c r="P31" s="283">
        <v>1.3883507670403327E-3</v>
      </c>
      <c r="Q31" s="283" t="s">
        <v>308</v>
      </c>
      <c r="R31" s="283"/>
      <c r="S31" s="283"/>
      <c r="T31" s="2">
        <v>46490</v>
      </c>
      <c r="U31" s="4">
        <v>1</v>
      </c>
      <c r="Y31" t="s">
        <v>293</v>
      </c>
      <c r="Z31" t="s">
        <v>294</v>
      </c>
      <c r="AA31" t="s">
        <v>295</v>
      </c>
    </row>
    <row r="32" spans="2:27" ht="16">
      <c r="B32" s="285" t="s">
        <v>296</v>
      </c>
      <c r="C32" s="286" t="s">
        <v>264</v>
      </c>
      <c r="D32" s="278">
        <v>0.5407281016394585</v>
      </c>
      <c r="E32" s="279">
        <v>18106699</v>
      </c>
      <c r="F32" s="280">
        <v>289.09661195554986</v>
      </c>
      <c r="G32" s="278">
        <v>0.60824057688895694</v>
      </c>
      <c r="H32" s="281">
        <v>18772464</v>
      </c>
      <c r="I32" s="281">
        <v>354.63905996146144</v>
      </c>
      <c r="J32" s="282">
        <v>0.54775001468635565</v>
      </c>
      <c r="K32" s="2">
        <v>19946248.000000004</v>
      </c>
      <c r="L32" s="7">
        <v>326.17490842490849</v>
      </c>
      <c r="M32" s="282"/>
      <c r="N32" s="7">
        <v>0</v>
      </c>
      <c r="O32" s="7"/>
      <c r="P32" s="283">
        <v>6.7512475249498438E-2</v>
      </c>
      <c r="Q32" s="283" t="s">
        <v>310</v>
      </c>
      <c r="R32" s="283"/>
      <c r="S32" s="283"/>
      <c r="T32" s="2">
        <v>1839549.0000000037</v>
      </c>
      <c r="U32" s="4">
        <v>9.2225314755938231E-2</v>
      </c>
      <c r="AA32" t="s">
        <v>297</v>
      </c>
    </row>
    <row r="33" spans="2:21" ht="16">
      <c r="B33" s="287" t="s">
        <v>6</v>
      </c>
      <c r="C33" s="288" t="s">
        <v>264</v>
      </c>
      <c r="D33" s="278">
        <v>0.4586509783495914</v>
      </c>
      <c r="E33" s="279">
        <v>15358283</v>
      </c>
      <c r="F33" s="280">
        <v>245.21463469153147</v>
      </c>
      <c r="G33" s="278">
        <v>0.58907758420381706</v>
      </c>
      <c r="H33" s="281">
        <v>18181026</v>
      </c>
      <c r="I33" s="281">
        <v>343.46593871613709</v>
      </c>
      <c r="J33" s="282">
        <v>0.52950403662030621</v>
      </c>
      <c r="K33" s="2">
        <v>19281823</v>
      </c>
      <c r="L33" s="7">
        <v>315.30976909994769</v>
      </c>
      <c r="M33" s="282">
        <v>0.66510000000000002</v>
      </c>
      <c r="N33" s="7">
        <v>28491418.784700003</v>
      </c>
      <c r="O33" s="7"/>
      <c r="P33" s="283">
        <v>0.13042660585422566</v>
      </c>
      <c r="Q33" s="283" t="s">
        <v>310</v>
      </c>
      <c r="R33" s="283"/>
      <c r="S33" s="283"/>
      <c r="T33" s="2">
        <v>3923540</v>
      </c>
      <c r="U33" s="4">
        <v>0.20348387183099856</v>
      </c>
    </row>
    <row r="34" spans="2:21" ht="16">
      <c r="B34" s="287" t="s">
        <v>7</v>
      </c>
      <c r="C34" s="288" t="s">
        <v>264</v>
      </c>
      <c r="D34" s="278">
        <v>0</v>
      </c>
      <c r="E34" s="279">
        <v>0</v>
      </c>
      <c r="F34" s="280">
        <v>0</v>
      </c>
      <c r="G34" s="278">
        <v>0</v>
      </c>
      <c r="H34" s="281">
        <v>0</v>
      </c>
      <c r="I34" s="281">
        <v>0</v>
      </c>
      <c r="J34" s="282">
        <v>0</v>
      </c>
      <c r="K34" s="2">
        <v>0</v>
      </c>
      <c r="L34" s="7">
        <v>0</v>
      </c>
      <c r="M34" s="282"/>
      <c r="N34" s="7">
        <v>0</v>
      </c>
      <c r="O34" s="7"/>
      <c r="P34" s="283">
        <v>0</v>
      </c>
      <c r="Q34" s="283" t="s">
        <v>308</v>
      </c>
      <c r="R34" s="283"/>
      <c r="S34" s="283"/>
      <c r="T34" s="2">
        <v>0</v>
      </c>
      <c r="U34" s="4" t="s">
        <v>309</v>
      </c>
    </row>
    <row r="35" spans="2:21" ht="16">
      <c r="B35" s="287" t="s">
        <v>15</v>
      </c>
      <c r="C35" s="288" t="s">
        <v>290</v>
      </c>
      <c r="D35" s="278">
        <v>6.9069330781707109E-3</v>
      </c>
      <c r="E35" s="279">
        <v>231284</v>
      </c>
      <c r="F35" s="280">
        <v>2202.7047619047621</v>
      </c>
      <c r="G35" s="278">
        <v>0</v>
      </c>
      <c r="H35" s="281">
        <v>0</v>
      </c>
      <c r="I35" s="281">
        <v>0</v>
      </c>
      <c r="J35" s="282">
        <v>0</v>
      </c>
      <c r="K35" s="2">
        <v>0</v>
      </c>
      <c r="L35" s="7">
        <v>0</v>
      </c>
      <c r="M35" s="282">
        <v>7.4700000000000001E-3</v>
      </c>
      <c r="N35" s="7">
        <v>319998.34359</v>
      </c>
      <c r="O35" s="7"/>
      <c r="P35" s="283">
        <v>6.9069330781707109E-3</v>
      </c>
      <c r="Q35" s="283" t="s">
        <v>308</v>
      </c>
      <c r="R35" s="283"/>
      <c r="S35" s="283"/>
      <c r="T35" s="2">
        <v>231284</v>
      </c>
      <c r="U35" s="4">
        <v>1</v>
      </c>
    </row>
    <row r="36" spans="2:21" ht="16">
      <c r="B36" s="287" t="s">
        <v>16</v>
      </c>
      <c r="C36" s="288" t="s">
        <v>290</v>
      </c>
      <c r="D36" s="278">
        <v>7.2077473882674473E-3</v>
      </c>
      <c r="E36" s="279">
        <v>241357</v>
      </c>
      <c r="F36" s="280">
        <v>2298.638095238095</v>
      </c>
      <c r="G36" s="278">
        <v>0</v>
      </c>
      <c r="H36" s="281">
        <v>0</v>
      </c>
      <c r="I36" s="281">
        <v>0</v>
      </c>
      <c r="J36" s="282">
        <v>0</v>
      </c>
      <c r="K36" s="2">
        <v>0</v>
      </c>
      <c r="L36" s="7">
        <v>0</v>
      </c>
      <c r="M36" s="282"/>
      <c r="N36" s="7">
        <v>0</v>
      </c>
      <c r="O36" s="7"/>
      <c r="P36" s="283">
        <v>7.2077473882674473E-3</v>
      </c>
      <c r="Q36" s="283" t="s">
        <v>308</v>
      </c>
      <c r="R36" s="283"/>
      <c r="S36" s="283"/>
      <c r="T36" s="2">
        <v>241357</v>
      </c>
      <c r="U36" s="4">
        <v>1</v>
      </c>
    </row>
    <row r="37" spans="2:21" ht="16">
      <c r="B37" s="287" t="s">
        <v>8</v>
      </c>
      <c r="C37" s="288" t="s">
        <v>264</v>
      </c>
      <c r="D37" s="278">
        <v>0</v>
      </c>
      <c r="E37" s="279">
        <v>0</v>
      </c>
      <c r="F37" s="280">
        <v>0</v>
      </c>
      <c r="G37" s="278">
        <v>0</v>
      </c>
      <c r="H37" s="281">
        <v>0</v>
      </c>
      <c r="I37" s="281">
        <v>0</v>
      </c>
      <c r="J37" s="282">
        <v>0</v>
      </c>
      <c r="K37" s="2">
        <v>0</v>
      </c>
      <c r="L37" s="7">
        <v>0</v>
      </c>
      <c r="M37" s="282"/>
      <c r="N37" s="7">
        <v>0</v>
      </c>
      <c r="O37" s="7"/>
      <c r="P37" s="283">
        <v>0</v>
      </c>
      <c r="Q37" s="283" t="s">
        <v>308</v>
      </c>
      <c r="R37" s="283"/>
      <c r="S37" s="283"/>
      <c r="T37" s="2">
        <v>0</v>
      </c>
      <c r="U37" s="4" t="s">
        <v>309</v>
      </c>
    </row>
    <row r="38" spans="2:21" ht="16">
      <c r="B38" s="287" t="s">
        <v>97</v>
      </c>
      <c r="C38" s="288" t="s">
        <v>264</v>
      </c>
      <c r="D38" s="278">
        <v>1.1085394058457146E-2</v>
      </c>
      <c r="E38" s="279">
        <v>371203</v>
      </c>
      <c r="F38" s="280">
        <v>5.926730744667263</v>
      </c>
      <c r="G38" s="278"/>
      <c r="H38" s="281">
        <v>0</v>
      </c>
      <c r="I38" s="281">
        <v>0</v>
      </c>
      <c r="J38" s="282"/>
      <c r="K38" s="2">
        <v>0</v>
      </c>
      <c r="L38" s="7">
        <v>0</v>
      </c>
      <c r="M38" s="282"/>
      <c r="N38" s="7">
        <v>0</v>
      </c>
      <c r="O38" s="7"/>
      <c r="P38" s="283">
        <v>0</v>
      </c>
      <c r="Q38" s="283" t="s">
        <v>310</v>
      </c>
      <c r="R38" s="283"/>
      <c r="S38" s="283"/>
      <c r="T38" s="2">
        <v>371203</v>
      </c>
      <c r="U38" s="4">
        <v>1</v>
      </c>
    </row>
    <row r="39" spans="2:21" ht="16">
      <c r="B39" s="287" t="s">
        <v>98</v>
      </c>
      <c r="C39" s="288" t="s">
        <v>270</v>
      </c>
      <c r="D39" s="278">
        <v>4.0829607239319866E-2</v>
      </c>
      <c r="E39" s="279">
        <v>1367211</v>
      </c>
      <c r="F39" s="280">
        <v>124.73414834412918</v>
      </c>
      <c r="G39" s="278"/>
      <c r="H39" s="281">
        <v>0</v>
      </c>
      <c r="I39" s="281">
        <v>0</v>
      </c>
      <c r="J39" s="282"/>
      <c r="K39" s="2">
        <v>0</v>
      </c>
      <c r="L39" s="7">
        <v>0</v>
      </c>
      <c r="M39" s="282"/>
      <c r="N39" s="7">
        <v>0</v>
      </c>
      <c r="O39" s="7"/>
      <c r="P39" s="283">
        <v>0</v>
      </c>
      <c r="Q39" s="283" t="s">
        <v>310</v>
      </c>
      <c r="R39" s="283"/>
      <c r="S39" s="283"/>
      <c r="T39" s="2">
        <v>1367211</v>
      </c>
      <c r="U39" s="4">
        <v>1</v>
      </c>
    </row>
    <row r="40" spans="2:21" ht="16">
      <c r="B40" s="287" t="s">
        <v>9</v>
      </c>
      <c r="C40" s="288" t="s">
        <v>298</v>
      </c>
      <c r="D40" s="278">
        <v>0</v>
      </c>
      <c r="E40" s="279">
        <v>0</v>
      </c>
      <c r="F40" s="280" t="e">
        <v>#N/A</v>
      </c>
      <c r="G40" s="278">
        <v>0</v>
      </c>
      <c r="H40" s="281">
        <v>0</v>
      </c>
      <c r="I40" s="281" t="e">
        <v>#N/A</v>
      </c>
      <c r="J40" s="282">
        <v>0</v>
      </c>
      <c r="K40" s="2">
        <v>0</v>
      </c>
      <c r="L40" s="7" t="e">
        <v>#N/A</v>
      </c>
      <c r="M40" s="282"/>
      <c r="N40" s="7">
        <v>0</v>
      </c>
      <c r="O40" s="7"/>
      <c r="P40" s="283">
        <v>0</v>
      </c>
      <c r="Q40" s="283" t="s">
        <v>308</v>
      </c>
      <c r="R40" s="283"/>
      <c r="S40" s="283"/>
      <c r="T40" s="2">
        <v>0</v>
      </c>
      <c r="U40" s="4" t="s">
        <v>309</v>
      </c>
    </row>
    <row r="41" spans="2:21" ht="16">
      <c r="B41" s="287" t="s">
        <v>10</v>
      </c>
      <c r="C41" s="288" t="s">
        <v>264</v>
      </c>
      <c r="D41" s="278">
        <v>0</v>
      </c>
      <c r="E41" s="279">
        <v>0</v>
      </c>
      <c r="F41" s="280">
        <v>0</v>
      </c>
      <c r="G41" s="278">
        <v>0</v>
      </c>
      <c r="H41" s="281">
        <v>0</v>
      </c>
      <c r="I41" s="281">
        <v>0</v>
      </c>
      <c r="J41" s="282">
        <v>0</v>
      </c>
      <c r="K41" s="2">
        <v>0</v>
      </c>
      <c r="L41" s="7">
        <v>0</v>
      </c>
      <c r="M41" s="282">
        <v>5.8E-4</v>
      </c>
      <c r="N41" s="7">
        <v>24845.922259999999</v>
      </c>
      <c r="O41" s="7"/>
      <c r="P41" s="283">
        <v>0</v>
      </c>
      <c r="Q41" s="283" t="s">
        <v>308</v>
      </c>
      <c r="R41" s="283"/>
      <c r="S41" s="283"/>
      <c r="T41" s="2">
        <v>0</v>
      </c>
      <c r="U41" s="4" t="s">
        <v>309</v>
      </c>
    </row>
    <row r="42" spans="2:21" ht="16">
      <c r="B42" s="287" t="s">
        <v>11</v>
      </c>
      <c r="C42" s="288" t="s">
        <v>270</v>
      </c>
      <c r="D42" s="278">
        <v>2.9863427985380358E-4</v>
      </c>
      <c r="E42" s="279">
        <v>10000</v>
      </c>
      <c r="F42" s="280">
        <v>0.91232551774473136</v>
      </c>
      <c r="G42" s="278">
        <v>0</v>
      </c>
      <c r="H42" s="281">
        <v>0</v>
      </c>
      <c r="I42" s="281">
        <v>0</v>
      </c>
      <c r="J42" s="282">
        <v>0</v>
      </c>
      <c r="K42" s="2">
        <v>0</v>
      </c>
      <c r="L42" s="7">
        <v>0</v>
      </c>
      <c r="M42" s="282">
        <v>1.17E-3</v>
      </c>
      <c r="N42" s="7">
        <v>50120.22249</v>
      </c>
      <c r="O42" s="7"/>
      <c r="P42" s="283">
        <v>2.9863427985380358E-4</v>
      </c>
      <c r="Q42" s="283" t="s">
        <v>308</v>
      </c>
      <c r="R42" s="283"/>
      <c r="S42" s="283"/>
      <c r="T42" s="2">
        <v>10000</v>
      </c>
      <c r="U42" s="4">
        <v>1</v>
      </c>
    </row>
    <row r="43" spans="2:21" ht="16">
      <c r="B43" s="287" t="s">
        <v>12</v>
      </c>
      <c r="C43" s="288" t="s">
        <v>264</v>
      </c>
      <c r="D43" s="278">
        <v>0</v>
      </c>
      <c r="E43" s="279">
        <v>0</v>
      </c>
      <c r="F43" s="280">
        <v>0</v>
      </c>
      <c r="G43" s="278">
        <v>1.9162992685139834E-2</v>
      </c>
      <c r="H43" s="281">
        <v>591438</v>
      </c>
      <c r="I43" s="281">
        <v>11.173121245324365</v>
      </c>
      <c r="J43" s="282">
        <v>9.1229890330247025E-3</v>
      </c>
      <c r="K43" s="2">
        <v>332212.5</v>
      </c>
      <c r="L43" s="7">
        <v>5.4325696624803772</v>
      </c>
      <c r="M43" s="282"/>
      <c r="N43" s="7">
        <v>0</v>
      </c>
      <c r="O43" s="7"/>
      <c r="P43" s="283">
        <v>1.0040003652115131E-2</v>
      </c>
      <c r="Q43" s="283" t="s">
        <v>308</v>
      </c>
      <c r="R43" s="283"/>
      <c r="S43" s="283"/>
      <c r="T43" s="2">
        <v>259225.5</v>
      </c>
      <c r="U43" s="4">
        <v>0.43829699816379741</v>
      </c>
    </row>
    <row r="44" spans="2:21" ht="16">
      <c r="B44" s="287" t="s">
        <v>13</v>
      </c>
      <c r="C44" s="288" t="s">
        <v>264</v>
      </c>
      <c r="D44" s="278">
        <v>1.574880724579817E-2</v>
      </c>
      <c r="E44" s="279">
        <v>527361</v>
      </c>
      <c r="F44" s="280">
        <v>8.4199929748371432</v>
      </c>
      <c r="G44" s="278">
        <v>0</v>
      </c>
      <c r="H44" s="281">
        <v>0</v>
      </c>
      <c r="I44" s="281">
        <v>0</v>
      </c>
      <c r="J44" s="282">
        <v>9.1229890330247025E-3</v>
      </c>
      <c r="K44" s="2">
        <v>332212.5</v>
      </c>
      <c r="L44" s="7">
        <v>5.4325696624803772</v>
      </c>
      <c r="M44" s="282"/>
      <c r="N44" s="7">
        <v>0</v>
      </c>
      <c r="O44" s="7"/>
      <c r="P44" s="283">
        <v>6.6258182127734676E-3</v>
      </c>
      <c r="Q44" s="283" t="s">
        <v>308</v>
      </c>
      <c r="R44" s="283"/>
      <c r="S44" s="283"/>
      <c r="T44" s="2">
        <v>195148.5</v>
      </c>
      <c r="U44" s="4">
        <v>0.37004727312031038</v>
      </c>
    </row>
    <row r="45" spans="2:21" ht="16">
      <c r="B45" s="289" t="s">
        <v>87</v>
      </c>
      <c r="C45" s="290"/>
      <c r="D45" s="278">
        <v>0</v>
      </c>
      <c r="E45" s="279">
        <v>0</v>
      </c>
      <c r="F45" s="280" t="e">
        <v>#N/A</v>
      </c>
      <c r="G45" s="278">
        <v>0</v>
      </c>
      <c r="H45" s="281">
        <v>0</v>
      </c>
      <c r="I45" s="281" t="e">
        <v>#N/A</v>
      </c>
      <c r="J45" s="282">
        <v>0</v>
      </c>
      <c r="K45" s="2">
        <v>0</v>
      </c>
      <c r="L45" s="7" t="e">
        <v>#N/A</v>
      </c>
      <c r="M45" s="282"/>
      <c r="N45" s="7">
        <v>0</v>
      </c>
      <c r="O45" s="7"/>
      <c r="P45" s="283">
        <v>0</v>
      </c>
      <c r="Q45" s="283" t="s">
        <v>308</v>
      </c>
      <c r="R45" s="283"/>
      <c r="S45" s="283"/>
      <c r="T45" s="2">
        <v>0</v>
      </c>
      <c r="U45" s="4" t="s">
        <v>309</v>
      </c>
    </row>
    <row r="46" spans="2:21" ht="16">
      <c r="B46" s="287" t="s">
        <v>88</v>
      </c>
      <c r="C46" s="288" t="s">
        <v>264</v>
      </c>
      <c r="D46" s="278">
        <v>2.9377878509766057E-4</v>
      </c>
      <c r="E46" s="279">
        <v>9837.41</v>
      </c>
      <c r="F46" s="280">
        <v>0.15706683484480777</v>
      </c>
      <c r="G46" s="278">
        <v>0</v>
      </c>
      <c r="H46" s="281">
        <v>0</v>
      </c>
      <c r="I46" s="281">
        <v>0</v>
      </c>
      <c r="J46" s="282">
        <v>1.6476783443774155E-3</v>
      </c>
      <c r="K46" s="2">
        <v>60000</v>
      </c>
      <c r="L46" s="7">
        <v>0.98116169544740972</v>
      </c>
      <c r="M46" s="282"/>
      <c r="N46" s="7">
        <v>0</v>
      </c>
      <c r="O46" s="7"/>
      <c r="P46" s="283">
        <v>1.3538995592797549E-3</v>
      </c>
      <c r="Q46" s="283" t="s">
        <v>308</v>
      </c>
      <c r="R46" s="283"/>
      <c r="S46" s="283"/>
      <c r="T46" s="2">
        <v>50162.59</v>
      </c>
      <c r="U46" s="4">
        <v>0.83604316666666656</v>
      </c>
    </row>
    <row r="47" spans="2:21" ht="16">
      <c r="B47" s="287" t="s">
        <v>299</v>
      </c>
      <c r="C47" s="288" t="s">
        <v>270</v>
      </c>
      <c r="D47" s="278">
        <v>3.6709798031596717E-4</v>
      </c>
      <c r="E47" s="279">
        <v>12292.56</v>
      </c>
      <c r="F47" s="280">
        <v>1.1214816166408175</v>
      </c>
      <c r="G47" s="278">
        <v>0</v>
      </c>
      <c r="H47" s="281">
        <v>0</v>
      </c>
      <c r="I47" s="281">
        <v>0</v>
      </c>
      <c r="J47" s="282">
        <v>0</v>
      </c>
      <c r="K47" s="2">
        <v>0</v>
      </c>
      <c r="L47" s="7">
        <v>0</v>
      </c>
      <c r="M47" s="282"/>
      <c r="N47" s="7">
        <v>0</v>
      </c>
      <c r="O47" s="7"/>
      <c r="P47" s="283">
        <v>3.6709798031596717E-4</v>
      </c>
      <c r="Q47" s="283" t="s">
        <v>308</v>
      </c>
      <c r="R47" s="283"/>
      <c r="S47" s="283"/>
      <c r="T47" s="2">
        <v>12292.56</v>
      </c>
      <c r="U47" s="4">
        <v>1</v>
      </c>
    </row>
    <row r="48" spans="2:21" ht="16">
      <c r="B48" s="291" t="s">
        <v>90</v>
      </c>
      <c r="C48" s="291"/>
      <c r="D48" s="278">
        <v>0</v>
      </c>
      <c r="E48" s="279">
        <v>0</v>
      </c>
      <c r="F48" s="292" t="e">
        <v>#N/A</v>
      </c>
      <c r="G48" s="278">
        <v>0</v>
      </c>
      <c r="H48" s="281">
        <v>0</v>
      </c>
      <c r="I48" s="281" t="e">
        <v>#N/A</v>
      </c>
      <c r="J48" s="282">
        <v>0</v>
      </c>
      <c r="K48" s="2">
        <v>0</v>
      </c>
      <c r="L48" s="7" t="e">
        <v>#N/A</v>
      </c>
      <c r="M48" s="282"/>
      <c r="N48" s="7">
        <v>0</v>
      </c>
      <c r="O48" s="7"/>
      <c r="P48" s="283">
        <v>0</v>
      </c>
      <c r="Q48" s="283" t="s">
        <v>308</v>
      </c>
      <c r="R48" s="283"/>
      <c r="S48" s="283"/>
      <c r="T48" s="2">
        <v>0</v>
      </c>
      <c r="U48" s="4" t="s">
        <v>309</v>
      </c>
    </row>
    <row r="49" spans="1:21" ht="16">
      <c r="B49" s="293" t="s">
        <v>14</v>
      </c>
      <c r="C49" s="293" t="s">
        <v>300</v>
      </c>
      <c r="D49" s="278">
        <v>3.6824830761659287E-2</v>
      </c>
      <c r="E49" s="279">
        <v>1233107.9600000002</v>
      </c>
      <c r="F49" s="294">
        <v>6.8102306223790446E-2</v>
      </c>
      <c r="G49" s="278">
        <v>4.2576840382226991E-2</v>
      </c>
      <c r="H49" s="281">
        <v>1314072.4800000002</v>
      </c>
      <c r="I49" s="294">
        <v>4.8424703331432679E-2</v>
      </c>
      <c r="J49" s="282">
        <v>3.8342501028044894E-2</v>
      </c>
      <c r="K49" s="2">
        <v>1396237.36</v>
      </c>
      <c r="L49" s="295">
        <v>6.9999999999999993E-2</v>
      </c>
      <c r="M49" s="282">
        <v>3.703E-2</v>
      </c>
      <c r="N49" s="7">
        <v>1586283.6229099999</v>
      </c>
      <c r="O49" s="7" t="s">
        <v>301</v>
      </c>
      <c r="P49" s="283">
        <v>5.7520096205677038E-3</v>
      </c>
      <c r="Q49" s="283" t="s">
        <v>310</v>
      </c>
      <c r="R49" s="283"/>
      <c r="S49" s="283"/>
      <c r="T49" s="2">
        <v>163129.39999999991</v>
      </c>
      <c r="U49" s="4">
        <v>0.11683500576148449</v>
      </c>
    </row>
    <row r="50" spans="1:21" ht="16">
      <c r="B50" s="293" t="s">
        <v>19</v>
      </c>
      <c r="C50" s="293" t="s">
        <v>300</v>
      </c>
      <c r="D50" s="278">
        <v>0</v>
      </c>
      <c r="E50" s="279">
        <v>0</v>
      </c>
      <c r="F50" s="294">
        <v>0</v>
      </c>
      <c r="G50" s="278">
        <v>2.9453869489987204E-2</v>
      </c>
      <c r="H50" s="281">
        <v>909051</v>
      </c>
      <c r="I50" s="294">
        <v>0</v>
      </c>
      <c r="J50" s="282">
        <v>2.7387500734317779E-2</v>
      </c>
      <c r="K50" s="2">
        <v>997312.4</v>
      </c>
      <c r="L50" s="295">
        <v>4.9999999999999989E-2</v>
      </c>
      <c r="M50" s="282"/>
      <c r="N50" s="7">
        <v>0</v>
      </c>
      <c r="O50" s="7"/>
      <c r="P50" s="283">
        <v>2.0663687556694253E-3</v>
      </c>
      <c r="Q50" s="283" t="s">
        <v>308</v>
      </c>
      <c r="R50" s="283"/>
      <c r="S50" s="283"/>
      <c r="T50" s="2">
        <v>88261.400000000023</v>
      </c>
      <c r="U50" s="4">
        <v>8.8499250585874614E-2</v>
      </c>
    </row>
    <row r="51" spans="1:21" ht="16">
      <c r="B51" s="293" t="s">
        <v>89</v>
      </c>
      <c r="C51" s="293" t="s">
        <v>300</v>
      </c>
      <c r="D51" s="278">
        <v>5.1976400505714948E-3</v>
      </c>
      <c r="E51" s="279">
        <v>174047</v>
      </c>
      <c r="F51" s="294">
        <v>9.6122987409245613E-3</v>
      </c>
      <c r="G51" s="278">
        <v>0</v>
      </c>
      <c r="H51" s="281">
        <v>0</v>
      </c>
      <c r="I51" s="294">
        <v>0.10179002623203859</v>
      </c>
      <c r="J51" s="282">
        <v>0</v>
      </c>
      <c r="K51" s="2">
        <v>0</v>
      </c>
      <c r="L51" s="295">
        <v>0</v>
      </c>
      <c r="M51" s="282"/>
      <c r="N51" s="7">
        <v>0</v>
      </c>
      <c r="O51" s="7"/>
      <c r="P51" s="283">
        <v>5.1976400505714948E-3</v>
      </c>
      <c r="Q51" s="283" t="s">
        <v>308</v>
      </c>
      <c r="R51" s="283"/>
      <c r="S51" s="283"/>
      <c r="T51" s="2">
        <v>174047</v>
      </c>
      <c r="U51" s="4">
        <v>1</v>
      </c>
    </row>
    <row r="52" spans="1:21" ht="16">
      <c r="A52" t="s">
        <v>302</v>
      </c>
      <c r="B52" s="291" t="s">
        <v>17</v>
      </c>
      <c r="C52" s="291" t="s">
        <v>290</v>
      </c>
      <c r="D52" s="278">
        <v>6.0904683989403324E-2</v>
      </c>
      <c r="E52" s="279">
        <v>2039440.4828280001</v>
      </c>
      <c r="F52" s="279">
        <v>19423.242693600001</v>
      </c>
      <c r="G52" s="278">
        <v>6.191282427691721E-2</v>
      </c>
      <c r="H52" s="281">
        <v>1910849.6030000001</v>
      </c>
      <c r="I52" s="280">
        <v>20770.104380434783</v>
      </c>
      <c r="J52" s="282">
        <v>6.2127897174102664E-2</v>
      </c>
      <c r="K52" s="2">
        <v>2262379.5737600001</v>
      </c>
      <c r="L52" s="7">
        <v>21964.850230679611</v>
      </c>
      <c r="M52" s="282"/>
      <c r="N52" s="7">
        <v>0</v>
      </c>
      <c r="O52" s="7"/>
      <c r="P52" s="283">
        <v>1.2232131846993399E-3</v>
      </c>
      <c r="Q52" s="283" t="s">
        <v>310</v>
      </c>
      <c r="R52" s="283"/>
      <c r="S52" s="283"/>
      <c r="T52" s="2">
        <v>351529.97075999994</v>
      </c>
      <c r="U52" s="4">
        <v>0.15538063322228848</v>
      </c>
    </row>
    <row r="53" spans="1:21" ht="16">
      <c r="B53" s="293" t="s">
        <v>91</v>
      </c>
      <c r="C53" s="293" t="s">
        <v>303</v>
      </c>
      <c r="D53" s="278">
        <v>5.5731190466617342E-2</v>
      </c>
      <c r="E53" s="279">
        <v>1866202.0480000002</v>
      </c>
      <c r="F53" s="294">
        <v>0.10306693936868339</v>
      </c>
      <c r="G53" s="278">
        <v>0</v>
      </c>
      <c r="H53" s="281">
        <v>0</v>
      </c>
      <c r="I53" s="280" t="e">
        <v>#N/A</v>
      </c>
      <c r="J53" s="282">
        <v>5.5322751483321921E-2</v>
      </c>
      <c r="K53" s="2">
        <v>2014571.0480000002</v>
      </c>
      <c r="L53" s="295">
        <v>0.10099999999999999</v>
      </c>
      <c r="M53" s="282">
        <v>6.7930000000000004E-2</v>
      </c>
      <c r="N53" s="7">
        <v>2909971.55021</v>
      </c>
      <c r="O53" s="7"/>
      <c r="P53" s="283">
        <v>4.0843898329542133E-4</v>
      </c>
      <c r="Q53" s="283" t="s">
        <v>308</v>
      </c>
      <c r="R53" s="283"/>
      <c r="S53" s="283"/>
      <c r="T53" s="2">
        <v>148369</v>
      </c>
      <c r="U53" s="4">
        <v>7.364793619331314E-2</v>
      </c>
    </row>
    <row r="54" spans="1:21" ht="16">
      <c r="B54" s="293" t="s">
        <v>92</v>
      </c>
      <c r="C54" s="293" t="s">
        <v>303</v>
      </c>
      <c r="D54" s="278">
        <v>5.1734935227859867E-3</v>
      </c>
      <c r="E54" s="279">
        <v>173238.434828</v>
      </c>
      <c r="F54" s="294">
        <v>0.12448795911457705</v>
      </c>
      <c r="G54" s="278">
        <v>0</v>
      </c>
      <c r="H54" s="281">
        <v>0</v>
      </c>
      <c r="I54" s="280" t="e">
        <v>#N/A</v>
      </c>
      <c r="J54" s="282">
        <v>6.8051456907807497E-3</v>
      </c>
      <c r="K54" s="2">
        <v>247808.52576000005</v>
      </c>
      <c r="L54" s="295">
        <v>0.21466204430929542</v>
      </c>
      <c r="M54" s="282"/>
      <c r="N54" s="7">
        <v>0</v>
      </c>
      <c r="O54" s="7"/>
      <c r="P54" s="283">
        <v>1.631652167994763E-3</v>
      </c>
      <c r="Q54" s="283" t="s">
        <v>308</v>
      </c>
      <c r="R54" s="283"/>
      <c r="S54" s="283"/>
      <c r="T54" s="2">
        <v>74570.09093200005</v>
      </c>
      <c r="U54" s="4">
        <v>0.30091818150042343</v>
      </c>
    </row>
    <row r="55" spans="1:21" ht="16">
      <c r="B55" s="296" t="s">
        <v>18</v>
      </c>
      <c r="C55" s="296" t="s">
        <v>290</v>
      </c>
      <c r="D55" s="278">
        <v>3.6109961217082368E-3</v>
      </c>
      <c r="E55" s="279">
        <v>120917</v>
      </c>
      <c r="F55" s="280">
        <v>1151.5904761904762</v>
      </c>
      <c r="G55" s="278">
        <v>4.7576832785401818E-3</v>
      </c>
      <c r="H55" s="281">
        <v>146839</v>
      </c>
      <c r="I55" s="280">
        <v>1596.0760869565217</v>
      </c>
      <c r="J55" s="282">
        <v>4.0289580102831355E-3</v>
      </c>
      <c r="K55" s="2">
        <v>146714</v>
      </c>
      <c r="L55" s="7">
        <v>1424.4077669902913</v>
      </c>
      <c r="M55" s="282"/>
      <c r="N55" s="7">
        <v>0</v>
      </c>
      <c r="O55" s="7"/>
      <c r="P55" s="283">
        <v>1.146687156831945E-3</v>
      </c>
      <c r="Q55" s="283" t="s">
        <v>310</v>
      </c>
      <c r="R55" s="283"/>
      <c r="S55" s="283"/>
      <c r="T55" s="2">
        <v>25922</v>
      </c>
      <c r="U55" s="4">
        <v>0.17653348224926621</v>
      </c>
    </row>
    <row r="56" spans="1:21" ht="16">
      <c r="B56" s="291" t="s">
        <v>21</v>
      </c>
      <c r="C56" s="291" t="s">
        <v>264</v>
      </c>
      <c r="D56" s="278">
        <v>2.0698612439597815E-2</v>
      </c>
      <c r="E56" s="279">
        <v>693109.05799999996</v>
      </c>
      <c r="F56" s="280">
        <v>11.066372748754629</v>
      </c>
      <c r="G56" s="278">
        <v>5.5599564870197644E-3</v>
      </c>
      <c r="H56" s="281">
        <v>171600</v>
      </c>
      <c r="I56" s="280">
        <v>3.2417727736426492</v>
      </c>
      <c r="J56" s="282">
        <v>4.3141711316948663E-3</v>
      </c>
      <c r="K56" s="2">
        <v>157100</v>
      </c>
      <c r="L56" s="7">
        <v>2.569008372579801</v>
      </c>
      <c r="M56" s="282"/>
      <c r="N56" s="7">
        <v>0</v>
      </c>
      <c r="O56" s="7"/>
      <c r="P56" s="283">
        <v>1.6384441307902949E-2</v>
      </c>
      <c r="Q56" s="283" t="s">
        <v>310</v>
      </c>
      <c r="R56" s="283"/>
      <c r="S56" s="283"/>
      <c r="T56" s="2">
        <v>536009.05799999996</v>
      </c>
      <c r="U56" s="4">
        <v>0.77334014295914744</v>
      </c>
    </row>
    <row r="57" spans="1:21" ht="16">
      <c r="B57" s="293" t="s">
        <v>22</v>
      </c>
      <c r="C57" s="293" t="s">
        <v>269</v>
      </c>
      <c r="D57" s="278">
        <v>2.5383913787573303E-3</v>
      </c>
      <c r="E57" s="279">
        <v>85000</v>
      </c>
      <c r="F57" s="280">
        <v>21.013597033374538</v>
      </c>
      <c r="G57" s="278">
        <v>2.4300509121589881E-3</v>
      </c>
      <c r="H57" s="281">
        <v>75000</v>
      </c>
      <c r="I57" s="280">
        <v>20.264793299108348</v>
      </c>
      <c r="J57" s="282">
        <v>2.3342109878680055E-3</v>
      </c>
      <c r="K57" s="2">
        <v>85000</v>
      </c>
      <c r="L57" s="7">
        <v>8.3398744113029828</v>
      </c>
      <c r="M57" s="282"/>
      <c r="N57" s="7">
        <v>0</v>
      </c>
      <c r="O57" s="7"/>
      <c r="P57" s="283">
        <v>2.041803908893248E-4</v>
      </c>
      <c r="Q57" s="283" t="s">
        <v>310</v>
      </c>
      <c r="R57" s="283"/>
      <c r="S57" s="283"/>
      <c r="T57" s="2">
        <v>10000</v>
      </c>
      <c r="U57" s="4">
        <v>0.11764705882352941</v>
      </c>
    </row>
    <row r="58" spans="1:21" ht="16">
      <c r="B58" s="293" t="s">
        <v>23</v>
      </c>
      <c r="C58" s="293" t="s">
        <v>304</v>
      </c>
      <c r="D58" s="278">
        <v>2.1949619569254565E-3</v>
      </c>
      <c r="E58" s="279">
        <v>73500</v>
      </c>
      <c r="F58" s="280">
        <v>1.2545445235291106</v>
      </c>
      <c r="G58" s="278">
        <v>3.1299055748607767E-3</v>
      </c>
      <c r="H58" s="281">
        <v>96600</v>
      </c>
      <c r="I58" s="280">
        <v>1.9620985924075316</v>
      </c>
      <c r="J58" s="282">
        <v>1.9799601438268608E-3</v>
      </c>
      <c r="K58" s="2">
        <v>72100</v>
      </c>
      <c r="L58" s="7">
        <v>1.3423680974399121</v>
      </c>
      <c r="M58" s="282"/>
      <c r="N58" s="7">
        <v>0</v>
      </c>
      <c r="O58" s="7"/>
      <c r="P58" s="283">
        <v>1.1499454310339159E-3</v>
      </c>
      <c r="Q58" s="283" t="s">
        <v>310</v>
      </c>
      <c r="R58" s="283"/>
      <c r="S58" s="283"/>
      <c r="T58" s="2">
        <v>24500</v>
      </c>
      <c r="U58" s="4">
        <v>0.25362318840579712</v>
      </c>
    </row>
    <row r="59" spans="1:21" ht="16">
      <c r="B59" s="293" t="s">
        <v>24</v>
      </c>
      <c r="C59" s="293" t="s">
        <v>264</v>
      </c>
      <c r="D59" s="278">
        <v>9.0063607344338156E-3</v>
      </c>
      <c r="E59" s="279">
        <v>301584.96000000002</v>
      </c>
      <c r="F59" s="280">
        <v>4.8151896793971138</v>
      </c>
      <c r="G59" s="278">
        <v>0</v>
      </c>
      <c r="H59" s="281">
        <v>0</v>
      </c>
      <c r="I59" s="280">
        <v>0</v>
      </c>
      <c r="J59" s="282">
        <v>0</v>
      </c>
      <c r="K59" s="2">
        <v>0</v>
      </c>
      <c r="L59" s="7">
        <v>0</v>
      </c>
      <c r="M59" s="282"/>
      <c r="N59" s="7">
        <v>0</v>
      </c>
      <c r="O59" s="7"/>
      <c r="P59" s="283">
        <v>9.0063607344338156E-3</v>
      </c>
      <c r="Q59" s="283" t="s">
        <v>308</v>
      </c>
      <c r="R59" s="283"/>
      <c r="S59" s="283"/>
      <c r="T59" s="2">
        <v>301584.96000000002</v>
      </c>
      <c r="U59" s="4">
        <v>1</v>
      </c>
    </row>
    <row r="60" spans="1:21" ht="16">
      <c r="B60" s="293" t="s">
        <v>25</v>
      </c>
      <c r="C60" s="293" t="s">
        <v>264</v>
      </c>
      <c r="D60" s="278">
        <v>6.9588983694812145E-3</v>
      </c>
      <c r="E60" s="279">
        <v>233024.098</v>
      </c>
      <c r="F60" s="280">
        <v>3.7205278132583981</v>
      </c>
      <c r="G60" s="278">
        <v>0</v>
      </c>
      <c r="H60" s="281">
        <v>0</v>
      </c>
      <c r="I60" s="280">
        <v>0</v>
      </c>
      <c r="J60" s="282">
        <v>0</v>
      </c>
      <c r="K60" s="2">
        <v>0</v>
      </c>
      <c r="L60" s="7">
        <v>0</v>
      </c>
      <c r="M60" s="282"/>
      <c r="N60" s="7">
        <v>0</v>
      </c>
      <c r="O60" s="7"/>
      <c r="P60" s="283">
        <v>6.9588983694812145E-3</v>
      </c>
      <c r="Q60" s="283" t="s">
        <v>308</v>
      </c>
      <c r="R60" s="283"/>
      <c r="S60" s="283"/>
      <c r="T60" s="2">
        <v>233024.098</v>
      </c>
      <c r="U60" s="4">
        <v>1</v>
      </c>
    </row>
    <row r="61" spans="1:21" ht="16">
      <c r="B61" s="1" t="s">
        <v>26</v>
      </c>
      <c r="C61" s="1"/>
      <c r="D61" s="278">
        <v>0</v>
      </c>
      <c r="E61" s="279">
        <v>0</v>
      </c>
      <c r="F61" s="280" t="e">
        <v>#N/A</v>
      </c>
      <c r="G61" s="278">
        <v>0</v>
      </c>
      <c r="H61" s="281">
        <v>0</v>
      </c>
      <c r="I61" s="280" t="e">
        <v>#N/A</v>
      </c>
      <c r="J61" s="282">
        <v>0</v>
      </c>
      <c r="K61" s="2">
        <v>0</v>
      </c>
      <c r="L61" s="7" t="e">
        <v>#N/A</v>
      </c>
      <c r="M61" s="282"/>
      <c r="N61" s="7">
        <v>0</v>
      </c>
      <c r="O61" s="7"/>
      <c r="P61" s="283">
        <v>0</v>
      </c>
      <c r="Q61" s="283" t="s">
        <v>308</v>
      </c>
      <c r="R61" s="283"/>
      <c r="S61" s="283"/>
      <c r="T61" s="2">
        <v>0</v>
      </c>
      <c r="U61" s="4" t="s">
        <v>309</v>
      </c>
    </row>
    <row r="62" spans="1:21" ht="16">
      <c r="B62" t="s">
        <v>27</v>
      </c>
      <c r="C62" s="293" t="s">
        <v>290</v>
      </c>
      <c r="D62" s="278">
        <v>0</v>
      </c>
      <c r="E62" s="279">
        <v>0</v>
      </c>
      <c r="F62" s="280">
        <v>0</v>
      </c>
      <c r="G62" s="278">
        <v>1.1340237590075278E-4</v>
      </c>
      <c r="H62" s="281">
        <v>3500</v>
      </c>
      <c r="I62" s="280">
        <v>38.043478260869563</v>
      </c>
      <c r="J62" s="282">
        <v>0</v>
      </c>
      <c r="K62" s="2">
        <v>0</v>
      </c>
      <c r="L62" s="7">
        <v>0</v>
      </c>
      <c r="M62" s="282">
        <v>2.0000000000000001E-4</v>
      </c>
      <c r="N62" s="7">
        <v>8567.5594000000001</v>
      </c>
      <c r="O62" s="7"/>
      <c r="P62" s="283">
        <v>1.1340237590075278E-4</v>
      </c>
      <c r="Q62" s="283" t="s">
        <v>308</v>
      </c>
      <c r="R62" s="283"/>
      <c r="S62" s="283"/>
      <c r="T62" s="2">
        <v>3500</v>
      </c>
      <c r="U62" s="4">
        <v>1</v>
      </c>
    </row>
    <row r="63" spans="1:21" ht="16">
      <c r="B63" t="s">
        <v>28</v>
      </c>
      <c r="C63" s="293" t="s">
        <v>290</v>
      </c>
      <c r="D63" s="278">
        <v>0</v>
      </c>
      <c r="E63" s="279">
        <v>0</v>
      </c>
      <c r="F63" s="280">
        <v>0</v>
      </c>
      <c r="G63" s="278">
        <v>2.2680475180150556E-4</v>
      </c>
      <c r="H63" s="281">
        <v>7000</v>
      </c>
      <c r="I63" s="280">
        <v>76.086956521739125</v>
      </c>
      <c r="J63" s="282">
        <v>0</v>
      </c>
      <c r="K63" s="2">
        <v>0</v>
      </c>
      <c r="L63" s="7">
        <v>0</v>
      </c>
      <c r="M63" s="282">
        <v>1.2E-4</v>
      </c>
      <c r="N63" s="7">
        <v>5140.5356400000001</v>
      </c>
      <c r="O63" s="7"/>
      <c r="P63" s="283">
        <v>2.2680475180150556E-4</v>
      </c>
      <c r="Q63" s="283" t="s">
        <v>308</v>
      </c>
      <c r="R63" s="283"/>
      <c r="S63" s="283"/>
      <c r="T63" s="2">
        <v>7000</v>
      </c>
      <c r="U63" s="4">
        <v>1</v>
      </c>
    </row>
    <row r="64" spans="1:21" ht="16">
      <c r="B64" s="291" t="s">
        <v>93</v>
      </c>
      <c r="C64" s="291" t="s">
        <v>290</v>
      </c>
      <c r="D64" s="278">
        <v>3.3317730700449306E-2</v>
      </c>
      <c r="E64" s="279">
        <v>1115670</v>
      </c>
      <c r="F64" s="280">
        <v>10625.428571428571</v>
      </c>
      <c r="G64" s="278">
        <v>3.4841259961564855E-2</v>
      </c>
      <c r="H64" s="281">
        <v>1075325</v>
      </c>
      <c r="I64" s="280">
        <v>11688.315217391304</v>
      </c>
      <c r="J64" s="282">
        <v>3.8392073353326887E-2</v>
      </c>
      <c r="K64" s="2">
        <v>1398042.53</v>
      </c>
      <c r="L64" s="7">
        <v>13573.228446601943</v>
      </c>
      <c r="M64" s="282">
        <v>1.7510000000000001E-2</v>
      </c>
      <c r="N64" s="7">
        <v>750089.82547000004</v>
      </c>
      <c r="O64" s="7"/>
      <c r="P64" s="283">
        <v>5.0743426528775809E-3</v>
      </c>
      <c r="Q64" s="283" t="s">
        <v>310</v>
      </c>
      <c r="R64" s="283"/>
      <c r="S64" s="283"/>
      <c r="T64" s="2">
        <v>322717.53000000003</v>
      </c>
      <c r="U64" s="4">
        <v>0.23083527365937861</v>
      </c>
    </row>
    <row r="65" spans="1:21" ht="16">
      <c r="B65" s="287" t="s">
        <v>29</v>
      </c>
      <c r="C65" s="288" t="s">
        <v>270</v>
      </c>
      <c r="D65" s="278">
        <v>0</v>
      </c>
      <c r="E65" s="279">
        <v>0</v>
      </c>
      <c r="F65" s="280">
        <v>0</v>
      </c>
      <c r="G65" s="278">
        <v>0</v>
      </c>
      <c r="H65" s="281">
        <v>0</v>
      </c>
      <c r="I65" s="280">
        <v>0</v>
      </c>
      <c r="J65" s="282">
        <v>1.5103718156792975E-3</v>
      </c>
      <c r="K65" s="2">
        <v>55000</v>
      </c>
      <c r="L65" s="7">
        <v>5.1394184047245268</v>
      </c>
      <c r="M65" s="282"/>
      <c r="N65" s="7">
        <v>0</v>
      </c>
      <c r="O65" s="7"/>
      <c r="P65" s="283">
        <v>1.5103718156792975E-3</v>
      </c>
      <c r="Q65" s="283" t="s">
        <v>308</v>
      </c>
      <c r="R65" s="283"/>
      <c r="S65" s="283"/>
      <c r="T65" s="2">
        <v>55000</v>
      </c>
      <c r="U65" s="4">
        <v>1</v>
      </c>
    </row>
    <row r="66" spans="1:21" ht="16">
      <c r="B66" s="287" t="s">
        <v>30</v>
      </c>
      <c r="C66" s="288" t="s">
        <v>290</v>
      </c>
      <c r="D66" s="278">
        <v>3.1944013013121809E-2</v>
      </c>
      <c r="E66" s="279">
        <v>1069670</v>
      </c>
      <c r="F66" s="280">
        <v>10187.333333333334</v>
      </c>
      <c r="G66" s="278">
        <v>3.4841259961564855E-2</v>
      </c>
      <c r="H66" s="281">
        <v>1075325</v>
      </c>
      <c r="I66" s="280">
        <v>11688.315217391304</v>
      </c>
      <c r="J66" s="282">
        <v>3.5865633225281517E-2</v>
      </c>
      <c r="K66" s="2">
        <v>1306042.53</v>
      </c>
      <c r="L66" s="7">
        <v>12680.024563106796</v>
      </c>
      <c r="M66" s="282"/>
      <c r="N66" s="7">
        <v>0</v>
      </c>
      <c r="O66" s="7"/>
      <c r="P66" s="283">
        <v>3.9216202121597071E-3</v>
      </c>
      <c r="Q66" s="283" t="s">
        <v>310</v>
      </c>
      <c r="R66" s="283"/>
      <c r="S66" s="283"/>
      <c r="T66" s="2">
        <v>236372.53000000003</v>
      </c>
      <c r="U66" s="4">
        <v>0.18098379231187825</v>
      </c>
    </row>
    <row r="67" spans="1:21" ht="16">
      <c r="B67" s="287" t="s">
        <v>31</v>
      </c>
      <c r="C67" s="288" t="s">
        <v>290</v>
      </c>
      <c r="D67" s="278">
        <v>2.9863427985380358E-4</v>
      </c>
      <c r="E67" s="279">
        <v>10000</v>
      </c>
      <c r="F67" s="280">
        <v>95.238095238095241</v>
      </c>
      <c r="G67" s="278">
        <v>0</v>
      </c>
      <c r="H67" s="281">
        <v>0</v>
      </c>
      <c r="I67" s="280">
        <v>0</v>
      </c>
      <c r="J67" s="282">
        <v>1.9222914017736514E-4</v>
      </c>
      <c r="K67" s="2">
        <v>7000</v>
      </c>
      <c r="L67" s="7">
        <v>67.961165048543691</v>
      </c>
      <c r="M67" s="282"/>
      <c r="N67" s="7">
        <v>0</v>
      </c>
      <c r="O67" s="7"/>
      <c r="P67" s="283">
        <v>1.0640513967643845E-4</v>
      </c>
      <c r="Q67" s="283" t="s">
        <v>308</v>
      </c>
      <c r="R67" s="283"/>
      <c r="S67" s="283"/>
      <c r="T67" s="2">
        <v>3000</v>
      </c>
      <c r="U67" s="4">
        <v>0.3</v>
      </c>
    </row>
    <row r="68" spans="1:21" ht="16">
      <c r="B68" s="287" t="s">
        <v>32</v>
      </c>
      <c r="C68" s="288" t="s">
        <v>290</v>
      </c>
      <c r="D68" s="278">
        <v>1.0750834074736929E-3</v>
      </c>
      <c r="E68" s="279">
        <v>36000</v>
      </c>
      <c r="F68" s="280">
        <v>342.85714285714283</v>
      </c>
      <c r="G68" s="278">
        <v>0</v>
      </c>
      <c r="H68" s="281">
        <v>0</v>
      </c>
      <c r="I68" s="280">
        <v>0</v>
      </c>
      <c r="J68" s="282">
        <v>8.2383917218870777E-4</v>
      </c>
      <c r="K68" s="2">
        <v>30000</v>
      </c>
      <c r="L68" s="7">
        <v>291.26213592233012</v>
      </c>
      <c r="M68" s="282"/>
      <c r="N68" s="7">
        <v>0</v>
      </c>
      <c r="O68" s="7"/>
      <c r="P68" s="283">
        <v>2.5124423528498515E-4</v>
      </c>
      <c r="Q68" s="283" t="s">
        <v>308</v>
      </c>
      <c r="R68" s="283"/>
      <c r="S68" s="283"/>
      <c r="T68" s="2">
        <v>6000</v>
      </c>
      <c r="U68" s="4">
        <v>0.16666666666666666</v>
      </c>
    </row>
    <row r="69" spans="1:21" ht="16">
      <c r="B69" t="s">
        <v>33</v>
      </c>
      <c r="C69" s="288" t="s">
        <v>264</v>
      </c>
      <c r="D69" s="278">
        <v>5.9726855970760717E-4</v>
      </c>
      <c r="E69" s="279">
        <v>20000</v>
      </c>
      <c r="F69" s="280">
        <v>0.31932558436581937</v>
      </c>
      <c r="G69" s="278">
        <v>0</v>
      </c>
      <c r="H69" s="281">
        <v>0</v>
      </c>
      <c r="I69" s="280">
        <v>0</v>
      </c>
      <c r="J69" s="282">
        <v>0</v>
      </c>
      <c r="K69" s="2">
        <v>0</v>
      </c>
      <c r="L69" s="7">
        <v>0</v>
      </c>
      <c r="M69" s="282">
        <v>1.6299999999999999E-3</v>
      </c>
      <c r="N69" s="7">
        <v>69825.60910999999</v>
      </c>
      <c r="O69" s="7"/>
      <c r="P69" s="283">
        <v>5.9726855970760717E-4</v>
      </c>
      <c r="Q69" s="283" t="s">
        <v>308</v>
      </c>
      <c r="R69" s="283"/>
      <c r="S69" s="283"/>
      <c r="T69" s="2">
        <v>20000</v>
      </c>
      <c r="U69" s="4">
        <v>1</v>
      </c>
    </row>
    <row r="70" spans="1:21" ht="16">
      <c r="B70" t="s">
        <v>34</v>
      </c>
      <c r="C70" s="288" t="s">
        <v>270</v>
      </c>
      <c r="D70" s="278">
        <v>4.6721333083127569E-4</v>
      </c>
      <c r="E70" s="279">
        <v>15645</v>
      </c>
      <c r="F70" s="280">
        <v>1.4273332725116321</v>
      </c>
      <c r="G70" s="278">
        <v>3.2400678828786511E-4</v>
      </c>
      <c r="H70" s="281">
        <v>10000</v>
      </c>
      <c r="I70" s="280">
        <v>1.0795114131344152</v>
      </c>
      <c r="J70" s="282">
        <v>2.7461305739623592E-4</v>
      </c>
      <c r="K70" s="2">
        <v>10000</v>
      </c>
      <c r="L70" s="7">
        <v>0.93443970994991399</v>
      </c>
      <c r="M70" s="282">
        <v>2.3000000000000001E-4</v>
      </c>
      <c r="N70" s="7">
        <v>9852.6933100000006</v>
      </c>
      <c r="O70" s="7"/>
      <c r="P70" s="283">
        <v>1.9260027343503977E-4</v>
      </c>
      <c r="Q70" s="283" t="s">
        <v>310</v>
      </c>
      <c r="R70" s="283"/>
      <c r="S70" s="283"/>
      <c r="T70" s="2">
        <v>5645</v>
      </c>
      <c r="U70" s="4">
        <v>0.3608181527644615</v>
      </c>
    </row>
    <row r="71" spans="1:21" ht="16">
      <c r="B71" t="s">
        <v>35</v>
      </c>
      <c r="C71" s="288" t="s">
        <v>270</v>
      </c>
      <c r="D71" s="278">
        <v>3.7171008813402929E-4</v>
      </c>
      <c r="E71" s="279">
        <v>12447</v>
      </c>
      <c r="F71" s="280">
        <v>1.1355715719368671</v>
      </c>
      <c r="G71" s="278">
        <v>3.2400678828786511E-4</v>
      </c>
      <c r="H71" s="281">
        <v>10000</v>
      </c>
      <c r="I71" s="280">
        <v>1.0795114131344152</v>
      </c>
      <c r="J71" s="282">
        <v>0</v>
      </c>
      <c r="K71" s="2">
        <v>0</v>
      </c>
      <c r="L71" s="7">
        <v>0</v>
      </c>
      <c r="M71" s="282">
        <v>3.5E-4</v>
      </c>
      <c r="N71" s="7">
        <v>14993.228950000001</v>
      </c>
      <c r="O71" s="7"/>
      <c r="P71" s="283">
        <v>4.7703299846164188E-5</v>
      </c>
      <c r="Q71" s="283" t="s">
        <v>308</v>
      </c>
      <c r="R71" s="283"/>
      <c r="S71" s="283"/>
      <c r="T71" s="2">
        <v>2447</v>
      </c>
      <c r="U71" s="4">
        <v>0.19659355668032458</v>
      </c>
    </row>
    <row r="72" spans="1:21" ht="16">
      <c r="B72" t="s">
        <v>36</v>
      </c>
      <c r="C72" s="288" t="s">
        <v>270</v>
      </c>
      <c r="D72" s="278">
        <v>8.8652572317400125E-4</v>
      </c>
      <c r="E72" s="279">
        <v>29686</v>
      </c>
      <c r="F72" s="280">
        <v>2.7083295319770095</v>
      </c>
      <c r="G72" s="278">
        <v>1.2960271531514604E-3</v>
      </c>
      <c r="H72" s="281">
        <v>40000</v>
      </c>
      <c r="I72" s="280">
        <v>4.3180456525376609</v>
      </c>
      <c r="J72" s="282">
        <v>1.3730652869811796E-3</v>
      </c>
      <c r="K72" s="2">
        <v>50000</v>
      </c>
      <c r="L72" s="7">
        <v>4.6721985497495702</v>
      </c>
      <c r="M72" s="282">
        <v>4.6999999999999999E-4</v>
      </c>
      <c r="N72" s="7">
        <v>20133.764589999999</v>
      </c>
      <c r="O72" s="7"/>
      <c r="P72" s="283">
        <v>4.8653956380717838E-4</v>
      </c>
      <c r="Q72" s="283" t="s">
        <v>310</v>
      </c>
      <c r="R72" s="283"/>
      <c r="S72" s="283"/>
      <c r="T72" s="2">
        <v>20314</v>
      </c>
      <c r="U72" s="4">
        <v>0.40627999999999997</v>
      </c>
    </row>
    <row r="73" spans="1:21" ht="16">
      <c r="B73" t="s">
        <v>37</v>
      </c>
      <c r="C73" s="288" t="s">
        <v>270</v>
      </c>
      <c r="D73" s="278">
        <v>5.2048968635719423E-4</v>
      </c>
      <c r="E73" s="279">
        <v>17429</v>
      </c>
      <c r="F73" s="280">
        <v>1.5900921448772922</v>
      </c>
      <c r="G73" s="278">
        <v>1.1340237590075277E-3</v>
      </c>
      <c r="H73" s="281">
        <v>35000</v>
      </c>
      <c r="I73" s="280">
        <v>3.7782899459704535</v>
      </c>
      <c r="J73" s="282">
        <v>0</v>
      </c>
      <c r="K73" s="2">
        <v>0</v>
      </c>
      <c r="L73" s="7">
        <v>0</v>
      </c>
      <c r="M73" s="282">
        <v>1.8699999999999999E-3</v>
      </c>
      <c r="N73" s="7">
        <v>80106.680389999994</v>
      </c>
      <c r="O73" s="7"/>
      <c r="P73" s="283">
        <v>6.1353407265033345E-4</v>
      </c>
      <c r="Q73" s="283" t="s">
        <v>308</v>
      </c>
      <c r="R73" s="283"/>
      <c r="S73" s="283"/>
      <c r="T73" s="2">
        <v>17571</v>
      </c>
      <c r="U73" s="4">
        <v>0.50202857142857138</v>
      </c>
    </row>
    <row r="74" spans="1:21" ht="16">
      <c r="A74" t="s">
        <v>305</v>
      </c>
      <c r="B74" s="297" t="s">
        <v>94</v>
      </c>
      <c r="C74" s="291" t="s">
        <v>264</v>
      </c>
      <c r="D74" s="278">
        <v>6.234423611653938E-2</v>
      </c>
      <c r="E74" s="279">
        <v>2087645</v>
      </c>
      <c r="F74" s="280">
        <v>33.331922978669049</v>
      </c>
      <c r="G74" s="278">
        <v>8.2817431113531473E-2</v>
      </c>
      <c r="H74" s="281">
        <v>2556040</v>
      </c>
      <c r="I74" s="280">
        <v>48.287301167491592</v>
      </c>
      <c r="J74" s="282">
        <v>8.2249029829662965E-2</v>
      </c>
      <c r="K74" s="2">
        <v>2995088.0926607512</v>
      </c>
      <c r="L74" s="7">
        <v>48.977761850156185</v>
      </c>
      <c r="M74" s="282">
        <v>4.0849999999999997E-2</v>
      </c>
      <c r="N74" s="7">
        <v>1749924.0074499999</v>
      </c>
      <c r="O74" s="7"/>
      <c r="P74" s="283">
        <v>2.0473194996992093E-2</v>
      </c>
      <c r="Q74" s="283" t="s">
        <v>310</v>
      </c>
      <c r="R74" s="283"/>
      <c r="S74" s="283"/>
      <c r="T74" s="2">
        <v>907443.09266075119</v>
      </c>
      <c r="U74" s="4">
        <v>0.30297709602745093</v>
      </c>
    </row>
    <row r="75" spans="1:21" ht="16">
      <c r="B75" s="287" t="s">
        <v>38</v>
      </c>
      <c r="C75" s="288" t="s">
        <v>264</v>
      </c>
      <c r="D75" s="278">
        <v>5.0000098568498449E-2</v>
      </c>
      <c r="E75" s="279">
        <v>1674292</v>
      </c>
      <c r="F75" s="280">
        <v>26.732213564950825</v>
      </c>
      <c r="G75" s="278">
        <v>6.6253944890825173E-2</v>
      </c>
      <c r="H75" s="281">
        <v>2044832</v>
      </c>
      <c r="I75" s="280">
        <v>38.629840933993272</v>
      </c>
      <c r="J75" s="282">
        <v>6.5799223863730369E-2</v>
      </c>
      <c r="K75" s="2">
        <v>2396070.4741286007</v>
      </c>
      <c r="L75" s="7">
        <v>39.182209480124946</v>
      </c>
      <c r="M75" s="282"/>
      <c r="N75" s="7">
        <v>0</v>
      </c>
      <c r="O75" s="7"/>
      <c r="P75" s="283">
        <v>1.6253846322326723E-2</v>
      </c>
      <c r="Q75" s="283" t="s">
        <v>310</v>
      </c>
      <c r="R75" s="283"/>
      <c r="S75" s="283"/>
      <c r="T75" s="2">
        <v>721778.47412860068</v>
      </c>
      <c r="U75" s="4">
        <v>0.30123424244902314</v>
      </c>
    </row>
    <row r="76" spans="1:21" ht="16">
      <c r="B76" s="287" t="s">
        <v>39</v>
      </c>
      <c r="C76" s="288" t="s">
        <v>264</v>
      </c>
      <c r="D76" s="278">
        <v>1.2344137548040927E-2</v>
      </c>
      <c r="E76" s="279">
        <v>413353</v>
      </c>
      <c r="F76" s="280">
        <v>6.5997094137182275</v>
      </c>
      <c r="G76" s="278">
        <v>1.6563486222706293E-2</v>
      </c>
      <c r="H76" s="281">
        <v>511208</v>
      </c>
      <c r="I76" s="280">
        <v>9.6574602334983179</v>
      </c>
      <c r="J76" s="282">
        <v>1.6449805965932599E-2</v>
      </c>
      <c r="K76" s="2">
        <v>599017.61853215052</v>
      </c>
      <c r="L76" s="7">
        <v>9.7955523700312419</v>
      </c>
      <c r="M76" s="282"/>
      <c r="N76" s="7">
        <v>0</v>
      </c>
      <c r="O76" s="7"/>
      <c r="P76" s="283">
        <v>4.2193486746653665E-3</v>
      </c>
      <c r="Q76" s="283" t="s">
        <v>310</v>
      </c>
      <c r="R76" s="283"/>
      <c r="S76" s="283"/>
      <c r="T76" s="2">
        <v>185664.61853215052</v>
      </c>
      <c r="U76" s="4">
        <v>0.30994851034116205</v>
      </c>
    </row>
    <row r="77" spans="1:21" ht="16">
      <c r="B77" t="s">
        <v>40</v>
      </c>
      <c r="C77" s="288" t="s">
        <v>264</v>
      </c>
      <c r="D77" s="278">
        <v>2.418937666815809E-4</v>
      </c>
      <c r="E77" s="279">
        <v>8100</v>
      </c>
      <c r="F77" s="280">
        <v>0.12932686166815685</v>
      </c>
      <c r="G77" s="278">
        <v>0</v>
      </c>
      <c r="H77" s="281">
        <v>0</v>
      </c>
      <c r="I77" s="280">
        <v>0</v>
      </c>
      <c r="J77" s="282">
        <v>0</v>
      </c>
      <c r="K77" s="2">
        <v>0</v>
      </c>
      <c r="L77" s="7">
        <v>0</v>
      </c>
      <c r="M77" s="282">
        <v>5.8399999999999997E-3</v>
      </c>
      <c r="N77" s="7">
        <v>250172.73447999998</v>
      </c>
      <c r="O77" s="7"/>
      <c r="P77" s="283">
        <v>2.418937666815809E-4</v>
      </c>
      <c r="Q77" s="283" t="s">
        <v>308</v>
      </c>
      <c r="R77" s="283"/>
      <c r="S77" s="283"/>
      <c r="T77" s="2">
        <v>8100</v>
      </c>
      <c r="U77" s="4">
        <v>1</v>
      </c>
    </row>
    <row r="78" spans="1:21" ht="16">
      <c r="B78" s="298" t="s">
        <v>41</v>
      </c>
      <c r="C78" s="298" t="s">
        <v>290</v>
      </c>
      <c r="D78" s="278">
        <v>5.2398893353138116E-3</v>
      </c>
      <c r="E78" s="279">
        <v>175461.75</v>
      </c>
      <c r="F78" s="280">
        <v>1671.0642857142857</v>
      </c>
      <c r="G78" s="278">
        <v>5.6701187950376391E-3</v>
      </c>
      <c r="H78" s="281">
        <v>175000</v>
      </c>
      <c r="I78" s="280">
        <v>1902.1739130434783</v>
      </c>
      <c r="J78" s="282">
        <v>4.9430350331322462E-3</v>
      </c>
      <c r="K78" s="2">
        <v>180000</v>
      </c>
      <c r="L78" s="7">
        <v>1747.5728155339805</v>
      </c>
      <c r="M78" s="282"/>
      <c r="N78" s="7">
        <v>0</v>
      </c>
      <c r="O78" s="7"/>
      <c r="P78" s="283">
        <v>7.2708376190539284E-4</v>
      </c>
      <c r="Q78" s="283" t="s">
        <v>310</v>
      </c>
      <c r="R78" s="283"/>
      <c r="S78" s="283"/>
      <c r="T78" s="2">
        <v>5000</v>
      </c>
      <c r="U78" s="4">
        <v>2.7777777777777776E-2</v>
      </c>
    </row>
    <row r="79" spans="1:21" ht="16">
      <c r="B79" s="287" t="s">
        <v>42</v>
      </c>
      <c r="C79" s="288" t="s">
        <v>270</v>
      </c>
      <c r="D79" s="278">
        <v>1.7918056791228214E-3</v>
      </c>
      <c r="E79" s="299">
        <v>60000</v>
      </c>
      <c r="F79" s="280">
        <v>5.4739531064683877</v>
      </c>
      <c r="G79" s="278">
        <v>0</v>
      </c>
      <c r="H79" s="281">
        <v>0</v>
      </c>
      <c r="I79" s="280">
        <v>0</v>
      </c>
      <c r="J79" s="282">
        <v>1.0984522295849437E-3</v>
      </c>
      <c r="K79" s="2">
        <v>40000</v>
      </c>
      <c r="L79" s="7">
        <v>3.737758839799656</v>
      </c>
      <c r="M79" s="282"/>
      <c r="N79" s="7">
        <v>0</v>
      </c>
      <c r="O79" s="7"/>
      <c r="P79" s="283">
        <v>6.9335344953787769E-4</v>
      </c>
      <c r="Q79" s="283" t="s">
        <v>308</v>
      </c>
      <c r="R79" s="283"/>
      <c r="S79" s="283"/>
      <c r="T79" s="2">
        <v>20000</v>
      </c>
      <c r="U79" s="4">
        <v>0.33333333333333331</v>
      </c>
    </row>
    <row r="80" spans="1:21" ht="16">
      <c r="B80" s="287" t="s">
        <v>43</v>
      </c>
      <c r="C80" s="288" t="s">
        <v>290</v>
      </c>
      <c r="D80" s="278">
        <v>0</v>
      </c>
      <c r="E80" s="299">
        <v>0</v>
      </c>
      <c r="F80" s="280">
        <v>0</v>
      </c>
      <c r="G80" s="278">
        <v>6.4801357657573021E-4</v>
      </c>
      <c r="H80" s="281">
        <v>20000</v>
      </c>
      <c r="I80" s="280">
        <v>217.39130434782609</v>
      </c>
      <c r="J80" s="282">
        <v>4.1191958609435389E-4</v>
      </c>
      <c r="K80" s="2">
        <v>15000</v>
      </c>
      <c r="L80" s="7">
        <v>145.63106796116506</v>
      </c>
      <c r="M80" s="282"/>
      <c r="N80" s="7">
        <v>0</v>
      </c>
      <c r="O80" s="7"/>
      <c r="P80" s="283">
        <v>2.3609399048137632E-4</v>
      </c>
      <c r="Q80" s="283" t="s">
        <v>308</v>
      </c>
      <c r="R80" s="283"/>
      <c r="S80" s="283"/>
      <c r="T80" s="2">
        <v>5000</v>
      </c>
      <c r="U80" s="4">
        <v>0.25</v>
      </c>
    </row>
    <row r="81" spans="1:21" ht="16">
      <c r="B81" s="287" t="s">
        <v>44</v>
      </c>
      <c r="C81" s="288" t="s">
        <v>290</v>
      </c>
      <c r="D81" s="278">
        <v>7.1672227164912858E-4</v>
      </c>
      <c r="E81" s="299">
        <v>24000</v>
      </c>
      <c r="F81" s="280">
        <v>228.57142857142858</v>
      </c>
      <c r="G81" s="278">
        <v>1.6200339414393255E-3</v>
      </c>
      <c r="H81" s="281">
        <v>50000</v>
      </c>
      <c r="I81" s="280">
        <v>543.47826086956525</v>
      </c>
      <c r="J81" s="282">
        <v>1.3730652869811796E-3</v>
      </c>
      <c r="K81" s="2">
        <v>50000</v>
      </c>
      <c r="L81" s="7">
        <v>485.43689320388347</v>
      </c>
      <c r="M81" s="282"/>
      <c r="N81" s="7">
        <v>0</v>
      </c>
      <c r="O81" s="7"/>
      <c r="P81" s="283">
        <v>9.033116697901969E-4</v>
      </c>
      <c r="Q81" s="283" t="s">
        <v>310</v>
      </c>
      <c r="R81" s="283"/>
      <c r="S81" s="283"/>
      <c r="T81" s="2">
        <v>26000</v>
      </c>
      <c r="U81" s="4">
        <v>0.52</v>
      </c>
    </row>
    <row r="82" spans="1:21" ht="16">
      <c r="B82" s="287" t="s">
        <v>45</v>
      </c>
      <c r="C82" s="288" t="s">
        <v>290</v>
      </c>
      <c r="D82" s="278">
        <v>9.3991406655486505E-4</v>
      </c>
      <c r="E82" s="299">
        <v>31473.75</v>
      </c>
      <c r="F82" s="280">
        <v>299.75</v>
      </c>
      <c r="G82" s="278">
        <v>2.2680475180150554E-3</v>
      </c>
      <c r="H82" s="281">
        <v>70000</v>
      </c>
      <c r="I82" s="280">
        <v>760.86956521739125</v>
      </c>
      <c r="J82" s="282">
        <v>1.0984522295849437E-3</v>
      </c>
      <c r="K82" s="2">
        <v>40000</v>
      </c>
      <c r="L82" s="7">
        <v>388.34951456310682</v>
      </c>
      <c r="M82" s="282"/>
      <c r="N82" s="7">
        <v>0</v>
      </c>
      <c r="O82" s="7"/>
      <c r="P82" s="283">
        <v>1.3281334514601904E-3</v>
      </c>
      <c r="Q82" s="283" t="s">
        <v>310</v>
      </c>
      <c r="R82" s="283"/>
      <c r="S82" s="283"/>
      <c r="T82" s="2">
        <v>38526.25</v>
      </c>
      <c r="U82" s="4">
        <v>0.55037499999999995</v>
      </c>
    </row>
    <row r="83" spans="1:21" ht="16">
      <c r="B83" s="287" t="s">
        <v>46</v>
      </c>
      <c r="C83" s="288" t="s">
        <v>290</v>
      </c>
      <c r="D83" s="278">
        <v>1.7914473179869968E-3</v>
      </c>
      <c r="E83" s="299">
        <v>59988</v>
      </c>
      <c r="F83" s="280">
        <v>571.31428571428569</v>
      </c>
      <c r="G83" s="278">
        <v>1.1340237590075277E-3</v>
      </c>
      <c r="H83" s="281">
        <v>35000</v>
      </c>
      <c r="I83" s="280">
        <v>380.43478260869563</v>
      </c>
      <c r="J83" s="282">
        <v>9.6114570088682574E-4</v>
      </c>
      <c r="K83" s="2">
        <v>35000</v>
      </c>
      <c r="L83" s="7">
        <v>339.80582524271847</v>
      </c>
      <c r="M83" s="282"/>
      <c r="N83" s="7">
        <v>0</v>
      </c>
      <c r="O83" s="7"/>
      <c r="P83" s="283">
        <v>8.3030161710017107E-4</v>
      </c>
      <c r="Q83" s="283" t="s">
        <v>310</v>
      </c>
      <c r="R83" s="283"/>
      <c r="S83" s="283"/>
      <c r="T83" s="2">
        <v>24988</v>
      </c>
      <c r="U83" s="4">
        <v>0.41654997666199906</v>
      </c>
    </row>
    <row r="84" spans="1:21" ht="16">
      <c r="B84" s="298" t="s">
        <v>47</v>
      </c>
      <c r="C84" s="298" t="s">
        <v>290</v>
      </c>
      <c r="D84" s="278">
        <v>1.2290974673541352E-3</v>
      </c>
      <c r="E84" s="279">
        <v>41157.279999999999</v>
      </c>
      <c r="F84" s="280">
        <v>391.97409523809523</v>
      </c>
      <c r="G84" s="278">
        <v>0</v>
      </c>
      <c r="H84" s="281">
        <v>0</v>
      </c>
      <c r="I84" s="280">
        <v>0</v>
      </c>
      <c r="J84" s="282">
        <v>9.0622308940757851E-4</v>
      </c>
      <c r="K84" s="2">
        <v>33000</v>
      </c>
      <c r="L84" s="7">
        <v>320.38834951456312</v>
      </c>
      <c r="M84" s="282">
        <v>3.7399999999999998E-3</v>
      </c>
      <c r="N84" s="7">
        <v>160213.36077999999</v>
      </c>
      <c r="O84" s="7"/>
      <c r="P84" s="283">
        <v>3.2287437794655666E-4</v>
      </c>
      <c r="Q84" s="283" t="s">
        <v>308</v>
      </c>
      <c r="R84" s="283"/>
      <c r="S84" s="283"/>
      <c r="T84" s="2">
        <v>8157.2799999999988</v>
      </c>
      <c r="U84" s="4">
        <v>0.19819774290234921</v>
      </c>
    </row>
    <row r="85" spans="1:21" ht="16">
      <c r="B85" s="287" t="s">
        <v>48</v>
      </c>
      <c r="C85" s="288" t="s">
        <v>290</v>
      </c>
      <c r="D85" s="278">
        <v>1.0797803274272333E-3</v>
      </c>
      <c r="E85" s="279">
        <v>36157.279999999999</v>
      </c>
      <c r="F85" s="280">
        <v>344.35504761904758</v>
      </c>
      <c r="G85" s="278">
        <v>0</v>
      </c>
      <c r="H85" s="281">
        <v>0</v>
      </c>
      <c r="I85" s="280">
        <v>0</v>
      </c>
      <c r="J85" s="282">
        <v>6.8653264349058981E-4</v>
      </c>
      <c r="K85" s="2">
        <v>25000</v>
      </c>
      <c r="L85" s="7">
        <v>242.71844660194174</v>
      </c>
      <c r="M85" s="282"/>
      <c r="N85" s="7">
        <v>0</v>
      </c>
      <c r="O85" s="7"/>
      <c r="P85" s="283">
        <v>3.9324768393664354E-4</v>
      </c>
      <c r="Q85" s="283" t="s">
        <v>308</v>
      </c>
      <c r="R85" s="283"/>
      <c r="S85" s="283"/>
      <c r="T85" s="2">
        <v>11157.279999999999</v>
      </c>
      <c r="U85" s="4">
        <v>0.3085763088373904</v>
      </c>
    </row>
    <row r="86" spans="1:21" ht="16">
      <c r="B86" s="287" t="s">
        <v>49</v>
      </c>
      <c r="C86" s="288" t="s">
        <v>290</v>
      </c>
      <c r="D86" s="278">
        <v>1.4931713992690179E-4</v>
      </c>
      <c r="E86" s="279">
        <v>5000</v>
      </c>
      <c r="F86" s="280">
        <v>47.61904761904762</v>
      </c>
      <c r="G86" s="278"/>
      <c r="H86" s="281">
        <v>0</v>
      </c>
      <c r="I86" s="280">
        <v>0</v>
      </c>
      <c r="J86" s="282">
        <v>2.1969044591698872E-4</v>
      </c>
      <c r="K86" s="2">
        <v>7999.9999999999991</v>
      </c>
      <c r="L86" s="7">
        <v>77.669902912621353</v>
      </c>
      <c r="M86" s="282"/>
      <c r="N86" s="7">
        <v>0</v>
      </c>
      <c r="O86" s="7"/>
      <c r="P86" s="283">
        <v>7.0373305990086932E-5</v>
      </c>
      <c r="Q86" s="283" t="s">
        <v>310</v>
      </c>
      <c r="R86" s="283"/>
      <c r="S86" s="283"/>
      <c r="T86" s="2">
        <v>2999.9999999999991</v>
      </c>
      <c r="U86" s="4">
        <v>0.37499999999999994</v>
      </c>
    </row>
    <row r="87" spans="1:21" ht="16">
      <c r="B87" s="300" t="s">
        <v>50</v>
      </c>
      <c r="C87" s="300"/>
      <c r="D87" s="278">
        <v>0</v>
      </c>
      <c r="E87" s="279">
        <v>0</v>
      </c>
      <c r="F87" s="280" t="e">
        <v>#N/A</v>
      </c>
      <c r="G87" s="278">
        <v>0</v>
      </c>
      <c r="H87" s="281">
        <v>0</v>
      </c>
      <c r="I87" s="280" t="e">
        <v>#N/A</v>
      </c>
      <c r="J87" s="282">
        <v>0</v>
      </c>
      <c r="K87" s="2">
        <v>0</v>
      </c>
      <c r="L87" s="7" t="e">
        <v>#N/A</v>
      </c>
      <c r="M87" s="282"/>
      <c r="N87" s="7">
        <v>0</v>
      </c>
      <c r="O87" s="7"/>
      <c r="P87" s="283">
        <v>0</v>
      </c>
      <c r="Q87" s="283" t="s">
        <v>308</v>
      </c>
      <c r="R87" s="283"/>
      <c r="S87" s="283"/>
      <c r="T87" s="2">
        <v>0</v>
      </c>
      <c r="U87" s="4" t="s">
        <v>309</v>
      </c>
    </row>
    <row r="88" spans="1:21" ht="16">
      <c r="B88" t="s">
        <v>51</v>
      </c>
      <c r="C88" s="288" t="s">
        <v>290</v>
      </c>
      <c r="D88" s="278">
        <v>8.3617598359064999E-4</v>
      </c>
      <c r="E88" s="279">
        <v>28000</v>
      </c>
      <c r="F88" s="280">
        <v>266.66666666666669</v>
      </c>
      <c r="G88" s="278">
        <v>0</v>
      </c>
      <c r="H88" s="281">
        <v>0</v>
      </c>
      <c r="I88" s="280">
        <v>0</v>
      </c>
      <c r="J88" s="282">
        <v>0</v>
      </c>
      <c r="K88" s="2">
        <v>0</v>
      </c>
      <c r="L88" s="7">
        <v>0</v>
      </c>
      <c r="M88" s="282">
        <v>5.6999999999999998E-4</v>
      </c>
      <c r="N88" s="7">
        <v>24417.544289999998</v>
      </c>
      <c r="O88" s="7"/>
      <c r="P88" s="283">
        <v>8.3617598359064999E-4</v>
      </c>
      <c r="Q88" s="283" t="s">
        <v>308</v>
      </c>
      <c r="R88" s="283"/>
      <c r="S88" s="283"/>
      <c r="T88" s="2">
        <v>28000</v>
      </c>
      <c r="U88" s="4">
        <v>1</v>
      </c>
    </row>
    <row r="89" spans="1:21" ht="16">
      <c r="B89" s="298" t="s">
        <v>52</v>
      </c>
      <c r="C89" s="298" t="s">
        <v>290</v>
      </c>
      <c r="D89" s="278">
        <v>8.5223483294579235E-3</v>
      </c>
      <c r="E89" s="279">
        <v>285377.43</v>
      </c>
      <c r="F89" s="280">
        <v>2717.8802857142855</v>
      </c>
      <c r="G89" s="278">
        <v>8.0191680101246606E-4</v>
      </c>
      <c r="H89" s="281">
        <v>24750</v>
      </c>
      <c r="I89" s="280">
        <v>269.02173913043481</v>
      </c>
      <c r="J89" s="282">
        <v>9.2681906871229622E-4</v>
      </c>
      <c r="K89" s="2">
        <v>33750</v>
      </c>
      <c r="L89" s="7">
        <v>327.66990291262135</v>
      </c>
      <c r="M89" s="282">
        <v>3.0300000000000001E-3</v>
      </c>
      <c r="N89" s="7">
        <v>129798.52491000001</v>
      </c>
      <c r="O89" s="7"/>
      <c r="P89" s="283">
        <v>7.7204315284454574E-3</v>
      </c>
      <c r="Q89" s="283" t="s">
        <v>310</v>
      </c>
      <c r="R89" s="283"/>
      <c r="S89" s="283"/>
      <c r="T89" s="2">
        <v>260627.43</v>
      </c>
      <c r="U89" s="4">
        <v>0.91327274900471278</v>
      </c>
    </row>
    <row r="90" spans="1:21" ht="16">
      <c r="A90" s="197"/>
      <c r="B90" s="287" t="s">
        <v>54</v>
      </c>
      <c r="C90" s="288" t="s">
        <v>290</v>
      </c>
      <c r="D90" s="278">
        <v>7.7811550690147354E-3</v>
      </c>
      <c r="E90" s="279">
        <v>260558</v>
      </c>
      <c r="F90" s="280">
        <v>2481.5047619047618</v>
      </c>
      <c r="G90" s="278">
        <v>0</v>
      </c>
      <c r="H90" s="281">
        <v>0</v>
      </c>
      <c r="I90" s="280">
        <v>0</v>
      </c>
      <c r="J90" s="282">
        <v>0</v>
      </c>
      <c r="K90" s="2">
        <v>0</v>
      </c>
      <c r="L90" s="7">
        <v>0</v>
      </c>
      <c r="M90" s="282"/>
      <c r="N90" s="7">
        <v>0</v>
      </c>
      <c r="O90" s="7"/>
      <c r="P90" s="283">
        <v>7.7811550690147354E-3</v>
      </c>
      <c r="Q90" s="283" t="s">
        <v>308</v>
      </c>
      <c r="R90" s="283"/>
      <c r="S90" s="283"/>
      <c r="T90" s="2">
        <v>260558</v>
      </c>
      <c r="U90" s="4">
        <v>1</v>
      </c>
    </row>
    <row r="91" spans="1:21" ht="16">
      <c r="B91" s="287" t="s">
        <v>105</v>
      </c>
      <c r="C91" s="288" t="s">
        <v>290</v>
      </c>
      <c r="D91" s="278">
        <v>6.8088615806667218E-4</v>
      </c>
      <c r="E91" s="279">
        <v>22800</v>
      </c>
      <c r="F91" s="280">
        <v>217.14285714285714</v>
      </c>
      <c r="G91" s="278">
        <v>8.0191680101246606E-4</v>
      </c>
      <c r="H91" s="281">
        <v>24750</v>
      </c>
      <c r="I91" s="280">
        <v>269.02173913043481</v>
      </c>
      <c r="J91" s="282">
        <v>9.2681906871229622E-4</v>
      </c>
      <c r="K91" s="2">
        <v>33750</v>
      </c>
      <c r="L91" s="7">
        <v>327.66990291262135</v>
      </c>
      <c r="M91" s="282"/>
      <c r="N91" s="7">
        <v>0</v>
      </c>
      <c r="O91" s="7"/>
      <c r="P91" s="283">
        <v>2.4593291064562404E-4</v>
      </c>
      <c r="Q91" s="283" t="s">
        <v>310</v>
      </c>
      <c r="R91" s="283"/>
      <c r="S91" s="283"/>
      <c r="T91" s="2">
        <v>10950</v>
      </c>
      <c r="U91" s="4">
        <v>0.32444444444444442</v>
      </c>
    </row>
    <row r="92" spans="1:21" ht="16">
      <c r="B92" s="300" t="s">
        <v>53</v>
      </c>
      <c r="C92" s="300"/>
      <c r="D92" s="278">
        <v>0</v>
      </c>
      <c r="E92" s="279">
        <v>0</v>
      </c>
      <c r="F92" s="280" t="e">
        <v>#N/A</v>
      </c>
      <c r="G92" s="278">
        <v>0</v>
      </c>
      <c r="H92" s="281">
        <v>0</v>
      </c>
      <c r="I92" s="280" t="e">
        <v>#N/A</v>
      </c>
      <c r="J92" s="282">
        <v>0</v>
      </c>
      <c r="K92" s="2">
        <v>0</v>
      </c>
      <c r="L92" s="7" t="e">
        <v>#N/A</v>
      </c>
      <c r="M92" s="282"/>
      <c r="N92" s="7">
        <v>0</v>
      </c>
      <c r="O92" s="7"/>
      <c r="P92" s="283">
        <v>0</v>
      </c>
      <c r="Q92" s="283" t="s">
        <v>308</v>
      </c>
      <c r="R92" s="283"/>
      <c r="S92" s="283"/>
      <c r="T92" s="2">
        <v>0</v>
      </c>
      <c r="U92" s="4" t="s">
        <v>309</v>
      </c>
    </row>
    <row r="93" spans="1:21" ht="16">
      <c r="B93" s="298" t="s">
        <v>95</v>
      </c>
      <c r="C93" s="298"/>
      <c r="D93" s="278"/>
      <c r="E93" s="279">
        <v>0</v>
      </c>
      <c r="F93" s="280" t="e">
        <v>#N/A</v>
      </c>
      <c r="G93" s="278">
        <v>0</v>
      </c>
      <c r="H93" s="281">
        <v>0</v>
      </c>
      <c r="I93" s="280" t="e">
        <v>#N/A</v>
      </c>
      <c r="J93" s="282">
        <v>0</v>
      </c>
      <c r="K93" s="2">
        <v>0</v>
      </c>
      <c r="L93" s="7" t="e">
        <v>#N/A</v>
      </c>
      <c r="M93" s="282"/>
      <c r="N93" s="7">
        <v>0</v>
      </c>
      <c r="O93" s="7"/>
      <c r="P93" s="283">
        <v>0</v>
      </c>
      <c r="Q93" s="283" t="s">
        <v>308</v>
      </c>
      <c r="R93" s="283"/>
      <c r="S93" s="283"/>
      <c r="T93" s="2">
        <v>0</v>
      </c>
      <c r="U93" s="4" t="s">
        <v>309</v>
      </c>
    </row>
    <row r="94" spans="1:21" ht="16">
      <c r="B94" s="287" t="s">
        <v>56</v>
      </c>
      <c r="C94" s="288" t="s">
        <v>264</v>
      </c>
      <c r="D94" s="278">
        <v>2.9371278692181288E-3</v>
      </c>
      <c r="E94" s="279">
        <v>98352</v>
      </c>
      <c r="F94" s="280">
        <v>1.5703154936773533</v>
      </c>
      <c r="G94" s="278">
        <v>5.5729167585512798E-3</v>
      </c>
      <c r="H94" s="281">
        <v>172000</v>
      </c>
      <c r="I94" s="280">
        <v>3.2493293535345904</v>
      </c>
      <c r="J94" s="282">
        <v>3.7347375805888085E-3</v>
      </c>
      <c r="K94" s="2">
        <v>136000</v>
      </c>
      <c r="L94" s="7">
        <v>2.2239665096807952</v>
      </c>
      <c r="M94" s="282">
        <v>4.3200000000000001E-3</v>
      </c>
      <c r="N94" s="7">
        <v>185059.28304000001</v>
      </c>
      <c r="O94" s="7"/>
      <c r="P94" s="283">
        <v>2.635788889333151E-3</v>
      </c>
      <c r="Q94" s="283" t="s">
        <v>310</v>
      </c>
      <c r="R94" s="283"/>
      <c r="S94" s="283"/>
      <c r="T94" s="2">
        <v>73648</v>
      </c>
      <c r="U94" s="4">
        <v>0.42818604651162789</v>
      </c>
    </row>
    <row r="95" spans="1:21" ht="16">
      <c r="B95" s="287" t="s">
        <v>57</v>
      </c>
      <c r="C95" s="288" t="s">
        <v>264</v>
      </c>
      <c r="D95" s="278">
        <v>4.4795141978070535E-4</v>
      </c>
      <c r="E95" s="279">
        <v>15000</v>
      </c>
      <c r="F95" s="280">
        <v>0.23949418827436456</v>
      </c>
      <c r="G95" s="278">
        <v>6.4801357657573021E-4</v>
      </c>
      <c r="H95" s="281">
        <v>20000</v>
      </c>
      <c r="I95" s="280">
        <v>0.37782899459704539</v>
      </c>
      <c r="J95" s="282">
        <v>5.4922611479247185E-4</v>
      </c>
      <c r="K95" s="2">
        <v>20000</v>
      </c>
      <c r="L95" s="7">
        <v>0.32705389848246991</v>
      </c>
      <c r="M95" s="282">
        <v>8.8999999999999995E-4</v>
      </c>
      <c r="N95" s="7">
        <v>38125.639329999998</v>
      </c>
      <c r="O95" s="7"/>
      <c r="P95" s="283">
        <v>2.0006215679502486E-4</v>
      </c>
      <c r="Q95" s="283" t="s">
        <v>310</v>
      </c>
      <c r="R95" s="283"/>
      <c r="S95" s="283"/>
      <c r="T95" s="2">
        <v>5000</v>
      </c>
      <c r="U95" s="4">
        <v>0.25</v>
      </c>
    </row>
    <row r="96" spans="1:21" ht="16">
      <c r="B96" s="287" t="s">
        <v>27</v>
      </c>
      <c r="C96" s="288" t="s">
        <v>264</v>
      </c>
      <c r="D96" s="278">
        <v>0</v>
      </c>
      <c r="E96" s="279">
        <v>0</v>
      </c>
      <c r="F96" s="280">
        <v>0</v>
      </c>
      <c r="G96" s="278">
        <v>1.1340237590075278E-4</v>
      </c>
      <c r="H96" s="281">
        <v>3500</v>
      </c>
      <c r="I96" s="280">
        <v>6.6120074054482947E-2</v>
      </c>
      <c r="J96" s="282">
        <v>0</v>
      </c>
      <c r="K96" s="2">
        <v>0</v>
      </c>
      <c r="L96" s="7">
        <v>0</v>
      </c>
      <c r="M96" s="282"/>
      <c r="N96" s="7">
        <v>0</v>
      </c>
      <c r="O96" s="7"/>
      <c r="P96" s="283">
        <v>1.1340237590075278E-4</v>
      </c>
      <c r="Q96" s="283" t="s">
        <v>308</v>
      </c>
      <c r="R96" s="283"/>
      <c r="S96" s="283"/>
      <c r="T96" s="2">
        <v>3500</v>
      </c>
      <c r="U96" s="4">
        <v>1</v>
      </c>
    </row>
    <row r="97" spans="2:21" ht="16">
      <c r="B97" s="287" t="s">
        <v>55</v>
      </c>
      <c r="C97" s="288" t="s">
        <v>264</v>
      </c>
      <c r="D97" s="278">
        <v>1.7918056791228214E-3</v>
      </c>
      <c r="E97" s="279">
        <v>60000</v>
      </c>
      <c r="F97" s="280">
        <v>0.95797675309745822</v>
      </c>
      <c r="G97" s="278">
        <v>8.1001697071966274E-4</v>
      </c>
      <c r="H97" s="281">
        <v>25000</v>
      </c>
      <c r="I97" s="280">
        <v>0.47228624324630675</v>
      </c>
      <c r="J97" s="282">
        <v>1.0984522295849437E-3</v>
      </c>
      <c r="K97" s="2">
        <v>40000</v>
      </c>
      <c r="L97" s="7">
        <v>0.65410779696493981</v>
      </c>
      <c r="M97" s="282"/>
      <c r="N97" s="7">
        <v>0</v>
      </c>
      <c r="O97" s="7"/>
      <c r="P97" s="283">
        <v>9.8178870840315855E-4</v>
      </c>
      <c r="Q97" s="283" t="s">
        <v>310</v>
      </c>
      <c r="R97" s="283"/>
      <c r="S97" s="283"/>
      <c r="T97" s="2">
        <v>35000</v>
      </c>
      <c r="U97" s="4">
        <v>0.58333333333333337</v>
      </c>
    </row>
    <row r="98" spans="2:21" ht="16">
      <c r="B98" s="287" t="s">
        <v>102</v>
      </c>
      <c r="C98" s="288" t="s">
        <v>264</v>
      </c>
      <c r="D98" s="278">
        <v>3.4130911844491212E-4</v>
      </c>
      <c r="E98" s="279">
        <v>11429</v>
      </c>
      <c r="F98" s="280">
        <v>0.18247860518584749</v>
      </c>
      <c r="G98" s="278">
        <v>1.2960271531514604E-3</v>
      </c>
      <c r="H98" s="281">
        <v>40000</v>
      </c>
      <c r="I98" s="280">
        <v>0.75565798919409077</v>
      </c>
      <c r="J98" s="282">
        <v>4.1191958609435389E-4</v>
      </c>
      <c r="K98" s="2">
        <v>15000</v>
      </c>
      <c r="L98" s="7">
        <v>0.24529042386185243</v>
      </c>
      <c r="M98" s="282">
        <v>9.3000000000000005E-4</v>
      </c>
      <c r="N98" s="7">
        <v>39839.151210000004</v>
      </c>
      <c r="O98" s="7"/>
      <c r="P98" s="283">
        <v>9.5471803470654831E-4</v>
      </c>
      <c r="Q98" s="283" t="s">
        <v>310</v>
      </c>
      <c r="R98" s="283"/>
      <c r="S98" s="283"/>
      <c r="T98" s="2">
        <v>28571</v>
      </c>
      <c r="U98" s="4">
        <v>0.71427499999999999</v>
      </c>
    </row>
    <row r="99" spans="2:21" ht="16">
      <c r="B99" s="298" t="s">
        <v>58</v>
      </c>
      <c r="C99" s="298"/>
      <c r="D99" s="278">
        <v>0</v>
      </c>
      <c r="E99" s="279">
        <v>0</v>
      </c>
      <c r="F99" s="280" t="e">
        <v>#N/A</v>
      </c>
      <c r="G99" s="278">
        <v>0</v>
      </c>
      <c r="H99" s="281">
        <v>0</v>
      </c>
      <c r="I99" s="280" t="e">
        <v>#N/A</v>
      </c>
      <c r="J99" s="282">
        <v>0</v>
      </c>
      <c r="K99" s="2">
        <v>0</v>
      </c>
      <c r="L99" s="7" t="e">
        <v>#N/A</v>
      </c>
      <c r="M99" s="282"/>
      <c r="N99" s="7">
        <v>0</v>
      </c>
      <c r="O99" s="7"/>
      <c r="P99" s="283">
        <v>0</v>
      </c>
      <c r="Q99" s="283" t="s">
        <v>308</v>
      </c>
      <c r="R99" s="283"/>
      <c r="S99" s="283"/>
      <c r="T99" s="2">
        <v>0</v>
      </c>
      <c r="U99" s="4" t="s">
        <v>309</v>
      </c>
    </row>
    <row r="100" spans="2:21" ht="16">
      <c r="B100" s="287" t="s">
        <v>59</v>
      </c>
      <c r="C100" s="288" t="s">
        <v>290</v>
      </c>
      <c r="D100" s="278">
        <v>5.2484192359319847E-3</v>
      </c>
      <c r="E100" s="279">
        <v>175747.380324233</v>
      </c>
      <c r="F100" s="280">
        <v>1673.7845745165048</v>
      </c>
      <c r="G100" s="278">
        <v>1.1340237590075278E-2</v>
      </c>
      <c r="H100" s="281">
        <v>350000</v>
      </c>
      <c r="I100" s="280">
        <v>3804.3478260869565</v>
      </c>
      <c r="J100" s="282">
        <v>6.7959527304980762E-3</v>
      </c>
      <c r="K100" s="2">
        <v>247473.76526573085</v>
      </c>
      <c r="L100" s="7">
        <v>2402.6579152012705</v>
      </c>
      <c r="M100" s="282">
        <v>1.1560000000000001E-2</v>
      </c>
      <c r="N100" s="7">
        <v>495204.93332000001</v>
      </c>
      <c r="O100" s="7"/>
      <c r="P100" s="283">
        <v>6.0918183541432934E-3</v>
      </c>
      <c r="Q100" s="283" t="s">
        <v>310</v>
      </c>
      <c r="R100" s="283"/>
      <c r="S100" s="283"/>
      <c r="T100" s="2">
        <v>174252.619675767</v>
      </c>
      <c r="U100" s="4">
        <v>0.49786462764504857</v>
      </c>
    </row>
    <row r="101" spans="2:21" ht="16">
      <c r="B101" s="287" t="s">
        <v>60</v>
      </c>
      <c r="C101" s="288" t="s">
        <v>290</v>
      </c>
      <c r="D101" s="278">
        <v>1.6791595326848516E-2</v>
      </c>
      <c r="E101" s="279">
        <v>562279.56599854655</v>
      </c>
      <c r="F101" s="280">
        <v>5355.0434857004429</v>
      </c>
      <c r="G101" s="278">
        <v>1.0530220619355615E-2</v>
      </c>
      <c r="H101" s="281">
        <v>325000</v>
      </c>
      <c r="I101" s="280">
        <v>3532.608695652174</v>
      </c>
      <c r="J101" s="282">
        <v>7.8031297310032759E-3</v>
      </c>
      <c r="K101" s="2">
        <v>284149.98926086142</v>
      </c>
      <c r="L101" s="7">
        <v>2758.7377598141884</v>
      </c>
      <c r="M101" s="282">
        <v>1.413E-2</v>
      </c>
      <c r="N101" s="7">
        <v>605298.07160999998</v>
      </c>
      <c r="O101" s="7"/>
      <c r="P101" s="283">
        <v>8.9884655958452405E-3</v>
      </c>
      <c r="Q101" s="283" t="s">
        <v>310</v>
      </c>
      <c r="R101" s="283"/>
      <c r="S101" s="283"/>
      <c r="T101" s="2">
        <v>278129.57673768513</v>
      </c>
      <c r="U101" s="4">
        <v>0.49464642422805755</v>
      </c>
    </row>
    <row r="102" spans="2:21" ht="16">
      <c r="B102" s="288" t="s">
        <v>100</v>
      </c>
      <c r="C102" s="288" t="s">
        <v>290</v>
      </c>
      <c r="D102" s="278">
        <v>0</v>
      </c>
      <c r="E102" s="279">
        <v>0</v>
      </c>
      <c r="F102" s="280">
        <v>0</v>
      </c>
      <c r="G102" s="278"/>
      <c r="H102" s="281">
        <v>0</v>
      </c>
      <c r="I102" s="280">
        <v>0</v>
      </c>
      <c r="J102" s="282"/>
      <c r="K102" s="2">
        <v>0</v>
      </c>
      <c r="L102" s="7">
        <v>0</v>
      </c>
      <c r="M102" s="282"/>
      <c r="N102" s="7">
        <v>0</v>
      </c>
      <c r="O102" s="7"/>
      <c r="P102" s="283" t="e">
        <v>#NUM!</v>
      </c>
      <c r="Q102" s="283" t="s">
        <v>308</v>
      </c>
      <c r="R102" s="283"/>
      <c r="S102" s="283"/>
      <c r="T102" s="2">
        <v>0</v>
      </c>
      <c r="U102" s="4" t="s">
        <v>309</v>
      </c>
    </row>
    <row r="103" spans="2:21" ht="16">
      <c r="B103" s="300" t="s">
        <v>61</v>
      </c>
      <c r="C103" s="300"/>
      <c r="D103" s="278">
        <v>0</v>
      </c>
      <c r="E103" s="279">
        <v>0</v>
      </c>
      <c r="F103" s="280" t="e">
        <v>#N/A</v>
      </c>
      <c r="G103" s="278">
        <v>0</v>
      </c>
      <c r="H103" s="281">
        <v>0</v>
      </c>
      <c r="I103" s="280" t="e">
        <v>#N/A</v>
      </c>
      <c r="J103" s="282">
        <v>0</v>
      </c>
      <c r="K103" s="2">
        <v>0</v>
      </c>
      <c r="L103" s="7" t="e">
        <v>#N/A</v>
      </c>
      <c r="M103" s="282"/>
      <c r="N103" s="7">
        <v>0</v>
      </c>
      <c r="O103" s="7"/>
      <c r="P103" s="283">
        <v>0</v>
      </c>
      <c r="Q103" s="283" t="s">
        <v>308</v>
      </c>
      <c r="R103" s="283"/>
      <c r="S103" s="283"/>
      <c r="T103" s="2">
        <v>0</v>
      </c>
      <c r="U103" s="4" t="s">
        <v>309</v>
      </c>
    </row>
    <row r="104" spans="2:21" ht="16">
      <c r="B104" t="s">
        <v>62</v>
      </c>
      <c r="C104" s="288" t="s">
        <v>290</v>
      </c>
      <c r="D104" s="278">
        <v>0</v>
      </c>
      <c r="E104" s="279">
        <v>0</v>
      </c>
      <c r="F104" s="280">
        <v>0</v>
      </c>
      <c r="G104" s="278">
        <v>0</v>
      </c>
      <c r="H104" s="281">
        <v>0</v>
      </c>
      <c r="I104" s="280">
        <v>0</v>
      </c>
      <c r="J104" s="282">
        <v>0</v>
      </c>
      <c r="K104" s="2">
        <v>0</v>
      </c>
      <c r="L104" s="7">
        <v>0</v>
      </c>
      <c r="M104" s="282"/>
      <c r="N104" s="7">
        <v>0</v>
      </c>
      <c r="O104" s="7"/>
      <c r="P104" s="283">
        <v>0</v>
      </c>
      <c r="Q104" s="283" t="s">
        <v>308</v>
      </c>
      <c r="R104" s="283"/>
      <c r="S104" s="283"/>
      <c r="T104" s="2">
        <v>0</v>
      </c>
      <c r="U104" s="4" t="s">
        <v>309</v>
      </c>
    </row>
    <row r="105" spans="2:21" ht="16">
      <c r="B105" t="s">
        <v>99</v>
      </c>
      <c r="C105" s="288" t="s">
        <v>290</v>
      </c>
      <c r="D105" s="278">
        <v>1.2933253391908526E-3</v>
      </c>
      <c r="E105" s="279">
        <v>43308</v>
      </c>
      <c r="F105" s="280">
        <v>412.45714285714286</v>
      </c>
      <c r="G105" s="278">
        <v>3.2400678828786511E-4</v>
      </c>
      <c r="H105" s="281">
        <v>10000</v>
      </c>
      <c r="I105" s="280">
        <v>108.69565217391305</v>
      </c>
      <c r="J105" s="282">
        <v>9.6114570088682574E-4</v>
      </c>
      <c r="K105" s="2">
        <v>35000</v>
      </c>
      <c r="L105" s="7">
        <v>339.80582524271847</v>
      </c>
      <c r="M105" s="282"/>
      <c r="N105" s="7">
        <v>0</v>
      </c>
      <c r="O105" s="7"/>
      <c r="P105" s="283">
        <v>9.6931855090298755E-4</v>
      </c>
      <c r="Q105" s="283" t="s">
        <v>310</v>
      </c>
      <c r="R105" s="283"/>
      <c r="S105" s="283"/>
      <c r="T105" s="2">
        <v>33308</v>
      </c>
      <c r="U105" s="4">
        <v>0.76909577907084137</v>
      </c>
    </row>
    <row r="106" spans="2:21" ht="16">
      <c r="B106" t="s">
        <v>63</v>
      </c>
      <c r="C106" s="288" t="s">
        <v>290</v>
      </c>
      <c r="D106" s="278">
        <v>0</v>
      </c>
      <c r="E106" s="279">
        <v>0</v>
      </c>
      <c r="F106" s="280">
        <v>0</v>
      </c>
      <c r="G106" s="278">
        <v>3.8880814594543812E-4</v>
      </c>
      <c r="H106" s="281">
        <v>12000</v>
      </c>
      <c r="I106" s="280">
        <v>130.43478260869566</v>
      </c>
      <c r="J106" s="282">
        <v>0</v>
      </c>
      <c r="K106" s="2">
        <v>0</v>
      </c>
      <c r="L106" s="7">
        <v>0</v>
      </c>
      <c r="M106" s="282"/>
      <c r="N106" s="7">
        <v>0</v>
      </c>
      <c r="O106" s="7"/>
      <c r="P106" s="283">
        <v>3.8880814594543812E-4</v>
      </c>
      <c r="Q106" s="283" t="s">
        <v>308</v>
      </c>
      <c r="R106" s="283"/>
      <c r="S106" s="283"/>
      <c r="T106" s="2">
        <v>12000</v>
      </c>
      <c r="U106" s="4">
        <v>1</v>
      </c>
    </row>
    <row r="107" spans="2:21" ht="16">
      <c r="B107" t="s">
        <v>306</v>
      </c>
      <c r="C107" s="288" t="s">
        <v>290</v>
      </c>
      <c r="D107" s="278">
        <v>4.9618085597709465E-3</v>
      </c>
      <c r="E107" s="279">
        <v>166150</v>
      </c>
      <c r="F107" s="280">
        <v>1582.3809523809523</v>
      </c>
      <c r="G107" s="278">
        <v>6.4697907150174528E-3</v>
      </c>
      <c r="H107" s="281">
        <v>199680.715</v>
      </c>
      <c r="I107" s="280">
        <v>2170.442554347826</v>
      </c>
      <c r="J107" s="282">
        <v>3.2986125745460265E-3</v>
      </c>
      <c r="K107" s="2">
        <v>120118.562672222</v>
      </c>
      <c r="L107" s="7">
        <v>1166.1996375943884</v>
      </c>
      <c r="M107" s="282">
        <v>4.96E-3</v>
      </c>
      <c r="N107" s="7">
        <v>212475.47312000001</v>
      </c>
      <c r="O107" s="7"/>
      <c r="P107" s="283">
        <v>3.1711781404714263E-3</v>
      </c>
      <c r="Q107" s="283" t="s">
        <v>310</v>
      </c>
      <c r="R107" s="283"/>
      <c r="S107" s="283"/>
      <c r="T107" s="2">
        <v>79562.152327777992</v>
      </c>
      <c r="U107" s="4">
        <v>0.39844685215484127</v>
      </c>
    </row>
    <row r="108" spans="2:21" ht="16">
      <c r="B108" s="298" t="s">
        <v>96</v>
      </c>
      <c r="C108" s="298" t="s">
        <v>290</v>
      </c>
      <c r="D108" s="278">
        <v>0</v>
      </c>
      <c r="E108" s="279">
        <v>0</v>
      </c>
      <c r="F108" s="280">
        <v>0</v>
      </c>
      <c r="G108" s="278">
        <v>0</v>
      </c>
      <c r="H108" s="281">
        <v>0</v>
      </c>
      <c r="I108" s="280">
        <v>0</v>
      </c>
      <c r="J108" s="282">
        <v>0</v>
      </c>
      <c r="K108" s="2">
        <v>0</v>
      </c>
      <c r="L108" s="7">
        <v>0</v>
      </c>
      <c r="M108" s="282"/>
      <c r="N108" s="7">
        <v>0</v>
      </c>
      <c r="O108" s="7"/>
      <c r="P108" s="283">
        <v>0</v>
      </c>
      <c r="Q108" s="283" t="s">
        <v>308</v>
      </c>
      <c r="R108" s="283"/>
      <c r="S108" s="283"/>
      <c r="T108" s="2">
        <v>0</v>
      </c>
      <c r="U108" s="4" t="s">
        <v>309</v>
      </c>
    </row>
    <row r="109" spans="2:21" ht="16">
      <c r="B109" s="287" t="s">
        <v>65</v>
      </c>
      <c r="C109" s="288" t="s">
        <v>290</v>
      </c>
      <c r="D109" s="278">
        <v>1.1945371194152143E-3</v>
      </c>
      <c r="E109" s="279">
        <v>40000</v>
      </c>
      <c r="F109" s="280">
        <v>380.95238095238096</v>
      </c>
      <c r="G109" s="278">
        <v>1.2960271531514604E-3</v>
      </c>
      <c r="H109" s="281">
        <v>40000</v>
      </c>
      <c r="I109" s="280">
        <v>434.78260869565219</v>
      </c>
      <c r="J109" s="282">
        <v>1.0984522295849437E-3</v>
      </c>
      <c r="K109" s="2">
        <v>40000</v>
      </c>
      <c r="L109" s="7">
        <v>388.34951456310682</v>
      </c>
      <c r="M109" s="282"/>
      <c r="N109" s="7">
        <v>0</v>
      </c>
      <c r="O109" s="7"/>
      <c r="P109" s="283">
        <v>1.9757492356651672E-4</v>
      </c>
      <c r="Q109" s="283" t="s">
        <v>310</v>
      </c>
      <c r="R109" s="283"/>
      <c r="S109" s="283"/>
      <c r="T109" s="2">
        <v>0</v>
      </c>
      <c r="U109" s="4">
        <v>0</v>
      </c>
    </row>
    <row r="110" spans="2:21" ht="16">
      <c r="B110" s="287" t="s">
        <v>104</v>
      </c>
      <c r="C110" s="288" t="s">
        <v>290</v>
      </c>
      <c r="D110" s="278">
        <v>1.1945371194152143E-3</v>
      </c>
      <c r="E110" s="279">
        <v>40000</v>
      </c>
      <c r="F110" s="280">
        <v>380.95238095238096</v>
      </c>
      <c r="G110" s="278">
        <v>8.1001697071966274E-4</v>
      </c>
      <c r="H110" s="281">
        <v>25000</v>
      </c>
      <c r="I110" s="280">
        <v>271.73913043478262</v>
      </c>
      <c r="J110" s="282">
        <v>8.2383917218870777E-4</v>
      </c>
      <c r="K110" s="2">
        <v>30000</v>
      </c>
      <c r="L110" s="7">
        <v>291.26213592233012</v>
      </c>
      <c r="M110" s="282">
        <v>9.3000000000000005E-4</v>
      </c>
      <c r="N110" s="7">
        <v>39839.151210000004</v>
      </c>
      <c r="O110" s="7"/>
      <c r="P110" s="283">
        <v>3.845201486955516E-4</v>
      </c>
      <c r="Q110" s="283" t="s">
        <v>310</v>
      </c>
      <c r="R110" s="283"/>
      <c r="S110" s="283"/>
      <c r="T110" s="2">
        <v>15000</v>
      </c>
      <c r="U110" s="4">
        <v>0.375</v>
      </c>
    </row>
    <row r="111" spans="2:21" ht="16">
      <c r="B111" t="s">
        <v>66</v>
      </c>
      <c r="C111" s="288" t="s">
        <v>290</v>
      </c>
      <c r="D111" s="278">
        <v>1.6424885391959196E-3</v>
      </c>
      <c r="E111" s="279">
        <v>55000</v>
      </c>
      <c r="F111" s="280">
        <v>523.80952380952385</v>
      </c>
      <c r="G111" s="278">
        <v>0</v>
      </c>
      <c r="H111" s="281">
        <v>0</v>
      </c>
      <c r="I111" s="280">
        <v>0</v>
      </c>
      <c r="J111" s="282">
        <v>1.6476783443774155E-3</v>
      </c>
      <c r="K111" s="2">
        <v>60000</v>
      </c>
      <c r="L111" s="7">
        <v>582.52427184466023</v>
      </c>
      <c r="M111" s="282">
        <v>1.4E-3</v>
      </c>
      <c r="N111" s="7">
        <v>59972.915800000002</v>
      </c>
      <c r="O111" s="7"/>
      <c r="P111" s="283">
        <v>5.189805181495975E-6</v>
      </c>
      <c r="Q111" s="283" t="s">
        <v>308</v>
      </c>
      <c r="R111" s="283"/>
      <c r="S111" s="283"/>
      <c r="T111" s="2">
        <v>5000</v>
      </c>
      <c r="U111" s="4">
        <v>8.3333333333333329E-2</v>
      </c>
    </row>
    <row r="112" spans="2:21" ht="16">
      <c r="B112" s="300" t="s">
        <v>67</v>
      </c>
      <c r="C112" s="300"/>
      <c r="D112" s="278">
        <v>0</v>
      </c>
      <c r="E112" s="279">
        <v>0</v>
      </c>
      <c r="F112" s="280"/>
      <c r="G112" s="278">
        <v>0</v>
      </c>
      <c r="H112" s="281">
        <v>0</v>
      </c>
      <c r="I112" s="280" t="e">
        <v>#N/A</v>
      </c>
      <c r="J112" s="282">
        <v>0</v>
      </c>
      <c r="K112" s="2">
        <v>0</v>
      </c>
      <c r="L112" s="7" t="e">
        <v>#N/A</v>
      </c>
      <c r="M112" s="282"/>
      <c r="N112" s="7">
        <v>0</v>
      </c>
      <c r="O112" s="7"/>
      <c r="P112" s="283">
        <v>0</v>
      </c>
      <c r="Q112" s="283" t="s">
        <v>308</v>
      </c>
      <c r="R112" s="283"/>
      <c r="S112" s="283"/>
      <c r="T112" s="2">
        <v>0</v>
      </c>
      <c r="U112" s="4" t="s">
        <v>309</v>
      </c>
    </row>
    <row r="113" spans="2:21" ht="16">
      <c r="B113" t="s">
        <v>68</v>
      </c>
      <c r="C113" s="288" t="s">
        <v>290</v>
      </c>
      <c r="D113" s="278">
        <v>1.7613151191497482E-2</v>
      </c>
      <c r="E113" s="279">
        <v>589790</v>
      </c>
      <c r="F113" s="280">
        <v>5617.0476190476193</v>
      </c>
      <c r="G113" s="278">
        <v>1.6321868204551053E-2</v>
      </c>
      <c r="H113" s="281">
        <v>503750.80999999994</v>
      </c>
      <c r="I113" s="280">
        <v>5475.5522826086954</v>
      </c>
      <c r="J113" s="282">
        <v>2.2733228059057583E-2</v>
      </c>
      <c r="K113" s="2">
        <v>827827.64500000002</v>
      </c>
      <c r="L113" s="7">
        <v>8037.1616019417479</v>
      </c>
      <c r="M113" s="282">
        <v>1.486E-2</v>
      </c>
      <c r="N113" s="7">
        <v>636569.66342</v>
      </c>
      <c r="O113" s="7"/>
      <c r="P113" s="283">
        <v>6.4113598545065299E-3</v>
      </c>
      <c r="Q113" s="283" t="s">
        <v>310</v>
      </c>
      <c r="R113" s="283"/>
      <c r="S113" s="283"/>
      <c r="T113" s="2">
        <v>324076.83500000008</v>
      </c>
      <c r="U113" s="4">
        <v>0.39147863321235193</v>
      </c>
    </row>
    <row r="114" spans="2:21" ht="16">
      <c r="B114" t="s">
        <v>101</v>
      </c>
      <c r="C114" s="288" t="s">
        <v>290</v>
      </c>
      <c r="D114" s="278">
        <v>2.2397570989035266E-3</v>
      </c>
      <c r="E114" s="279">
        <v>75000</v>
      </c>
      <c r="F114" s="280">
        <v>714.28571428571433</v>
      </c>
      <c r="G114" s="278"/>
      <c r="H114" s="281">
        <v>0</v>
      </c>
      <c r="I114" s="280">
        <v>0</v>
      </c>
      <c r="J114" s="282"/>
      <c r="K114" s="2">
        <v>0</v>
      </c>
      <c r="L114" s="7">
        <v>0</v>
      </c>
      <c r="M114" s="282"/>
      <c r="N114" s="7">
        <v>0</v>
      </c>
      <c r="O114" s="7"/>
      <c r="P114" s="283">
        <v>0</v>
      </c>
      <c r="Q114" s="283" t="s">
        <v>310</v>
      </c>
      <c r="R114" s="283"/>
      <c r="S114" s="283"/>
      <c r="T114" s="2">
        <v>75000</v>
      </c>
      <c r="U114" s="4">
        <v>1</v>
      </c>
    </row>
    <row r="115" spans="2:21" ht="16">
      <c r="B115" t="s">
        <v>69</v>
      </c>
      <c r="C115" s="288" t="s">
        <v>290</v>
      </c>
      <c r="D115" s="278">
        <v>1.0974809784627282E-3</v>
      </c>
      <c r="E115" s="279">
        <v>36750</v>
      </c>
      <c r="F115" s="280">
        <v>350</v>
      </c>
      <c r="G115" s="278">
        <v>1.0546420958770007E-3</v>
      </c>
      <c r="H115" s="281">
        <v>32549.999999999996</v>
      </c>
      <c r="I115" s="280">
        <v>353.80434782608694</v>
      </c>
      <c r="J115" s="282">
        <v>9.899800719134304E-4</v>
      </c>
      <c r="K115" s="2">
        <v>36050</v>
      </c>
      <c r="L115" s="7">
        <v>350</v>
      </c>
      <c r="M115" s="282">
        <v>1.2700000000000001E-3</v>
      </c>
      <c r="N115" s="7">
        <v>54404.002190000007</v>
      </c>
      <c r="O115" s="7"/>
      <c r="P115" s="283">
        <v>1.0750090654929783E-4</v>
      </c>
      <c r="Q115" s="283" t="s">
        <v>310</v>
      </c>
      <c r="R115" s="283"/>
      <c r="S115" s="283"/>
      <c r="T115" s="2">
        <v>4200.0000000000036</v>
      </c>
      <c r="U115" s="4">
        <v>0.11428571428571438</v>
      </c>
    </row>
    <row r="116" spans="2:21" ht="16">
      <c r="B116" s="300" t="s">
        <v>70</v>
      </c>
      <c r="C116" s="300"/>
      <c r="D116" s="278">
        <v>0</v>
      </c>
      <c r="E116" s="279">
        <v>0</v>
      </c>
      <c r="F116" s="280"/>
      <c r="G116" s="278">
        <v>0</v>
      </c>
      <c r="H116" s="281">
        <v>0</v>
      </c>
      <c r="I116" s="280" t="e">
        <v>#N/A</v>
      </c>
      <c r="J116" s="282">
        <v>0</v>
      </c>
      <c r="K116" s="2">
        <v>0</v>
      </c>
      <c r="L116" s="7" t="e">
        <v>#N/A</v>
      </c>
      <c r="M116" s="282"/>
      <c r="N116" s="7">
        <v>0</v>
      </c>
      <c r="O116" s="7"/>
      <c r="P116" s="283">
        <v>0</v>
      </c>
      <c r="Q116" s="283" t="s">
        <v>308</v>
      </c>
      <c r="R116" s="283"/>
      <c r="S116" s="283"/>
      <c r="T116" s="2">
        <v>0</v>
      </c>
      <c r="U116" s="4" t="s">
        <v>309</v>
      </c>
    </row>
    <row r="117" spans="2:21" ht="16">
      <c r="B117" t="s">
        <v>71</v>
      </c>
      <c r="C117" s="288" t="s">
        <v>270</v>
      </c>
      <c r="D117" s="278">
        <v>4.8175025030599915E-4</v>
      </c>
      <c r="E117" s="279">
        <v>16131.78</v>
      </c>
      <c r="F117" s="280">
        <v>1.4717434540644103</v>
      </c>
      <c r="G117" s="278">
        <v>0</v>
      </c>
      <c r="H117" s="281">
        <v>0</v>
      </c>
      <c r="I117" s="280">
        <v>0</v>
      </c>
      <c r="J117" s="282">
        <v>1.8673687902944042E-4</v>
      </c>
      <c r="K117" s="2">
        <v>6800</v>
      </c>
      <c r="L117" s="7">
        <v>0.63541900276594154</v>
      </c>
      <c r="M117" s="282">
        <v>5.0000000000000002E-5</v>
      </c>
      <c r="N117" s="7">
        <v>2141.88985</v>
      </c>
      <c r="O117" s="7"/>
      <c r="P117" s="283">
        <v>2.9501337127655876E-4</v>
      </c>
      <c r="Q117" s="283" t="s">
        <v>308</v>
      </c>
      <c r="R117" s="283"/>
      <c r="S117" s="283"/>
      <c r="T117" s="2">
        <v>9331.7800000000007</v>
      </c>
      <c r="U117" s="4">
        <v>0.57847181154218574</v>
      </c>
    </row>
    <row r="118" spans="2:21" ht="16">
      <c r="B118" s="298" t="s">
        <v>85</v>
      </c>
      <c r="C118" s="298" t="s">
        <v>264</v>
      </c>
      <c r="D118" s="278">
        <v>4.2777141736358047E-3</v>
      </c>
      <c r="E118" s="279">
        <v>143242.57</v>
      </c>
      <c r="F118" s="280">
        <v>2.2870508685655895</v>
      </c>
      <c r="G118" s="278">
        <v>6.4272578579087219E-3</v>
      </c>
      <c r="H118" s="281">
        <v>198368</v>
      </c>
      <c r="I118" s="280">
        <v>3.7474591000113349</v>
      </c>
      <c r="J118" s="282">
        <v>0</v>
      </c>
      <c r="K118" s="2">
        <v>0</v>
      </c>
      <c r="L118" s="7">
        <v>0</v>
      </c>
      <c r="M118" s="282">
        <v>2.8E-3</v>
      </c>
      <c r="N118" s="7">
        <v>119945.8316</v>
      </c>
      <c r="O118" s="7"/>
      <c r="P118" s="283">
        <v>2.1495436842729173E-3</v>
      </c>
      <c r="Q118" s="283" t="s">
        <v>308</v>
      </c>
      <c r="R118" s="283"/>
      <c r="S118" s="283"/>
      <c r="T118" s="2">
        <v>55125.429999999993</v>
      </c>
      <c r="U118" s="4">
        <v>0.27789477133408613</v>
      </c>
    </row>
    <row r="119" spans="2:21" ht="16">
      <c r="B119" s="287" t="s">
        <v>72</v>
      </c>
      <c r="C119" s="288" t="s">
        <v>264</v>
      </c>
      <c r="D119" s="278">
        <v>3.0950158129768347E-3</v>
      </c>
      <c r="E119" s="279">
        <v>103639</v>
      </c>
      <c r="F119" s="280">
        <v>1.6547292119044579</v>
      </c>
      <c r="G119" s="278">
        <v>4.3212137340375989E-3</v>
      </c>
      <c r="H119" s="281">
        <v>133368</v>
      </c>
      <c r="I119" s="280">
        <v>2.5195148675709373</v>
      </c>
      <c r="J119" s="282">
        <v>2.7461305739623592E-3</v>
      </c>
      <c r="K119" s="2">
        <v>100000</v>
      </c>
      <c r="L119" s="7">
        <v>1.6352694924123496</v>
      </c>
      <c r="M119" s="282"/>
      <c r="N119" s="7">
        <v>0</v>
      </c>
      <c r="O119" s="7"/>
      <c r="P119" s="283">
        <v>1.5750831600752396E-3</v>
      </c>
      <c r="Q119" s="283" t="s">
        <v>310</v>
      </c>
      <c r="R119" s="283"/>
      <c r="S119" s="283"/>
      <c r="T119" s="2">
        <v>33368</v>
      </c>
      <c r="U119" s="4">
        <v>0.25019494931317859</v>
      </c>
    </row>
    <row r="120" spans="2:21" ht="16">
      <c r="B120" s="287" t="s">
        <v>307</v>
      </c>
      <c r="C120" s="288" t="s">
        <v>290</v>
      </c>
      <c r="D120" s="278">
        <v>1.18269836065897E-3</v>
      </c>
      <c r="E120" s="279">
        <v>39603.57</v>
      </c>
      <c r="F120" s="280">
        <v>377.17685714285716</v>
      </c>
      <c r="G120" s="278">
        <v>0</v>
      </c>
      <c r="H120" s="281">
        <v>0</v>
      </c>
      <c r="I120" s="280">
        <v>0</v>
      </c>
      <c r="J120" s="282">
        <v>1.7849848730755334E-3</v>
      </c>
      <c r="K120" s="2">
        <v>65000</v>
      </c>
      <c r="L120" s="7">
        <v>631.06796116504859</v>
      </c>
      <c r="M120" s="282"/>
      <c r="N120" s="7">
        <v>0</v>
      </c>
      <c r="O120" s="7"/>
      <c r="P120" s="283">
        <v>6.0228651241656344E-4</v>
      </c>
      <c r="Q120" s="283" t="s">
        <v>308</v>
      </c>
      <c r="R120" s="283"/>
      <c r="S120" s="283"/>
      <c r="T120" s="2">
        <v>25396.43</v>
      </c>
      <c r="U120" s="4">
        <v>0.39071430769230769</v>
      </c>
    </row>
    <row r="121" spans="2:21" ht="16">
      <c r="B121" s="287" t="s">
        <v>86</v>
      </c>
      <c r="C121" s="288" t="s">
        <v>290</v>
      </c>
      <c r="D121" s="278">
        <v>0</v>
      </c>
      <c r="E121" s="279">
        <v>0</v>
      </c>
      <c r="F121" s="280">
        <v>0</v>
      </c>
      <c r="G121" s="278">
        <v>0</v>
      </c>
      <c r="H121" s="281">
        <v>0</v>
      </c>
      <c r="I121" s="280">
        <v>0</v>
      </c>
      <c r="J121" s="282">
        <v>0</v>
      </c>
      <c r="K121" s="2">
        <v>0</v>
      </c>
      <c r="L121" s="7">
        <v>0</v>
      </c>
      <c r="M121" s="282"/>
      <c r="N121" s="7">
        <v>0</v>
      </c>
      <c r="O121" s="7"/>
      <c r="P121" s="283">
        <v>0</v>
      </c>
      <c r="Q121" s="283" t="s">
        <v>308</v>
      </c>
      <c r="R121" s="283"/>
      <c r="S121" s="283"/>
      <c r="T121" s="2">
        <v>0</v>
      </c>
      <c r="U121" s="4" t="s">
        <v>309</v>
      </c>
    </row>
    <row r="122" spans="2:21" ht="16">
      <c r="B122" t="s">
        <v>73</v>
      </c>
      <c r="C122" s="288" t="s">
        <v>290</v>
      </c>
      <c r="D122" s="278">
        <v>1.493171399269018E-3</v>
      </c>
      <c r="E122" s="279">
        <v>50000</v>
      </c>
      <c r="F122" s="280">
        <v>476.1904761904762</v>
      </c>
      <c r="G122" s="278">
        <v>0</v>
      </c>
      <c r="H122" s="281">
        <v>0</v>
      </c>
      <c r="I122" s="280">
        <v>0</v>
      </c>
      <c r="J122" s="282">
        <v>0</v>
      </c>
      <c r="K122" s="2">
        <v>0</v>
      </c>
      <c r="L122" s="7">
        <v>0</v>
      </c>
      <c r="M122" s="282"/>
      <c r="N122" s="7">
        <v>0</v>
      </c>
      <c r="O122" s="7"/>
      <c r="P122" s="283">
        <v>1.493171399269018E-3</v>
      </c>
      <c r="Q122" s="283" t="s">
        <v>308</v>
      </c>
      <c r="R122" s="283"/>
      <c r="S122" s="283"/>
      <c r="T122" s="2">
        <v>50000</v>
      </c>
      <c r="U122" s="4">
        <v>1</v>
      </c>
    </row>
    <row r="123" spans="2:21" ht="16">
      <c r="B123" s="298" t="s">
        <v>74</v>
      </c>
      <c r="C123" s="298" t="s">
        <v>264</v>
      </c>
      <c r="D123" s="278">
        <v>2.1181621791754535E-2</v>
      </c>
      <c r="E123" s="279">
        <v>709283</v>
      </c>
      <c r="F123" s="280">
        <v>11.324610422787075</v>
      </c>
      <c r="G123" s="278">
        <v>2.5317598830704318E-2</v>
      </c>
      <c r="H123" s="281">
        <v>781391</v>
      </c>
      <c r="I123" s="280">
        <v>14.761608795858994</v>
      </c>
      <c r="J123" s="282">
        <v>0</v>
      </c>
      <c r="K123" s="2">
        <v>0</v>
      </c>
      <c r="L123" s="7">
        <v>0</v>
      </c>
      <c r="M123" s="282">
        <v>2.0420000000000001E-2</v>
      </c>
      <c r="N123" s="7">
        <v>874747.81474000006</v>
      </c>
      <c r="O123" s="7"/>
      <c r="P123" s="283">
        <v>4.1359770389497834E-3</v>
      </c>
      <c r="Q123" s="283" t="s">
        <v>308</v>
      </c>
      <c r="R123" s="283"/>
      <c r="S123" s="283"/>
      <c r="T123" s="2">
        <v>72108</v>
      </c>
      <c r="U123" s="4">
        <v>9.2281585019535678E-2</v>
      </c>
    </row>
    <row r="124" spans="2:21" ht="16">
      <c r="B124" s="287" t="s">
        <v>75</v>
      </c>
      <c r="C124" s="288" t="s">
        <v>264</v>
      </c>
      <c r="D124" s="278">
        <v>2.561445945162044E-3</v>
      </c>
      <c r="E124" s="279">
        <v>85772</v>
      </c>
      <c r="F124" s="280">
        <v>1.369459701111253</v>
      </c>
      <c r="G124" s="278">
        <v>3.186315156701694E-3</v>
      </c>
      <c r="H124" s="281">
        <v>98341</v>
      </c>
      <c r="I124" s="280">
        <v>1.8578040578834021</v>
      </c>
      <c r="J124" s="282">
        <v>2.7005722677403239E-3</v>
      </c>
      <c r="K124" s="2">
        <v>98341.000000000015</v>
      </c>
      <c r="L124" s="7">
        <v>1.608140371533229</v>
      </c>
      <c r="M124" s="282"/>
      <c r="N124" s="7">
        <v>0</v>
      </c>
      <c r="O124" s="7"/>
      <c r="P124" s="283">
        <v>6.2486921153965007E-4</v>
      </c>
      <c r="Q124" s="283" t="s">
        <v>310</v>
      </c>
      <c r="R124" s="283"/>
      <c r="S124" s="283"/>
      <c r="T124" s="2">
        <v>12569.000000000015</v>
      </c>
      <c r="U124" s="4">
        <v>0.12781037410642573</v>
      </c>
    </row>
    <row r="125" spans="2:21" ht="16">
      <c r="B125" s="287" t="s">
        <v>76</v>
      </c>
      <c r="C125" s="288" t="s">
        <v>290</v>
      </c>
      <c r="D125" s="278">
        <v>3.9047925262284087E-3</v>
      </c>
      <c r="E125" s="279">
        <v>130755</v>
      </c>
      <c r="F125" s="280">
        <v>1245.2857142857142</v>
      </c>
      <c r="G125" s="278">
        <v>7.2901527364769647E-3</v>
      </c>
      <c r="H125" s="281">
        <v>225000</v>
      </c>
      <c r="I125" s="280">
        <v>2445.6521739130435</v>
      </c>
      <c r="J125" s="282">
        <v>6.1787937914153084E-3</v>
      </c>
      <c r="K125" s="2">
        <v>225000</v>
      </c>
      <c r="L125" s="7">
        <v>2184.4660194174758</v>
      </c>
      <c r="M125" s="282"/>
      <c r="N125" s="7">
        <v>0</v>
      </c>
      <c r="O125" s="7"/>
      <c r="P125" s="283">
        <v>3.385360210248556E-3</v>
      </c>
      <c r="Q125" s="283" t="s">
        <v>310</v>
      </c>
      <c r="R125" s="283"/>
      <c r="S125" s="283"/>
      <c r="T125" s="2">
        <v>94245</v>
      </c>
      <c r="U125" s="4">
        <v>0.41886666666666666</v>
      </c>
    </row>
    <row r="126" spans="2:21" ht="16">
      <c r="B126" s="287" t="s">
        <v>77</v>
      </c>
      <c r="C126" s="288" t="s">
        <v>290</v>
      </c>
      <c r="D126" s="278">
        <v>1.0452199794883125E-3</v>
      </c>
      <c r="E126" s="279">
        <v>35000</v>
      </c>
      <c r="F126" s="280">
        <v>333.33333333333331</v>
      </c>
      <c r="G126" s="278">
        <v>1.1340237590075277E-3</v>
      </c>
      <c r="H126" s="281">
        <v>35000</v>
      </c>
      <c r="I126" s="280">
        <v>380.43478260869563</v>
      </c>
      <c r="J126" s="282">
        <v>9.6114570088682574E-4</v>
      </c>
      <c r="K126" s="2">
        <v>35000</v>
      </c>
      <c r="L126" s="7">
        <v>339.80582524271847</v>
      </c>
      <c r="M126" s="282"/>
      <c r="N126" s="7">
        <v>0</v>
      </c>
      <c r="O126" s="7"/>
      <c r="P126" s="283">
        <v>1.7287805812070194E-4</v>
      </c>
      <c r="Q126" s="283" t="s">
        <v>310</v>
      </c>
      <c r="R126" s="283"/>
      <c r="S126" s="283"/>
      <c r="T126" s="2">
        <v>0</v>
      </c>
      <c r="U126" s="4">
        <v>0</v>
      </c>
    </row>
    <row r="127" spans="2:21" ht="16">
      <c r="B127" s="287" t="s">
        <v>78</v>
      </c>
      <c r="C127" s="288" t="s">
        <v>290</v>
      </c>
      <c r="D127" s="278">
        <v>2.8370256586111339E-3</v>
      </c>
      <c r="E127" s="279">
        <v>95000</v>
      </c>
      <c r="F127" s="280">
        <v>904.76190476190482</v>
      </c>
      <c r="G127" s="278">
        <v>3.1428658463922912E-3</v>
      </c>
      <c r="H127" s="281">
        <v>97000</v>
      </c>
      <c r="I127" s="280">
        <v>1054.3478260869565</v>
      </c>
      <c r="J127" s="282">
        <v>2.6637466567434884E-3</v>
      </c>
      <c r="K127" s="2">
        <v>97000</v>
      </c>
      <c r="L127" s="7">
        <v>941.747572815534</v>
      </c>
      <c r="M127" s="282"/>
      <c r="N127" s="7">
        <v>0</v>
      </c>
      <c r="O127" s="7"/>
      <c r="P127" s="283">
        <v>4.7911918964880281E-4</v>
      </c>
      <c r="Q127" s="283" t="s">
        <v>310</v>
      </c>
      <c r="R127" s="283"/>
      <c r="S127" s="283"/>
      <c r="T127" s="2">
        <v>2000</v>
      </c>
      <c r="U127" s="4">
        <v>2.0618556701030927E-2</v>
      </c>
    </row>
    <row r="128" spans="2:21" ht="16">
      <c r="B128" s="287" t="s">
        <v>80</v>
      </c>
      <c r="C128" s="288" t="s">
        <v>290</v>
      </c>
      <c r="D128" s="278">
        <v>1.0534503402410833E-2</v>
      </c>
      <c r="E128" s="279">
        <v>352756</v>
      </c>
      <c r="F128" s="280">
        <v>3359.5809523809526</v>
      </c>
      <c r="G128" s="278">
        <v>1.0240234543837975E-2</v>
      </c>
      <c r="H128" s="281">
        <v>316050</v>
      </c>
      <c r="I128" s="280">
        <v>3435.3260869565215</v>
      </c>
      <c r="J128" s="282">
        <v>1.0769500271908185E-2</v>
      </c>
      <c r="K128" s="2">
        <v>392170</v>
      </c>
      <c r="L128" s="7">
        <v>3807.4757281553398</v>
      </c>
      <c r="M128" s="282"/>
      <c r="N128" s="7">
        <v>0</v>
      </c>
      <c r="O128" s="7"/>
      <c r="P128" s="283">
        <v>5.2926572807020927E-4</v>
      </c>
      <c r="Q128" s="283" t="s">
        <v>310</v>
      </c>
      <c r="R128" s="283"/>
      <c r="S128" s="283"/>
      <c r="T128" s="2">
        <v>76120</v>
      </c>
      <c r="U128" s="4">
        <v>0.19409949766682816</v>
      </c>
    </row>
    <row r="129" spans="2:21" ht="16">
      <c r="B129" s="287" t="s">
        <v>79</v>
      </c>
      <c r="C129" s="288" t="s">
        <v>290</v>
      </c>
      <c r="D129" s="278">
        <v>2.9863427985380358E-4</v>
      </c>
      <c r="E129" s="279">
        <v>10000</v>
      </c>
      <c r="F129" s="280">
        <v>95.238095238095241</v>
      </c>
      <c r="G129" s="278">
        <v>3.2400678828786511E-4</v>
      </c>
      <c r="H129" s="281">
        <v>10000</v>
      </c>
      <c r="I129" s="280">
        <v>108.69565217391305</v>
      </c>
      <c r="J129" s="282">
        <v>2.7461305739623592E-4</v>
      </c>
      <c r="K129" s="2">
        <v>10000</v>
      </c>
      <c r="L129" s="7">
        <v>97.087378640776706</v>
      </c>
      <c r="M129" s="282"/>
      <c r="N129" s="7">
        <v>0</v>
      </c>
      <c r="O129" s="7"/>
      <c r="P129" s="283">
        <v>4.9393730891629181E-5</v>
      </c>
      <c r="Q129" s="283" t="s">
        <v>310</v>
      </c>
      <c r="R129" s="283"/>
      <c r="S129" s="283"/>
      <c r="T129" s="2">
        <v>0</v>
      </c>
      <c r="U129" s="4">
        <v>0</v>
      </c>
    </row>
    <row r="130" spans="2:21" ht="16">
      <c r="B130" t="s">
        <v>81</v>
      </c>
      <c r="C130" s="288" t="s">
        <v>264</v>
      </c>
      <c r="D130" s="278">
        <v>0</v>
      </c>
      <c r="E130" s="279">
        <v>0</v>
      </c>
      <c r="F130" s="280">
        <v>0</v>
      </c>
      <c r="G130" s="278">
        <v>0</v>
      </c>
      <c r="H130" s="281">
        <v>0</v>
      </c>
      <c r="I130" s="280">
        <v>0</v>
      </c>
      <c r="J130" s="282">
        <v>0</v>
      </c>
      <c r="K130" s="2">
        <v>0</v>
      </c>
      <c r="L130" s="7">
        <v>0</v>
      </c>
      <c r="M130" s="282"/>
      <c r="N130" s="7">
        <v>0</v>
      </c>
      <c r="O130" s="7"/>
      <c r="P130" s="283">
        <v>0</v>
      </c>
      <c r="Q130" s="283" t="s">
        <v>308</v>
      </c>
      <c r="R130" s="283"/>
      <c r="S130" s="283"/>
      <c r="T130" s="2">
        <v>0</v>
      </c>
      <c r="U130" s="4" t="s">
        <v>309</v>
      </c>
    </row>
    <row r="131" spans="2:21" ht="16">
      <c r="B131" t="s">
        <v>64</v>
      </c>
      <c r="C131" s="288" t="s">
        <v>290</v>
      </c>
      <c r="D131" s="278">
        <v>7.4658569963450899E-4</v>
      </c>
      <c r="E131" s="279">
        <v>25000</v>
      </c>
      <c r="F131" s="280">
        <v>238.0952380952381</v>
      </c>
      <c r="G131" s="278">
        <v>8.1001697071966274E-4</v>
      </c>
      <c r="H131" s="281">
        <v>25000</v>
      </c>
      <c r="I131" s="280">
        <v>271.73913043478262</v>
      </c>
      <c r="J131" s="282">
        <v>0</v>
      </c>
      <c r="K131" s="2">
        <v>0</v>
      </c>
      <c r="L131" s="7">
        <v>0</v>
      </c>
      <c r="M131" s="282">
        <v>5.8E-4</v>
      </c>
      <c r="N131" s="7">
        <v>24845.922259999999</v>
      </c>
      <c r="O131" s="7"/>
      <c r="P131" s="283">
        <v>6.3431271085153751E-5</v>
      </c>
      <c r="Q131" s="283" t="s">
        <v>308</v>
      </c>
      <c r="R131" s="283"/>
      <c r="S131" s="283"/>
      <c r="T131" s="2">
        <v>0</v>
      </c>
      <c r="U131" s="4">
        <v>0</v>
      </c>
    </row>
    <row r="132" spans="2:21" ht="16">
      <c r="B132" t="s">
        <v>82</v>
      </c>
      <c r="C132" s="288" t="s">
        <v>290</v>
      </c>
      <c r="D132" s="278">
        <v>5.9726855970760717E-4</v>
      </c>
      <c r="E132" s="279">
        <v>20000</v>
      </c>
      <c r="F132" s="280">
        <v>190.47619047619048</v>
      </c>
      <c r="G132" s="278">
        <v>6.4801357657573021E-4</v>
      </c>
      <c r="H132" s="281">
        <v>20000</v>
      </c>
      <c r="I132" s="280">
        <v>217.39130434782609</v>
      </c>
      <c r="J132" s="282">
        <v>5.4922611479247185E-4</v>
      </c>
      <c r="K132" s="2">
        <v>20000</v>
      </c>
      <c r="L132" s="7">
        <v>194.17475728155341</v>
      </c>
      <c r="M132" s="282">
        <v>3.5E-4</v>
      </c>
      <c r="N132" s="7">
        <v>14993.228950000001</v>
      </c>
      <c r="O132" s="7"/>
      <c r="P132" s="283">
        <v>9.8787461783258362E-5</v>
      </c>
      <c r="Q132" s="283" t="s">
        <v>310</v>
      </c>
      <c r="R132" s="283"/>
      <c r="S132" s="283"/>
      <c r="T132" s="2">
        <v>0</v>
      </c>
      <c r="U132" s="4">
        <v>0</v>
      </c>
    </row>
    <row r="133" spans="2:21" ht="16">
      <c r="B133" t="s">
        <v>83</v>
      </c>
      <c r="C133" s="288" t="s">
        <v>290</v>
      </c>
      <c r="D133" s="278">
        <v>0</v>
      </c>
      <c r="E133" s="279">
        <v>0</v>
      </c>
      <c r="F133" s="280">
        <v>0</v>
      </c>
      <c r="G133" s="278">
        <v>3.2400678828786511E-4</v>
      </c>
      <c r="H133" s="281">
        <v>10000</v>
      </c>
      <c r="I133" s="280">
        <v>108.69565217391305</v>
      </c>
      <c r="J133" s="282">
        <v>5.4922611479247185E-4</v>
      </c>
      <c r="K133" s="2">
        <v>20000</v>
      </c>
      <c r="L133" s="7">
        <v>194.17475728155341</v>
      </c>
      <c r="M133" s="282">
        <v>2.3000000000000001E-4</v>
      </c>
      <c r="N133" s="7">
        <v>9852.6933100000006</v>
      </c>
      <c r="O133" s="7"/>
      <c r="P133" s="283">
        <v>2.2521932650460674E-4</v>
      </c>
      <c r="Q133" s="283" t="s">
        <v>308</v>
      </c>
      <c r="R133" s="283"/>
      <c r="S133" s="283"/>
      <c r="T133" s="2">
        <v>10000</v>
      </c>
      <c r="U133" s="4">
        <v>0.5</v>
      </c>
    </row>
    <row r="134" spans="2:21" ht="16">
      <c r="B134" t="s">
        <v>84</v>
      </c>
      <c r="C134" s="288" t="s">
        <v>290</v>
      </c>
      <c r="D134" s="278">
        <v>7.4658569963450896E-3</v>
      </c>
      <c r="E134" s="279">
        <v>250000</v>
      </c>
      <c r="F134" s="280">
        <v>2380.9523809523807</v>
      </c>
      <c r="G134" s="278">
        <v>6.4801357657573019E-3</v>
      </c>
      <c r="H134" s="281">
        <v>200000</v>
      </c>
      <c r="I134" s="280">
        <v>2173.913043478261</v>
      </c>
      <c r="J134" s="282">
        <v>5.4922611479247185E-3</v>
      </c>
      <c r="K134" s="2">
        <v>200000</v>
      </c>
      <c r="L134" s="7">
        <v>1941.7475728155339</v>
      </c>
      <c r="M134" s="282">
        <v>4.6699999999999997E-3</v>
      </c>
      <c r="N134" s="7">
        <v>200052.51199</v>
      </c>
      <c r="O134" s="7"/>
      <c r="P134" s="283">
        <v>1.9735958484203711E-3</v>
      </c>
      <c r="Q134" s="283" t="s">
        <v>310</v>
      </c>
      <c r="R134" s="283"/>
      <c r="S134" s="283"/>
      <c r="T134" s="2">
        <v>50000</v>
      </c>
      <c r="U134" s="4">
        <v>0.2</v>
      </c>
    </row>
    <row r="135" spans="2:21" ht="16">
      <c r="E135" s="1"/>
      <c r="F135" s="1"/>
      <c r="H135" s="1"/>
      <c r="I135" s="1"/>
    </row>
    <row r="136" spans="2:21">
      <c r="D136" s="283">
        <v>1.7470135344766573</v>
      </c>
      <c r="E136" s="283"/>
      <c r="F136" s="283"/>
      <c r="G136" s="283">
        <v>1.7446038466109306</v>
      </c>
      <c r="H136" s="283"/>
      <c r="I136" s="283"/>
      <c r="J136" s="283">
        <v>1.7246437372134309</v>
      </c>
      <c r="K136" s="283"/>
      <c r="L136" s="283"/>
      <c r="M136" s="283">
        <v>1.0000099999999996</v>
      </c>
      <c r="N136" s="7"/>
      <c r="O136" s="7"/>
    </row>
    <row r="142" spans="2:21">
      <c r="C142" s="283">
        <v>5.56654708664652E-2</v>
      </c>
      <c r="D142" s="283"/>
      <c r="E142" s="283"/>
      <c r="F142" s="283">
        <v>4.1203318419476581E-2</v>
      </c>
      <c r="G142" s="283"/>
      <c r="H142" s="283"/>
      <c r="I142" s="283">
        <v>3.0076784131570441E-2</v>
      </c>
    </row>
    <row r="143" spans="2:21">
      <c r="C143" s="283">
        <v>4.6643747777724426E-2</v>
      </c>
    </row>
  </sheetData>
  <mergeCells count="1">
    <mergeCell ref="D1:E1"/>
  </mergeCells>
  <conditionalFormatting sqref="D25:D26">
    <cfRule type="colorScale" priority="5">
      <colorScale>
        <cfvo type="percent" val="0"/>
        <cfvo type="percent" val="10"/>
        <color rgb="FFFF7128"/>
        <color theme="9"/>
      </colorScale>
    </cfRule>
  </conditionalFormatting>
  <conditionalFormatting sqref="D25:D134">
    <cfRule type="colorScale" priority="3">
      <colorScale>
        <cfvo type="percent" val="0"/>
        <cfvo type="percentile" val="2"/>
        <cfvo type="percent" val="10"/>
        <color rgb="FFF8696B"/>
        <color rgb="FFFFEB84"/>
        <color rgb="FF63BE7B"/>
      </colorScale>
    </cfRule>
    <cfRule type="colorScale" priority="4">
      <colorScale>
        <cfvo type="percent" val="0"/>
        <cfvo type="percent" val="10"/>
        <color rgb="FFFF7128"/>
        <color theme="9" tint="0.39997558519241921"/>
      </colorScale>
    </cfRule>
  </conditionalFormatting>
  <conditionalFormatting sqref="G25:G134 D25:D134 J25:J134">
    <cfRule type="colorScale" priority="2">
      <colorScale>
        <cfvo type="percent" val="0"/>
        <cfvo type="percentile" val="2"/>
        <cfvo type="percent" val="10"/>
        <color rgb="FFF8696B"/>
        <color rgb="FFFFEB84"/>
        <color rgb="FF63BE7B"/>
      </colorScale>
    </cfRule>
  </conditionalFormatting>
  <conditionalFormatting sqref="M25:M134">
    <cfRule type="colorScale" priority="1">
      <colorScale>
        <cfvo type="percent" val="0"/>
        <cfvo type="percentile" val="2"/>
        <cfvo type="percent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20F2-5B6E-4D2A-AACA-05BABCAA420E}">
  <dimension ref="A5:L75"/>
  <sheetViews>
    <sheetView tabSelected="1" topLeftCell="A19" zoomScale="108" zoomScaleNormal="100" workbookViewId="0">
      <selection activeCell="I34" sqref="I34"/>
    </sheetView>
  </sheetViews>
  <sheetFormatPr baseColWidth="10" defaultColWidth="8.83203125" defaultRowHeight="15"/>
  <cols>
    <col min="1" max="1" width="18.5" customWidth="1"/>
    <col min="2" max="2" width="18.6640625" bestFit="1" customWidth="1"/>
    <col min="3" max="3" width="33.6640625" customWidth="1"/>
    <col min="4" max="11" width="20" customWidth="1"/>
  </cols>
  <sheetData>
    <row r="5" spans="1:12">
      <c r="A5" s="260"/>
      <c r="B5" s="260"/>
    </row>
    <row r="6" spans="1:12">
      <c r="A6" s="260"/>
      <c r="B6" s="260"/>
    </row>
    <row r="7" spans="1:12">
      <c r="A7" s="260"/>
      <c r="B7" s="260"/>
    </row>
    <row r="8" spans="1:12">
      <c r="A8" s="260"/>
      <c r="B8" s="260"/>
    </row>
    <row r="9" spans="1:12">
      <c r="A9" s="260"/>
      <c r="B9" s="260"/>
    </row>
    <row r="10" spans="1:12">
      <c r="A10" s="260"/>
      <c r="B10" s="260"/>
    </row>
    <row r="11" spans="1:12">
      <c r="A11" s="260"/>
      <c r="B11" s="260"/>
    </row>
    <row r="12" spans="1:12">
      <c r="A12" s="260"/>
      <c r="B12" s="260"/>
    </row>
    <row r="13" spans="1:12">
      <c r="A13" s="260"/>
      <c r="B13" s="260"/>
    </row>
    <row r="14" spans="1:12">
      <c r="A14" s="260"/>
      <c r="B14" s="260"/>
    </row>
    <row r="15" spans="1:12">
      <c r="A15" s="260"/>
      <c r="B15" s="260"/>
      <c r="J15" t="s">
        <v>253</v>
      </c>
    </row>
    <row r="16" spans="1:12" ht="14.5" customHeight="1">
      <c r="A16" s="260"/>
      <c r="B16" s="260"/>
      <c r="J16" t="s">
        <v>254</v>
      </c>
      <c r="K16">
        <f>K18*L16</f>
        <v>4355</v>
      </c>
      <c r="L16" s="4">
        <v>0.67</v>
      </c>
    </row>
    <row r="17" spans="1:12">
      <c r="A17" s="260"/>
      <c r="B17" s="260"/>
      <c r="J17" t="s">
        <v>255</v>
      </c>
      <c r="K17">
        <v>1950</v>
      </c>
      <c r="L17" s="4">
        <f>1-L16</f>
        <v>0.32999999999999996</v>
      </c>
    </row>
    <row r="18" spans="1:12">
      <c r="A18" s="260"/>
      <c r="B18" s="260" t="s">
        <v>261</v>
      </c>
      <c r="K18">
        <v>6500</v>
      </c>
    </row>
    <row r="19" spans="1:12">
      <c r="A19" s="260"/>
      <c r="B19" s="260"/>
      <c r="C19" t="s">
        <v>115</v>
      </c>
      <c r="D19" t="s">
        <v>219</v>
      </c>
      <c r="E19" t="s">
        <v>250</v>
      </c>
      <c r="F19" t="s">
        <v>257</v>
      </c>
      <c r="G19" t="s">
        <v>252</v>
      </c>
      <c r="H19" t="s">
        <v>251</v>
      </c>
      <c r="I19" t="s">
        <v>258</v>
      </c>
    </row>
    <row r="20" spans="1:12" ht="14" customHeight="1">
      <c r="A20" s="260"/>
      <c r="B20" s="260"/>
      <c r="C20" t="s">
        <v>106</v>
      </c>
      <c r="D20">
        <v>62632</v>
      </c>
      <c r="E20">
        <v>62632</v>
      </c>
      <c r="F20">
        <v>62632</v>
      </c>
      <c r="G20">
        <v>47250</v>
      </c>
      <c r="H20">
        <v>62632</v>
      </c>
      <c r="I20">
        <v>47250</v>
      </c>
    </row>
    <row r="21" spans="1:12">
      <c r="A21" s="260"/>
      <c r="B21" s="260"/>
      <c r="C21" t="s">
        <v>218</v>
      </c>
      <c r="D21">
        <v>58587</v>
      </c>
      <c r="E21">
        <v>58587</v>
      </c>
      <c r="F21">
        <v>58587</v>
      </c>
      <c r="G21">
        <v>46000</v>
      </c>
      <c r="H21">
        <v>58587</v>
      </c>
      <c r="I21">
        <v>46000</v>
      </c>
    </row>
    <row r="22" spans="1:12">
      <c r="A22" s="260"/>
      <c r="B22" s="260"/>
      <c r="C22" t="s">
        <v>112</v>
      </c>
      <c r="D22">
        <v>4045</v>
      </c>
      <c r="E22">
        <v>4045</v>
      </c>
      <c r="F22">
        <v>4045</v>
      </c>
      <c r="G22">
        <v>1250</v>
      </c>
      <c r="H22">
        <v>4045</v>
      </c>
      <c r="I22">
        <v>1250</v>
      </c>
    </row>
    <row r="23" spans="1:12">
      <c r="A23" s="260"/>
      <c r="B23" s="260"/>
      <c r="C23" t="s">
        <v>231</v>
      </c>
      <c r="D23">
        <v>15000</v>
      </c>
      <c r="E23">
        <v>15000</v>
      </c>
      <c r="F23">
        <v>15000</v>
      </c>
      <c r="G23">
        <v>15000</v>
      </c>
      <c r="H23">
        <v>15000</v>
      </c>
      <c r="I23">
        <v>15000</v>
      </c>
    </row>
    <row r="24" spans="1:12">
      <c r="A24" s="260"/>
      <c r="B24" s="260"/>
      <c r="C24" t="s">
        <v>108</v>
      </c>
      <c r="D24">
        <v>6</v>
      </c>
      <c r="E24">
        <v>6</v>
      </c>
      <c r="F24">
        <v>6</v>
      </c>
      <c r="G24">
        <v>5</v>
      </c>
      <c r="H24">
        <v>6</v>
      </c>
      <c r="I24">
        <v>5</v>
      </c>
    </row>
    <row r="25" spans="1:12">
      <c r="A25" s="260"/>
      <c r="B25" s="260"/>
      <c r="C25" t="s">
        <v>239</v>
      </c>
      <c r="D25">
        <v>102</v>
      </c>
      <c r="E25">
        <v>102</v>
      </c>
      <c r="F25">
        <v>102</v>
      </c>
      <c r="G25">
        <v>80</v>
      </c>
      <c r="H25">
        <v>102</v>
      </c>
      <c r="I25">
        <v>80</v>
      </c>
    </row>
    <row r="26" spans="1:12">
      <c r="A26" s="260"/>
      <c r="B26" s="260"/>
      <c r="C26" t="s">
        <v>2</v>
      </c>
      <c r="D26">
        <v>3</v>
      </c>
      <c r="E26">
        <v>3</v>
      </c>
      <c r="F26">
        <v>3</v>
      </c>
      <c r="G26">
        <v>2</v>
      </c>
      <c r="H26">
        <v>3</v>
      </c>
      <c r="I26">
        <v>2</v>
      </c>
    </row>
    <row r="27" spans="1:12">
      <c r="A27" s="260"/>
      <c r="B27" s="260"/>
      <c r="C27" t="s">
        <v>109</v>
      </c>
      <c r="D27">
        <v>105</v>
      </c>
      <c r="E27">
        <v>105</v>
      </c>
      <c r="F27">
        <v>105</v>
      </c>
      <c r="G27">
        <v>82</v>
      </c>
      <c r="H27">
        <v>105</v>
      </c>
      <c r="I27">
        <v>82</v>
      </c>
    </row>
    <row r="28" spans="1:12">
      <c r="A28" s="260"/>
      <c r="B28" s="260"/>
      <c r="C28" t="s">
        <v>167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</row>
    <row r="29" spans="1:12">
      <c r="A29" s="260"/>
      <c r="B29" s="260"/>
      <c r="C29" t="s">
        <v>168</v>
      </c>
      <c r="D29">
        <v>16</v>
      </c>
      <c r="E29">
        <v>16</v>
      </c>
      <c r="F29">
        <v>16</v>
      </c>
      <c r="G29">
        <v>14</v>
      </c>
      <c r="H29">
        <v>16</v>
      </c>
      <c r="I29">
        <v>14</v>
      </c>
    </row>
    <row r="30" spans="1:12">
      <c r="A30" s="260"/>
      <c r="B30" s="260"/>
      <c r="C30" t="s">
        <v>169</v>
      </c>
      <c r="D30">
        <v>36</v>
      </c>
      <c r="E30">
        <v>36</v>
      </c>
      <c r="F30">
        <v>36</v>
      </c>
      <c r="G30">
        <v>34</v>
      </c>
      <c r="H30">
        <v>36</v>
      </c>
      <c r="I30">
        <v>34</v>
      </c>
    </row>
    <row r="31" spans="1:12">
      <c r="A31" s="260"/>
      <c r="B31" s="260"/>
      <c r="C31" t="s">
        <v>173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</row>
    <row r="32" spans="1:12">
      <c r="A32" s="261"/>
      <c r="B32" s="260"/>
      <c r="C32" t="s">
        <v>113</v>
      </c>
      <c r="D32" s="7">
        <v>34855071.962240003</v>
      </c>
      <c r="E32" s="7">
        <v>33169549.94624</v>
      </c>
      <c r="F32" s="7">
        <v>31090190.533173334</v>
      </c>
      <c r="G32" s="7">
        <v>20787629.300000001</v>
      </c>
      <c r="H32" s="7">
        <v>31705071.962239999</v>
      </c>
      <c r="I32" s="303">
        <v>15611894.612</v>
      </c>
    </row>
    <row r="33" spans="1:10">
      <c r="A33" s="262"/>
      <c r="B33" s="260"/>
      <c r="C33" t="s">
        <v>194</v>
      </c>
      <c r="D33" s="259">
        <v>331953.06630704767</v>
      </c>
      <c r="E33" s="259">
        <v>315900.47567847621</v>
      </c>
      <c r="F33" s="259">
        <v>296097.05269688892</v>
      </c>
      <c r="G33" s="259">
        <v>253507.67439024392</v>
      </c>
      <c r="H33" s="259">
        <v>301953.06630704761</v>
      </c>
      <c r="I33" s="259">
        <v>190388.95868292684</v>
      </c>
    </row>
    <row r="34" spans="1:10">
      <c r="A34" s="262"/>
      <c r="B34" s="260"/>
      <c r="C34" t="s">
        <v>249</v>
      </c>
      <c r="D34" s="7">
        <f>$D$33-D33</f>
        <v>0</v>
      </c>
      <c r="E34" s="7">
        <f t="shared" ref="E34:I34" si="0">$D$33-E33</f>
        <v>16052.590628571459</v>
      </c>
      <c r="F34" s="7">
        <f t="shared" si="0"/>
        <v>35856.013610158756</v>
      </c>
      <c r="G34" s="7">
        <f t="shared" si="0"/>
        <v>78445.391916803754</v>
      </c>
      <c r="H34" s="7">
        <f t="shared" si="0"/>
        <v>30000.000000000058</v>
      </c>
      <c r="I34" s="7">
        <f t="shared" si="0"/>
        <v>141564.10762412084</v>
      </c>
    </row>
    <row r="35" spans="1:10">
      <c r="A35" s="260"/>
      <c r="B35" s="260"/>
      <c r="C35" t="s">
        <v>236</v>
      </c>
      <c r="D35" s="265">
        <v>5</v>
      </c>
      <c r="E35" s="265">
        <v>9</v>
      </c>
      <c r="F35" s="265">
        <v>11</v>
      </c>
      <c r="G35" s="265">
        <v>8</v>
      </c>
      <c r="H35" s="265">
        <v>7</v>
      </c>
      <c r="I35" s="265">
        <v>8</v>
      </c>
      <c r="J35" s="266">
        <f>SUM(D35:I35)</f>
        <v>48</v>
      </c>
    </row>
    <row r="36" spans="1:10" s="260" customFormat="1">
      <c r="C36" t="s">
        <v>237</v>
      </c>
      <c r="D36" s="265">
        <f>D35*D25</f>
        <v>510</v>
      </c>
      <c r="E36" s="265">
        <f t="shared" ref="E36:I36" si="1">E35*E25</f>
        <v>918</v>
      </c>
      <c r="F36" s="265">
        <f t="shared" si="1"/>
        <v>1122</v>
      </c>
      <c r="G36" s="265">
        <f t="shared" si="1"/>
        <v>640</v>
      </c>
      <c r="H36" s="265">
        <f t="shared" si="1"/>
        <v>714</v>
      </c>
      <c r="I36" s="265">
        <f t="shared" si="1"/>
        <v>640</v>
      </c>
      <c r="J36" s="266">
        <f>SUM(D36:I36)</f>
        <v>4544</v>
      </c>
    </row>
    <row r="37" spans="1:10">
      <c r="A37" s="260"/>
      <c r="B37" s="260"/>
      <c r="I37" t="s">
        <v>238</v>
      </c>
      <c r="J37" s="264">
        <f>J39/J36</f>
        <v>284155.3539008376</v>
      </c>
    </row>
    <row r="38" spans="1:10">
      <c r="A38" s="260"/>
      <c r="B38" s="260"/>
      <c r="I38" t="s">
        <v>256</v>
      </c>
      <c r="J38" s="262">
        <f>(J36*D33)-J39</f>
        <v>217192805.17381859</v>
      </c>
    </row>
    <row r="39" spans="1:10">
      <c r="A39" s="263"/>
      <c r="B39" s="260"/>
      <c r="D39" s="6">
        <f>D36*D33</f>
        <v>169296063.8165943</v>
      </c>
      <c r="E39" s="6">
        <f t="shared" ref="E39:I39" si="2">E36*E33</f>
        <v>289996636.67284119</v>
      </c>
      <c r="F39" s="6">
        <f t="shared" si="2"/>
        <v>332220893.12590939</v>
      </c>
      <c r="G39" s="6">
        <f t="shared" si="2"/>
        <v>162244911.60975611</v>
      </c>
      <c r="H39" s="6">
        <f t="shared" si="2"/>
        <v>215594489.34323201</v>
      </c>
      <c r="I39" s="6">
        <f t="shared" si="2"/>
        <v>121848933.55707318</v>
      </c>
      <c r="J39" s="267">
        <f>SUM(D39:I39)</f>
        <v>1291201928.125406</v>
      </c>
    </row>
    <row r="40" spans="1:10">
      <c r="A40" s="263"/>
      <c r="B40" s="260"/>
    </row>
    <row r="41" spans="1:10">
      <c r="A41" s="261"/>
      <c r="B41" s="260"/>
    </row>
    <row r="42" spans="1:10">
      <c r="A42" s="261"/>
      <c r="B42" s="261"/>
      <c r="G42" s="6"/>
    </row>
    <row r="43" spans="1:10">
      <c r="A43" s="262"/>
      <c r="B43" s="262"/>
    </row>
    <row r="44" spans="1:10">
      <c r="A44" s="260"/>
      <c r="B44" s="262"/>
    </row>
    <row r="45" spans="1:10">
      <c r="A45" s="260"/>
      <c r="B45" s="260" t="s">
        <v>262</v>
      </c>
    </row>
    <row r="46" spans="1:10">
      <c r="A46" s="260"/>
      <c r="B46" s="260"/>
      <c r="C46" t="s">
        <v>115</v>
      </c>
      <c r="D46" t="s">
        <v>219</v>
      </c>
      <c r="E46" t="s">
        <v>250</v>
      </c>
      <c r="F46" t="s">
        <v>257</v>
      </c>
      <c r="G46" t="s">
        <v>252</v>
      </c>
      <c r="H46" t="s">
        <v>251</v>
      </c>
      <c r="I46" t="s">
        <v>259</v>
      </c>
    </row>
    <row r="47" spans="1:10">
      <c r="A47" s="260"/>
      <c r="B47" s="260"/>
      <c r="C47" t="s">
        <v>106</v>
      </c>
      <c r="D47">
        <v>62632</v>
      </c>
      <c r="E47">
        <v>62632</v>
      </c>
      <c r="F47">
        <v>62632</v>
      </c>
      <c r="G47">
        <v>47250</v>
      </c>
      <c r="H47">
        <v>62632</v>
      </c>
      <c r="I47">
        <v>47250</v>
      </c>
    </row>
    <row r="48" spans="1:10">
      <c r="A48" s="260"/>
      <c r="B48" s="260"/>
      <c r="C48" t="s">
        <v>218</v>
      </c>
      <c r="D48">
        <v>58587</v>
      </c>
      <c r="E48">
        <v>58587</v>
      </c>
      <c r="F48">
        <v>58587</v>
      </c>
      <c r="G48">
        <v>46000</v>
      </c>
      <c r="H48">
        <v>58587</v>
      </c>
      <c r="I48">
        <v>46000</v>
      </c>
    </row>
    <row r="49" spans="1:10">
      <c r="A49" s="260"/>
      <c r="B49" s="260"/>
      <c r="C49" t="s">
        <v>112</v>
      </c>
      <c r="D49">
        <v>4045</v>
      </c>
      <c r="E49">
        <v>4045</v>
      </c>
      <c r="F49">
        <v>4045</v>
      </c>
      <c r="G49">
        <v>1250</v>
      </c>
      <c r="H49">
        <v>4045</v>
      </c>
      <c r="I49">
        <v>1250</v>
      </c>
    </row>
    <row r="50" spans="1:10">
      <c r="A50" s="260"/>
      <c r="B50" s="260"/>
      <c r="C50" t="s">
        <v>231</v>
      </c>
      <c r="D50">
        <v>15000</v>
      </c>
      <c r="E50">
        <v>15000</v>
      </c>
      <c r="F50">
        <v>15000</v>
      </c>
      <c r="G50">
        <v>15000</v>
      </c>
      <c r="H50">
        <v>15000</v>
      </c>
      <c r="I50">
        <v>15000</v>
      </c>
    </row>
    <row r="51" spans="1:10">
      <c r="A51" s="260"/>
      <c r="B51" s="260"/>
      <c r="C51" t="s">
        <v>108</v>
      </c>
      <c r="D51">
        <v>6</v>
      </c>
      <c r="E51">
        <v>6</v>
      </c>
      <c r="F51">
        <v>6</v>
      </c>
      <c r="G51">
        <v>5</v>
      </c>
      <c r="H51">
        <v>6</v>
      </c>
      <c r="I51">
        <v>5</v>
      </c>
    </row>
    <row r="52" spans="1:10">
      <c r="A52" s="260"/>
      <c r="B52" s="260"/>
      <c r="C52" t="s">
        <v>239</v>
      </c>
      <c r="D52">
        <v>102</v>
      </c>
      <c r="E52">
        <v>102</v>
      </c>
      <c r="F52">
        <v>102</v>
      </c>
      <c r="G52">
        <v>80</v>
      </c>
      <c r="H52">
        <v>102</v>
      </c>
      <c r="I52">
        <v>80</v>
      </c>
    </row>
    <row r="53" spans="1:10">
      <c r="A53" s="260"/>
      <c r="B53" s="260"/>
      <c r="C53" t="s">
        <v>2</v>
      </c>
      <c r="D53">
        <v>3</v>
      </c>
      <c r="E53">
        <v>3</v>
      </c>
      <c r="F53">
        <v>3</v>
      </c>
      <c r="G53">
        <v>2</v>
      </c>
      <c r="H53">
        <v>3</v>
      </c>
      <c r="I53">
        <v>2</v>
      </c>
    </row>
    <row r="54" spans="1:10">
      <c r="A54" s="260"/>
      <c r="B54" s="260"/>
      <c r="C54" t="s">
        <v>109</v>
      </c>
      <c r="D54">
        <v>105</v>
      </c>
      <c r="E54">
        <v>105</v>
      </c>
      <c r="F54">
        <v>105</v>
      </c>
      <c r="G54">
        <v>82</v>
      </c>
      <c r="H54">
        <v>105</v>
      </c>
      <c r="I54">
        <v>82</v>
      </c>
    </row>
    <row r="55" spans="1:10">
      <c r="A55" s="260"/>
      <c r="B55" s="260"/>
      <c r="C55" t="s">
        <v>167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</row>
    <row r="56" spans="1:10">
      <c r="A56" s="260"/>
      <c r="B56" s="260"/>
      <c r="C56" t="s">
        <v>168</v>
      </c>
      <c r="D56">
        <v>16</v>
      </c>
      <c r="E56">
        <v>16</v>
      </c>
      <c r="F56">
        <v>16</v>
      </c>
      <c r="G56">
        <v>14</v>
      </c>
      <c r="H56">
        <v>16</v>
      </c>
      <c r="I56">
        <v>14</v>
      </c>
    </row>
    <row r="57" spans="1:10">
      <c r="C57" t="s">
        <v>169</v>
      </c>
      <c r="D57">
        <v>36</v>
      </c>
      <c r="E57">
        <v>36</v>
      </c>
      <c r="F57">
        <v>36</v>
      </c>
      <c r="G57">
        <v>34</v>
      </c>
      <c r="H57">
        <v>36</v>
      </c>
      <c r="I57">
        <v>34</v>
      </c>
    </row>
    <row r="58" spans="1:10">
      <c r="C58" t="s">
        <v>173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</row>
    <row r="59" spans="1:10">
      <c r="C59" t="s">
        <v>113</v>
      </c>
      <c r="D59" s="7">
        <v>34855071.962240003</v>
      </c>
      <c r="E59" s="7">
        <v>33169549.94624</v>
      </c>
      <c r="F59" s="7">
        <v>31090190.533173334</v>
      </c>
      <c r="G59" s="7">
        <v>20787629.300000001</v>
      </c>
      <c r="H59" s="7">
        <v>31705071.962239999</v>
      </c>
      <c r="I59">
        <v>15611894.612000002</v>
      </c>
    </row>
    <row r="60" spans="1:10">
      <c r="C60" t="s">
        <v>194</v>
      </c>
      <c r="D60" s="259">
        <v>331953.06630704767</v>
      </c>
      <c r="E60" s="259">
        <v>315900.47567847621</v>
      </c>
      <c r="F60" s="259">
        <v>296097.05269688892</v>
      </c>
      <c r="G60" s="259">
        <v>253507.67439024392</v>
      </c>
      <c r="H60" s="259">
        <v>301953.06630704761</v>
      </c>
      <c r="I60" s="259">
        <v>190388.95868292684</v>
      </c>
    </row>
    <row r="61" spans="1:10">
      <c r="C61" t="s">
        <v>249</v>
      </c>
      <c r="D61" s="7">
        <f>$D$33-D60</f>
        <v>0</v>
      </c>
      <c r="E61" s="7">
        <f t="shared" ref="E61" si="3">$D$33-E60</f>
        <v>16052.590628571459</v>
      </c>
      <c r="F61" s="7">
        <f t="shared" ref="F61" si="4">$D$33-F60</f>
        <v>35856.013610158756</v>
      </c>
      <c r="G61" s="7">
        <f t="shared" ref="G61" si="5">$D$33-G60</f>
        <v>78445.391916803754</v>
      </c>
      <c r="H61" s="7">
        <f t="shared" ref="H61" si="6">$D$33-H60</f>
        <v>30000.000000000058</v>
      </c>
      <c r="I61" s="7">
        <f t="shared" ref="I61" si="7">$D$33-I60</f>
        <v>141564.10762412084</v>
      </c>
    </row>
    <row r="62" spans="1:10">
      <c r="C62" t="s">
        <v>236</v>
      </c>
      <c r="D62" s="265">
        <v>0</v>
      </c>
      <c r="E62" s="265">
        <v>6</v>
      </c>
      <c r="F62" s="265">
        <v>10</v>
      </c>
      <c r="G62" s="265">
        <v>14</v>
      </c>
      <c r="H62" s="265">
        <v>5</v>
      </c>
      <c r="I62" s="265">
        <v>16</v>
      </c>
      <c r="J62" s="266">
        <f>SUM(D62:I62)</f>
        <v>51</v>
      </c>
    </row>
    <row r="63" spans="1:10">
      <c r="C63" t="s">
        <v>237</v>
      </c>
      <c r="D63" s="265">
        <f>D62*D52</f>
        <v>0</v>
      </c>
      <c r="E63" s="265">
        <f t="shared" ref="E63" si="8">E62*E52</f>
        <v>612</v>
      </c>
      <c r="F63" s="265">
        <f t="shared" ref="F63" si="9">F62*F52</f>
        <v>1020</v>
      </c>
      <c r="G63" s="265">
        <f t="shared" ref="G63" si="10">G62*G52</f>
        <v>1120</v>
      </c>
      <c r="H63" s="265">
        <f t="shared" ref="H63" si="11">H62*H52</f>
        <v>510</v>
      </c>
      <c r="I63" s="265">
        <f t="shared" ref="I63" si="12">I62*I52</f>
        <v>1280</v>
      </c>
      <c r="J63" s="266">
        <f>SUM(D63:I63)</f>
        <v>4542</v>
      </c>
    </row>
    <row r="64" spans="1:10">
      <c r="I64" t="s">
        <v>238</v>
      </c>
      <c r="J64" s="264">
        <f>J66/J63</f>
        <v>259130.91393964508</v>
      </c>
    </row>
    <row r="65" spans="1:10" s="260" customFormat="1">
      <c r="C65"/>
      <c r="D65"/>
      <c r="E65"/>
      <c r="F65"/>
      <c r="G65"/>
      <c r="H65"/>
      <c r="I65" t="s">
        <v>256</v>
      </c>
      <c r="J65" s="262">
        <f>(J63*D60)-J66</f>
        <v>330758216.05274248</v>
      </c>
    </row>
    <row r="66" spans="1:10">
      <c r="D66" s="6">
        <f>D63*D60</f>
        <v>0</v>
      </c>
      <c r="E66" s="6">
        <f t="shared" ref="E66:I66" si="13">E63*E60</f>
        <v>193331091.11522743</v>
      </c>
      <c r="F66" s="6">
        <f t="shared" si="13"/>
        <v>302018993.75082672</v>
      </c>
      <c r="G66" s="6">
        <f t="shared" si="13"/>
        <v>283928595.31707317</v>
      </c>
      <c r="H66" s="6">
        <f t="shared" si="13"/>
        <v>153996063.81659427</v>
      </c>
      <c r="I66" s="6">
        <f t="shared" si="13"/>
        <v>243697867.11414635</v>
      </c>
      <c r="J66" s="267">
        <f>SUM(D66:I66)</f>
        <v>1176972611.113868</v>
      </c>
    </row>
    <row r="69" spans="1:10">
      <c r="A69" s="260"/>
      <c r="B69" s="260"/>
      <c r="C69" s="260"/>
      <c r="D69" s="260"/>
    </row>
    <row r="70" spans="1:10">
      <c r="A70" s="260"/>
      <c r="B70" s="260"/>
      <c r="C70" s="260"/>
      <c r="D70" s="260"/>
    </row>
    <row r="71" spans="1:10">
      <c r="A71" s="263"/>
      <c r="B71" s="263"/>
      <c r="C71" s="260"/>
      <c r="D71" s="260"/>
    </row>
    <row r="72" spans="1:10">
      <c r="A72" s="263"/>
      <c r="B72" s="263"/>
      <c r="C72" s="260"/>
      <c r="D72" s="260"/>
    </row>
    <row r="73" spans="1:10">
      <c r="A73" s="260"/>
      <c r="B73" s="260"/>
      <c r="C73" s="260"/>
      <c r="D73" s="260"/>
    </row>
    <row r="74" spans="1:10">
      <c r="A74" s="260"/>
      <c r="B74" s="260"/>
      <c r="C74" s="263"/>
      <c r="D74" s="260"/>
    </row>
    <row r="75" spans="1:10">
      <c r="A75" s="260"/>
      <c r="B75" s="260"/>
      <c r="C75" s="260"/>
      <c r="D75" s="260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G X r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G x l 6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Z e t O K I p H u A 4 A A A A R A A A A E w A c A E Z v c m 1 1 b G F z L 1 N l Y 3 R p b 2 4 x L m 0 g o h g A K K A U A A A A A A A A A A A A A A A A A A A A A A A A A A A A K 0 5 N L s n M z 1 M I h t C G 1 g B Q S w E C L Q A U A A I A C A B s Z e t O 3 C w x i q g A A A D 4 A A A A E g A A A A A A A A A A A A A A A A A A A A A A Q 2 9 u Z m l n L 1 B h Y 2 t h Z 2 U u e G 1 s U E s B A i 0 A F A A C A A g A b G X r T g / K 6 a u k A A A A 6 Q A A A B M A A A A A A A A A A A A A A A A A 9 A A A A F t D b 2 5 0 Z W 5 0 X 1 R 5 c G V z X S 5 4 b W x Q S w E C L Q A U A A I A C A B s Z e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E F f y c A 9 O E a 3 i s k C 0 f j Y h A A A A A A C A A A A A A A Q Z g A A A A E A A C A A A A C M M 7 4 1 + F t / P / M + 4 7 w 7 l w p w x I W C D / E s J 4 i S g D 7 h D H u s f Q A A A A A O g A A A A A I A A C A A A A D 1 J 2 x v I E v t A T 7 Q n b D x R j 7 B I q K p R d q 7 P A u u a E 5 c 2 f q 0 w l A A A A D 0 F o S R v B d 2 T 3 N I P B Q 1 5 E + X y w e + 1 i s 7 B B f E T s G 0 g 3 u 8 S o w 1 L 8 S i w O 6 K r U Z x Y M I 0 e m u 6 P f T G 2 L t c F x x G D 2 H + G 1 X g / f O a w L v w F f t P O u X p J y R N 2 k A A A A A Q x w w o b o i z 5 o a z r 6 F q D x T d o X Z w 3 P Y j 7 j y D X 4 W J V b X h U Q H Q F / r 4 X r i Z Q 7 k d Z 3 m 1 L 7 J k A q 0 3 2 I s d 0 Q b + p k u O L n 7 e < / D a t a M a s h u p > 
</file>

<file path=customXml/itemProps1.xml><?xml version="1.0" encoding="utf-8"?>
<ds:datastoreItem xmlns:ds="http://schemas.openxmlformats.org/officeDocument/2006/customXml" ds:itemID="{EF0F41AA-AECE-4DF5-82F4-368A44C7C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Driver Model (V2)</vt:lpstr>
      <vt:lpstr>FactorControbution(values only)</vt:lpstr>
      <vt:lpstr>Display 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Parham</dc:creator>
  <cp:lastModifiedBy>Microsoft Office User</cp:lastModifiedBy>
  <cp:lastPrinted>2019-03-26T22:03:03Z</cp:lastPrinted>
  <dcterms:created xsi:type="dcterms:W3CDTF">2018-05-08T14:49:13Z</dcterms:created>
  <dcterms:modified xsi:type="dcterms:W3CDTF">2019-12-11T22:21:27Z</dcterms:modified>
</cp:coreProperties>
</file>