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881d548c8442c8/Desktop/Lantern/"/>
    </mc:Choice>
  </mc:AlternateContent>
  <xr:revisionPtr revIDLastSave="0" documentId="8_{F913959B-66D6-435E-A2EF-B086F16F3CAC}" xr6:coauthVersionLast="45" xr6:coauthVersionMax="45" xr10:uidLastSave="{00000000-0000-0000-0000-000000000000}"/>
  <bookViews>
    <workbookView xWindow="-108" yWindow="-108" windowWidth="27288" windowHeight="17808" xr2:uid="{B46F0F34-F53A-4448-8158-E2549F3BC521}"/>
  </bookViews>
  <sheets>
    <sheet name="Cost Driver Model (V2)dataviz" sheetId="29" r:id="rId1"/>
    <sheet name="Cost Driver Model (V2)" sheetId="22" r:id="rId2"/>
    <sheet name="FactorControbution(values only)" sheetId="28" r:id="rId3"/>
    <sheet name="Display summaries" sheetId="2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a" localSheetId="1">#REF!</definedName>
    <definedName name="\a" localSheetId="0">#REF!</definedName>
    <definedName name="\a">#REF!</definedName>
    <definedName name="\abc">#REF!</definedName>
    <definedName name="\b" localSheetId="1">#REF!</definedName>
    <definedName name="\b" localSheetId="0">#REF!</definedName>
    <definedName name="\b">#REF!</definedName>
    <definedName name="\c" localSheetId="1">#REF!</definedName>
    <definedName name="\c" localSheetId="0">#REF!</definedName>
    <definedName name="\c">#REF!</definedName>
    <definedName name="\d" localSheetId="1">#REF!</definedName>
    <definedName name="\d" localSheetId="0">#REF!</definedName>
    <definedName name="\d">#REF!</definedName>
    <definedName name="\e" localSheetId="1">#REF!</definedName>
    <definedName name="\e" localSheetId="0">#REF!</definedName>
    <definedName name="\e">#REF!</definedName>
    <definedName name="\i" localSheetId="1">#REF!</definedName>
    <definedName name="\i" localSheetId="0">#REF!</definedName>
    <definedName name="\i">#REF!</definedName>
    <definedName name="\m" localSheetId="1">#REF!</definedName>
    <definedName name="\m" localSheetId="0">#REF!</definedName>
    <definedName name="\m">#REF!</definedName>
    <definedName name="\n" localSheetId="1">#REF!</definedName>
    <definedName name="\n" localSheetId="0">#REF!</definedName>
    <definedName name="\n">#REF!</definedName>
    <definedName name="\p" localSheetId="1">#REF!</definedName>
    <definedName name="\p" localSheetId="0">#REF!</definedName>
    <definedName name="\p">#REF!</definedName>
    <definedName name="\s" localSheetId="1">#REF!</definedName>
    <definedName name="\s" localSheetId="0">#REF!</definedName>
    <definedName name="\s">#REF!</definedName>
    <definedName name="\w" localSheetId="1">#REF!</definedName>
    <definedName name="\w" localSheetId="0">#REF!</definedName>
    <definedName name="\w">#REF!</definedName>
    <definedName name="\z" localSheetId="1">#REF!</definedName>
    <definedName name="\z" localSheetId="0">#REF!</definedName>
    <definedName name="\z">#REF!</definedName>
    <definedName name="_alt2" localSheetId="1">[1]area!#REF!</definedName>
    <definedName name="_alt2" localSheetId="0">[1]area!#REF!</definedName>
    <definedName name="_alt2">[1]area!#REF!</definedName>
    <definedName name="_Msg1">'[2]Draw Details'!$HL$1037</definedName>
    <definedName name="_test_this" localSheetId="1">#REF!</definedName>
    <definedName name="_test_this" localSheetId="0">#REF!</definedName>
    <definedName name="_test_this">#REF!</definedName>
    <definedName name="Act_Typ">[3]Dropdowns!$B$142:$B$145</definedName>
    <definedName name="Activity_Type">[3]Dropdowns!$B$127:$B$130</definedName>
    <definedName name="Actual_or_Percent">[4]Dropdowns!$B$175:$B$177</definedName>
    <definedName name="Adv">'[5]Work Order'!$A$12</definedName>
    <definedName name="AMIs">[4]Dropdowns!$B$92:$B$102</definedName>
    <definedName name="asdasdf" localSheetId="1">'[6]GC Detail'!#REF!</definedName>
    <definedName name="asdasdf" localSheetId="0">'[6]GC Detail'!#REF!</definedName>
    <definedName name="asdasdf">'[6]GC Detail'!#REF!</definedName>
    <definedName name="BODY" localSheetId="1">#REF!</definedName>
    <definedName name="BODY" localSheetId="0">#REF!</definedName>
    <definedName name="BODY">#REF!</definedName>
    <definedName name="BondTC">'[7]Under the LIHTC Hood'!$D$62:$D$66</definedName>
    <definedName name="Building_Type">[3]Dropdowns!$B$116:$B$124</definedName>
    <definedName name="Built_For">[8]Under_the_Hood!$C$80:$C$83</definedName>
    <definedName name="CA_FEE_codes" localSheetId="1">#REF!</definedName>
    <definedName name="CA_FEE_codes" localSheetId="0">#REF!</definedName>
    <definedName name="CA_FEE_codes">#REF!</definedName>
    <definedName name="CD" localSheetId="1">#REF!</definedName>
    <definedName name="CD" localSheetId="0">#REF!</definedName>
    <definedName name="CD">#REF!</definedName>
    <definedName name="CH" localSheetId="1">#REF!</definedName>
    <definedName name="CH" localSheetId="0">#REF!</definedName>
    <definedName name="CH">#REF!</definedName>
    <definedName name="CM" localSheetId="1">#REF!</definedName>
    <definedName name="CM" localSheetId="0">#REF!</definedName>
    <definedName name="CM">#REF!</definedName>
    <definedName name="Counties">'[7]Under the LIHTC Hood'!$D$2:$D$40</definedName>
    <definedName name="CRIT" localSheetId="1">#REF!</definedName>
    <definedName name="CRIT" localSheetId="0">#REF!</definedName>
    <definedName name="CRIT">#REF!</definedName>
    <definedName name="_xlnm.Criteria" localSheetId="1">#REF!</definedName>
    <definedName name="_xlnm.Criteria" localSheetId="0">#REF!</definedName>
    <definedName name="_xlnm.Criteria">#REF!</definedName>
    <definedName name="Criteria_MI" localSheetId="1">#REF!</definedName>
    <definedName name="Criteria_MI" localSheetId="0">#REF!</definedName>
    <definedName name="Criteria_MI">#REF!</definedName>
    <definedName name="Current_HardCost_Adjustments">[9]PSTR!$E$13:$E$20</definedName>
    <definedName name="Current_HardDraw">[9]PSTR!$H$13:$H$20</definedName>
    <definedName name="Current_Interest_Adjustments">[9]PSTR!$E$62:$E$66</definedName>
    <definedName name="Current_InterestDraw">[9]PSTR!$H$62:$H$66</definedName>
    <definedName name="Current_LandCost_Adjustments">[9]PSTR!$E$9:$E$10</definedName>
    <definedName name="Current_LandDraw">[9]PSTR!$H$9:$H$10</definedName>
    <definedName name="Current_SoftCost_Adjustments">[9]PSTR!$E$23:$E$59</definedName>
    <definedName name="Current_SoftDraw">[9]PSTR!$H$23:$H$59</definedName>
    <definedName name="Database_MI" localSheetId="1">#REF!</definedName>
    <definedName name="Database_MI" localSheetId="0">#REF!</definedName>
    <definedName name="Database_MI">#REF!</definedName>
    <definedName name="day" localSheetId="1">#REF!</definedName>
    <definedName name="day" localSheetId="0">#REF!</definedName>
    <definedName name="day">#REF!</definedName>
    <definedName name="Debt_Type">[4]Dropdowns!$B$56:$B$58</definedName>
    <definedName name="DevB1" localSheetId="0">'[12]Cost variations'!$C$10:$F$158</definedName>
    <definedName name="DevB1">#REF!</definedName>
    <definedName name="DevB1Sub" localSheetId="0">'[12]Cost variations'!$D$11:$F$158</definedName>
    <definedName name="DevB1Sub">#REF!</definedName>
    <definedName name="DevB2" localSheetId="0">[12]DevelopmentBudget2!$C$10:$F$158</definedName>
    <definedName name="DevB2">#REF!</definedName>
    <definedName name="DevB2Sub" localSheetId="0">[12]DevelopmentBudget2!$D$11:$F$156</definedName>
    <definedName name="DevB2Sub">#REF!</definedName>
    <definedName name="DevB3" localSheetId="0">[12]DevelopmentBudget3!$C$31:$G$169</definedName>
    <definedName name="DevB3">#REF!</definedName>
    <definedName name="DevB3Sub" localSheetId="0">[12]DevelopmentBudget3!$D$33:$G$167</definedName>
    <definedName name="DevB3Sub">#REF!</definedName>
    <definedName name="DevFees">'[7]Under the LIHTC Hood'!$D$70:$D$75</definedName>
    <definedName name="Dont" localSheetId="1">#REF!</definedName>
    <definedName name="Dont" localSheetId="0">#REF!</definedName>
    <definedName name="Dont">#REF!</definedName>
    <definedName name="ELE" localSheetId="1">#REF!</definedName>
    <definedName name="ELE" localSheetId="0">#REF!</definedName>
    <definedName name="ELE">#REF!</definedName>
    <definedName name="eligible_tribes">[8]LIHTC_ScoringLists!$B$201:$B$214</definedName>
    <definedName name="Enable">[3]Dropdowns!$B$110:$B$110</definedName>
    <definedName name="EXC" localSheetId="1">#REF!</definedName>
    <definedName name="EXC" localSheetId="0">#REF!</definedName>
    <definedName name="EXC">#REF!</definedName>
    <definedName name="EXT" localSheetId="1">#REF!</definedName>
    <definedName name="EXT" localSheetId="0">#REF!</definedName>
    <definedName name="EXT">#REF!</definedName>
    <definedName name="_xlnm.Extract" localSheetId="1">#REF!</definedName>
    <definedName name="_xlnm.Extract" localSheetId="0">#REF!</definedName>
    <definedName name="_xlnm.Extract">#REF!</definedName>
    <definedName name="Extract_MI" localSheetId="1">#REF!</definedName>
    <definedName name="Extract_MI" localSheetId="0">#REF!</definedName>
    <definedName name="Extract_MI">#REF!</definedName>
    <definedName name="federal_funding_sources">[8]LIHTC_ScoringLists!$B$171:$B$177</definedName>
    <definedName name="FEE_CODES___DEFINITIONS___GL" localSheetId="1">#REF!</definedName>
    <definedName name="FEE_CODES___DEFINITIONS___GL" localSheetId="0">#REF!</definedName>
    <definedName name="FEE_CODES___DEFINITIONS___GL">#REF!</definedName>
    <definedName name="FivePoints">'[7]ESDS-UnderTheHood'!$J$2:$J$3</definedName>
    <definedName name="FourPoints">'[7]ESDS-UnderTheHood'!$R$2:$R$3</definedName>
    <definedName name="FourSixEight">'[7]ESDS-UnderTheHood'!$N$9:$N$12</definedName>
    <definedName name="Fund_Source">[4]Dropdowns!$B$153:$B$167</definedName>
    <definedName name="FunderType">'[7]Under the Hood'!$C$15:$C$17</definedName>
    <definedName name="FundingType">'[7]Under the Hood'!$C$9:$C$11</definedName>
    <definedName name="G_or_L">[4]Dropdowns!$E$51:$E$53</definedName>
    <definedName name="GC" localSheetId="1">#REF!</definedName>
    <definedName name="GC" localSheetId="0">#REF!</definedName>
    <definedName name="GC">#REF!</definedName>
    <definedName name="GL_Numbers" localSheetId="1">#REF!</definedName>
    <definedName name="GL_Numbers" localSheetId="0">#REF!</definedName>
    <definedName name="GL_Numbers">#REF!</definedName>
    <definedName name="HalfToFive">'[7]ESDS-UnderTheHood'!$B$16:$B$26</definedName>
    <definedName name="HalfToTen">'[7]ESDS-UnderTheHood'!$B$29:$B$49</definedName>
    <definedName name="higher_income">[8]LIHTC_ScoringLists!$B$2:$B$16</definedName>
    <definedName name="Historic">[8]LIHTC_ScoringLists!$B$197:$B$199</definedName>
    <definedName name="Homeless75">[8]LIHTC_ScoringLists!$B$126:$B$127</definedName>
    <definedName name="HomelessFW">'[7]Under the LIHTC Hood'!$D$50:$D$52</definedName>
    <definedName name="i" localSheetId="1">#REF!</definedName>
    <definedName name="i" localSheetId="0">#REF!</definedName>
    <definedName name="i">#REF!</definedName>
    <definedName name="ID_of_Interest">[8]Under_the_Hood!$C$73:$C$74</definedName>
    <definedName name="in_within">[8]LIHTC_ScoringLists!$B$225:$B$229</definedName>
    <definedName name="Inc_Higher">[8]LIHTC_ScoringLists!$B$18:$B$38</definedName>
    <definedName name="Inc_Lower">[8]LIHTC_ScoringLists!$B$69:$B$89</definedName>
    <definedName name="Inc_percent">'[3]ScoringLists (9%)'!$B$85:$B$94</definedName>
    <definedName name="INSERT" localSheetId="1">#REF!</definedName>
    <definedName name="INSERT" localSheetId="0">#REF!</definedName>
    <definedName name="INSERT">#REF!</definedName>
    <definedName name="INT" localSheetId="1">#REF!</definedName>
    <definedName name="INT" localSheetId="0">#REF!</definedName>
    <definedName name="INT">#REF!</definedName>
    <definedName name="Inv">'[5]Work Order'!$A$39</definedName>
    <definedName name="Is" localSheetId="1">#REF!</definedName>
    <definedName name="Is" localSheetId="0">#REF!</definedName>
    <definedName name="Is">#REF!</definedName>
    <definedName name="job_centers">[8]LIHTC_ScoringLists!$B$231:$B$280</definedName>
    <definedName name="KC_HTF">[8]LIHTC_ScoringLists!$B$179:$B$181</definedName>
    <definedName name="KC_only">[8]LIHTC_ScoringLists!$B$221:$B$223</definedName>
    <definedName name="KC_OppArea">'[3]ScoringLists (9%)'!$B$237:$B$240</definedName>
    <definedName name="LC_GL_" localSheetId="1">#REF!</definedName>
    <definedName name="LC_GL_" localSheetId="0">#REF!</definedName>
    <definedName name="LC_GL_">#REF!</definedName>
    <definedName name="LD" localSheetId="1">#REF!</definedName>
    <definedName name="LD" localSheetId="0">#REF!</definedName>
    <definedName name="LD">#REF!</definedName>
    <definedName name="Leveraging_Points">'[3]ScoringLists (9%)'!$B$147:$B$159</definedName>
    <definedName name="LH" localSheetId="1">#REF!</definedName>
    <definedName name="LH" localSheetId="0">#REF!</definedName>
    <definedName name="LH">#REF!</definedName>
    <definedName name="LIHTCAMI">'[7]Under the LIHTC Hood'!$D$90:$D$93</definedName>
    <definedName name="LM" localSheetId="1">#REF!</definedName>
    <definedName name="LM" localSheetId="0">#REF!</definedName>
    <definedName name="LM">#REF!</definedName>
    <definedName name="local_funding_counties">[8]LIHTC_ScoringLists!$B$140:$B$147</definedName>
    <definedName name="location_eff">[8]LIHTC_ScoringLists!$B$216:$B$219</definedName>
    <definedName name="Location_eff_4percent">'[3]ScoringLists (4%)'!$B$74:$B$76</definedName>
    <definedName name="lower_income">[8]LIHTC_ScoringLists!$B$40:$B$67</definedName>
    <definedName name="MandCheck">'[7]ESDS-UnderTheHood'!$B$2:$B$4</definedName>
    <definedName name="MandOr5">'[7]ESDS-UnderTheHood'!$L$2:$L$5</definedName>
    <definedName name="MEC" localSheetId="1">#REF!</definedName>
    <definedName name="MEC" localSheetId="0">#REF!</definedName>
    <definedName name="MEC">#REF!</definedName>
    <definedName name="mo" localSheetId="1">#REF!</definedName>
    <definedName name="mo" localSheetId="0">#REF!</definedName>
    <definedName name="mo">#REF!</definedName>
    <definedName name="NAME" localSheetId="1">#REF!</definedName>
    <definedName name="NAME" localSheetId="0">#REF!</definedName>
    <definedName name="NAME">#REF!</definedName>
    <definedName name="Non_LIH_Units">[4]Dropdowns!$B$87:$B$89</definedName>
    <definedName name="NonRes_FundSource">[4]Dropdowns!$E$153:$E$168</definedName>
    <definedName name="NPSponsor">[8]LIHTC_ScoringLists!$B$282:$B$285</definedName>
    <definedName name="nsf" localSheetId="1">'[6]GC Detail'!#REF!</definedName>
    <definedName name="nsf" localSheetId="0">'[6]GC Detail'!#REF!</definedName>
    <definedName name="nsf">'[6]GC Detail'!#REF!</definedName>
    <definedName name="OD" localSheetId="1">#REF!</definedName>
    <definedName name="OD" localSheetId="0">#REF!</definedName>
    <definedName name="OD">#REF!</definedName>
    <definedName name="OH" localSheetId="1">#REF!</definedName>
    <definedName name="OH" localSheetId="0">#REF!</definedName>
    <definedName name="OH">#REF!</definedName>
    <definedName name="OM" localSheetId="1">#REF!</definedName>
    <definedName name="OM" localSheetId="0">#REF!</definedName>
    <definedName name="OM">#REF!</definedName>
    <definedName name="OnePoint">'[7]ESDS-UnderTheHood'!$D$16:$D$17</definedName>
    <definedName name="OneToFive">'[7]ESDS-UnderTheHood'!$F$2:$F$7</definedName>
    <definedName name="OneToSix">'[7]ESDS-UnderTheHood'!$L$9:$L$15</definedName>
    <definedName name="OneToTen">'[7]ESDS-UnderTheHood'!$F$16:$F$26</definedName>
    <definedName name="OneTwoFourSix">'[7]ESDS-UnderTheHood'!$J$9:$J$13</definedName>
    <definedName name="OnSite_OffSite">[4]Dropdowns!$B$170:$B$172</definedName>
    <definedName name="OnTime_OnBudget">[3]Dropdowns!$B$147:$B$151</definedName>
    <definedName name="Points1to3">'[7]ESDS-UnderTheHood'!$D$2:$D$5</definedName>
    <definedName name="Population_Types">[10]UnderTheHood!$C$2:$C$19</definedName>
    <definedName name="Previous_HardCost_Adjustments">[9]PSTR!$D$13:$D$20</definedName>
    <definedName name="Previous_HardDraw">[9]PSTR!$G$13:$G$20</definedName>
    <definedName name="Previous_Interest_Adjustments">[9]PSTR!$D$62:$D$66</definedName>
    <definedName name="Previous_InterestDraw">[9]PSTR!$G$62:$G$66</definedName>
    <definedName name="Previous_LandCost_Adjustments">[9]PSTR!$D$9:$D$10</definedName>
    <definedName name="Previous_LandDraw">[9]PSTR!$G$9:$G$10</definedName>
    <definedName name="Previous_SoftCost_Adjustments">[9]PSTR!$D$23:$D$59</definedName>
    <definedName name="Previous_SoftDraw">[9]PSTR!$G$23:$G$59</definedName>
    <definedName name="Print_Area_MI" localSheetId="1">#REF!</definedName>
    <definedName name="Print_Area_MI" localSheetId="0">#REF!</definedName>
    <definedName name="Print_Area_MI">#REF!</definedName>
    <definedName name="Print_Titles_MI" localSheetId="1">#REF!</definedName>
    <definedName name="Print_Titles_MI" localSheetId="0">#REF!</definedName>
    <definedName name="Print_Titles_MI">#REF!</definedName>
    <definedName name="Project_Status">[3]Dropdowns!$B$132:$B$136</definedName>
    <definedName name="Project_Type">[3]Dropdowns!$B$138:$B$140</definedName>
    <definedName name="ProMetrics" localSheetId="0">'[12]Factor contribution calc'!$B$4:$O$14</definedName>
    <definedName name="ProMetrics">#REF!</definedName>
    <definedName name="PSORTED" localSheetId="1">#REF!</definedName>
    <definedName name="PSORTED" localSheetId="0">#REF!</definedName>
    <definedName name="PSORTED">#REF!</definedName>
    <definedName name="Pymts">'[5]Work Order'!$A$41:$A$44</definedName>
    <definedName name="q">'[6]GC Detail'!#REF!</definedName>
    <definedName name="RBORDER" localSheetId="1">#REF!</definedName>
    <definedName name="RBORDER" localSheetId="0">#REF!</definedName>
    <definedName name="RBORDER">#REF!</definedName>
    <definedName name="really" localSheetId="1">#REF!</definedName>
    <definedName name="really" localSheetId="0">#REF!</definedName>
    <definedName name="really">#REF!</definedName>
    <definedName name="Region">'[3]ESDS-Lookup Table'!$A$2:$A$4</definedName>
    <definedName name="Relo_Units">[3]Dropdowns!$E$68:$E$75</definedName>
    <definedName name="RELOC" localSheetId="1">#REF!</definedName>
    <definedName name="RELOC" localSheetId="0">#REF!</definedName>
    <definedName name="RELOC">#REF!</definedName>
    <definedName name="Res_Type">[3]Dropdowns!$B$40:$B$44</definedName>
    <definedName name="row" localSheetId="1">#REF!</definedName>
    <definedName name="row" localSheetId="0">#REF!</definedName>
    <definedName name="row">#REF!</definedName>
    <definedName name="rsf" localSheetId="1">'[6]GC Detail'!#REF!</definedName>
    <definedName name="rsf" localSheetId="0">'[6]GC Detail'!#REF!</definedName>
    <definedName name="rsf">'[6]GC Detail'!#REF!</definedName>
    <definedName name="sadasd" localSheetId="1">#REF!</definedName>
    <definedName name="sadasd" localSheetId="0">#REF!</definedName>
    <definedName name="sadasd">#REF!</definedName>
    <definedName name="SBODY" localSheetId="1">#REF!</definedName>
    <definedName name="SBODY" localSheetId="0">#REF!</definedName>
    <definedName name="SBODY">#REF!</definedName>
    <definedName name="sdsd" localSheetId="1">#REF!</definedName>
    <definedName name="sdsd" localSheetId="0">#REF!</definedName>
    <definedName name="sdsd">#REF!</definedName>
    <definedName name="SevenPoints">'[7]ESDS-UnderTheHood'!$F$29:$F$30</definedName>
    <definedName name="SeventeenPoints">'[7]ESDS-UnderTheHood'!$P$2:$P$3</definedName>
    <definedName name="SF" localSheetId="1">#REF!</definedName>
    <definedName name="SF" localSheetId="0">#REF!</definedName>
    <definedName name="SF">#REF!</definedName>
    <definedName name="SITE" localSheetId="1">#REF!</definedName>
    <definedName name="SITE" localSheetId="0">#REF!</definedName>
    <definedName name="SITE">#REF!</definedName>
    <definedName name="SORTED" localSheetId="1">#REF!</definedName>
    <definedName name="SORTED" localSheetId="0">#REF!</definedName>
    <definedName name="SORTED">#REF!</definedName>
    <definedName name="Spanner_Auto_File">"m:\cadd\uwsuzz2\mockups\roomfin6.x2a"</definedName>
    <definedName name="SPE" localSheetId="1">#REF!</definedName>
    <definedName name="SPE" localSheetId="0">#REF!</definedName>
    <definedName name="SPE">#REF!</definedName>
    <definedName name="SPEC" localSheetId="1">#REF!</definedName>
    <definedName name="SPEC" localSheetId="0">#REF!</definedName>
    <definedName name="SPEC">#REF!</definedName>
    <definedName name="Spec_Needs">[8]Under_the_Hood!$C$53:$C$65</definedName>
    <definedName name="SpecNeeds">'[7]Under the LIHTC Hood'!$D$55:$D$60</definedName>
    <definedName name="SpecNeeds20">[8]LIHTC_ScoringLists!$B$130:$B$138</definedName>
    <definedName name="STAFF" localSheetId="1">#REF!</definedName>
    <definedName name="STAFF" localSheetId="0">#REF!</definedName>
    <definedName name="STAFF">#REF!</definedName>
    <definedName name="START" localSheetId="1">#REF!</definedName>
    <definedName name="START" localSheetId="0">#REF!</definedName>
    <definedName name="START">#REF!</definedName>
    <definedName name="START2" localSheetId="1">#REF!</definedName>
    <definedName name="START2" localSheetId="0">#REF!</definedName>
    <definedName name="START2">#REF!</definedName>
    <definedName name="STARTSOR" localSheetId="1">#REF!</definedName>
    <definedName name="STARTSOR" localSheetId="0">#REF!</definedName>
    <definedName name="STARTSOR">#REF!</definedName>
    <definedName name="stop" localSheetId="1">#REF!</definedName>
    <definedName name="stop" localSheetId="0">#REF!</definedName>
    <definedName name="stop">#REF!</definedName>
    <definedName name="STR" localSheetId="1">#REF!</definedName>
    <definedName name="STR" localSheetId="0">#REF!</definedName>
    <definedName name="STR">#REF!</definedName>
    <definedName name="SUMMARY" localSheetId="1">#REF!</definedName>
    <definedName name="SUMMARY" localSheetId="0">#REF!</definedName>
    <definedName name="SUMMARY">#REF!</definedName>
    <definedName name="SYS" localSheetId="1">#REF!</definedName>
    <definedName name="SYS" localSheetId="0">#REF!</definedName>
    <definedName name="SYS">#REF!</definedName>
    <definedName name="SYSTEM" localSheetId="1">#REF!</definedName>
    <definedName name="SYSTEM" localSheetId="0">#REF!</definedName>
    <definedName name="SYSTEM">#REF!</definedName>
    <definedName name="table">'[11]Draw Summary'!$HM$1001:$IV$1011</definedName>
    <definedName name="TAKEOFF" localSheetId="1">#REF!</definedName>
    <definedName name="TAKEOFF" localSheetId="0">#REF!</definedName>
    <definedName name="TAKEOFF">#REF!</definedName>
    <definedName name="TargetedArea">'[7]Under the LIHTC Hood'!$D$83:$D$86</definedName>
    <definedName name="TDC_limit">'[3]ScoringLists (9%)'!$B$309:$B$313</definedName>
    <definedName name="TenPoints">'[7]ESDS-UnderTheHood'!$F$9:$F$10</definedName>
    <definedName name="This" localSheetId="1">#REF!</definedName>
    <definedName name="This" localSheetId="0">#REF!</definedName>
    <definedName name="This">#REF!</definedName>
    <definedName name="ThreeOrFive">'[7]ESDS-UnderTheHood'!$B$9:$B$11</definedName>
    <definedName name="ThreeOrSeven">'[7]ESDS-UnderTheHood'!$P$9:$P$11</definedName>
    <definedName name="ThreePoints">'[7]ESDS-UnderTheHood'!$H$9:$H$10</definedName>
    <definedName name="TITLE" localSheetId="1">#REF!</definedName>
    <definedName name="TITLE" localSheetId="0">#REF!</definedName>
    <definedName name="TITLE">#REF!</definedName>
    <definedName name="TwoFiveSeven">'[7]ESDS-UnderTheHood'!$N$2:$N$5</definedName>
    <definedName name="TwoFourSixEight">'[7]ESDS-UnderTheHood'!$D$29:$D$33</definedName>
    <definedName name="TwoPoints">'[7]ESDS-UnderTheHood'!$H$2:$H$3</definedName>
    <definedName name="TwoThreeFive">'[7]ESDS-UnderTheHood'!$H$16:$H$19</definedName>
    <definedName name="TwoTo7">'[7]ESDS-UnderTheHood'!$D$9:$D$13</definedName>
    <definedName name="Type">'[3]ESDS-Lookup Table'!$B$2:$B$5</definedName>
    <definedName name="UnitAMI">'[7]Under the Hood'!$C$36:$C$40</definedName>
    <definedName name="Units_and_Beds">[4]Dropdowns!$B$77:$B$85</definedName>
    <definedName name="Units_or_Beds">[3]Dropdowns!$B$46:$B$48</definedName>
    <definedName name="VER" localSheetId="1">#REF!</definedName>
    <definedName name="VER" localSheetId="0">#REF!</definedName>
    <definedName name="VER">#REF!</definedName>
    <definedName name="What" localSheetId="1">#REF!</definedName>
    <definedName name="What" localSheetId="0">#REF!</definedName>
    <definedName name="What">#REF!</definedName>
    <definedName name="WPF" localSheetId="1">#REF!</definedName>
    <definedName name="WPF" localSheetId="0">#REF!</definedName>
    <definedName name="WPF">#REF!</definedName>
    <definedName name="Years">[8]LIHTC_ScoringLists!$B$102:$B$124</definedName>
    <definedName name="Yes_No_Either">[3]Dropdowns!$B$30:$B$33</definedName>
    <definedName name="Yes_or_No">'[7]Under the Hood'!$C$42:$C$44</definedName>
    <definedName name="YesNoBonus">'[7]Under the LIHTC Hood'!$D$87:$D$88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2" i="29" l="1"/>
  <c r="N262" i="29"/>
  <c r="M262" i="29"/>
  <c r="L262" i="29"/>
  <c r="I262" i="29"/>
  <c r="H262" i="29"/>
  <c r="G262" i="29"/>
  <c r="F262" i="29"/>
  <c r="O261" i="29"/>
  <c r="O260" i="29"/>
  <c r="O259" i="29"/>
  <c r="O258" i="29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O245" i="29"/>
  <c r="O244" i="29"/>
  <c r="O243" i="29"/>
  <c r="O242" i="29"/>
  <c r="O241" i="29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O228" i="29"/>
  <c r="O227" i="29"/>
  <c r="O226" i="29"/>
  <c r="O225" i="29"/>
  <c r="O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O208" i="29"/>
  <c r="O207" i="29"/>
  <c r="O206" i="29"/>
  <c r="O205" i="29"/>
  <c r="O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191" i="29"/>
  <c r="O190" i="29"/>
  <c r="O189" i="29"/>
  <c r="O188" i="29"/>
  <c r="O187" i="29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O174" i="29"/>
  <c r="O173" i="29"/>
  <c r="O172" i="29"/>
  <c r="O171" i="29"/>
  <c r="O170" i="29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O157" i="29"/>
  <c r="O156" i="29"/>
  <c r="O155" i="29"/>
  <c r="O154" i="29"/>
  <c r="O153" i="29"/>
  <c r="O152" i="29"/>
  <c r="Y149" i="29"/>
  <c r="Y148" i="29"/>
  <c r="Y147" i="29"/>
  <c r="Y146" i="29"/>
  <c r="Y145" i="29"/>
  <c r="Y144" i="29"/>
  <c r="Y143" i="29"/>
  <c r="Y142" i="29"/>
  <c r="Y141" i="29"/>
  <c r="Y140" i="29"/>
  <c r="Y139" i="29"/>
  <c r="Y138" i="29"/>
  <c r="T138" i="29"/>
  <c r="R138" i="29"/>
  <c r="P138" i="29"/>
  <c r="L138" i="29"/>
  <c r="N138" i="29" s="1"/>
  <c r="J138" i="29"/>
  <c r="H138" i="29"/>
  <c r="Y137" i="29"/>
  <c r="T137" i="29"/>
  <c r="R137" i="29"/>
  <c r="P137" i="29"/>
  <c r="L137" i="29"/>
  <c r="N137" i="29" s="1"/>
  <c r="J137" i="29"/>
  <c r="H137" i="29"/>
  <c r="Y136" i="29"/>
  <c r="T136" i="29"/>
  <c r="R136" i="29"/>
  <c r="P136" i="29"/>
  <c r="L136" i="29"/>
  <c r="N136" i="29" s="1"/>
  <c r="J136" i="29"/>
  <c r="H136" i="29"/>
  <c r="Y135" i="29"/>
  <c r="T135" i="29"/>
  <c r="R135" i="29"/>
  <c r="P135" i="29"/>
  <c r="L135" i="29"/>
  <c r="N135" i="29" s="1"/>
  <c r="J135" i="29"/>
  <c r="H135" i="29"/>
  <c r="Y134" i="29"/>
  <c r="T134" i="29"/>
  <c r="R134" i="29"/>
  <c r="P134" i="29"/>
  <c r="L134" i="29"/>
  <c r="N134" i="29" s="1"/>
  <c r="J134" i="29"/>
  <c r="H134" i="29"/>
  <c r="Y133" i="29"/>
  <c r="T133" i="29"/>
  <c r="R133" i="29"/>
  <c r="P133" i="29"/>
  <c r="N133" i="29"/>
  <c r="L133" i="29"/>
  <c r="J133" i="29"/>
  <c r="H133" i="29"/>
  <c r="Y132" i="29"/>
  <c r="T132" i="29"/>
  <c r="R132" i="29"/>
  <c r="P132" i="29"/>
  <c r="N132" i="29"/>
  <c r="L132" i="29"/>
  <c r="J132" i="29"/>
  <c r="H132" i="29"/>
  <c r="Y131" i="29"/>
  <c r="T131" i="29"/>
  <c r="R131" i="29"/>
  <c r="P131" i="29"/>
  <c r="N131" i="29"/>
  <c r="L131" i="29"/>
  <c r="J131" i="29"/>
  <c r="H131" i="29"/>
  <c r="Y130" i="29"/>
  <c r="T130" i="29"/>
  <c r="R130" i="29"/>
  <c r="P130" i="29"/>
  <c r="N130" i="29"/>
  <c r="L130" i="29"/>
  <c r="J130" i="29"/>
  <c r="H130" i="29"/>
  <c r="Y129" i="29"/>
  <c r="T129" i="29"/>
  <c r="R129" i="29"/>
  <c r="P129" i="29"/>
  <c r="N129" i="29"/>
  <c r="L129" i="29"/>
  <c r="J129" i="29"/>
  <c r="H129" i="29"/>
  <c r="Y128" i="29"/>
  <c r="T128" i="29"/>
  <c r="R128" i="29"/>
  <c r="P128" i="29"/>
  <c r="N128" i="29"/>
  <c r="L128" i="29"/>
  <c r="J128" i="29"/>
  <c r="H128" i="29"/>
  <c r="Y127" i="29"/>
  <c r="T127" i="29"/>
  <c r="R127" i="29"/>
  <c r="P127" i="29"/>
  <c r="N127" i="29"/>
  <c r="L127" i="29"/>
  <c r="J127" i="29"/>
  <c r="H127" i="29"/>
  <c r="Y126" i="29"/>
  <c r="T126" i="29"/>
  <c r="R126" i="29"/>
  <c r="P126" i="29"/>
  <c r="N126" i="29"/>
  <c r="L126" i="29"/>
  <c r="J126" i="29"/>
  <c r="H126" i="29"/>
  <c r="Y125" i="29"/>
  <c r="T125" i="29"/>
  <c r="R125" i="29"/>
  <c r="P125" i="29"/>
  <c r="L125" i="29"/>
  <c r="N125" i="29" s="1"/>
  <c r="J125" i="29"/>
  <c r="H125" i="29"/>
  <c r="Y124" i="29"/>
  <c r="R124" i="29"/>
  <c r="P124" i="29"/>
  <c r="L124" i="29"/>
  <c r="N124" i="29" s="1"/>
  <c r="T124" i="29" s="1"/>
  <c r="J124" i="29"/>
  <c r="H124" i="29"/>
  <c r="Y123" i="29"/>
  <c r="T123" i="29"/>
  <c r="T122" i="29" s="1"/>
  <c r="R123" i="29"/>
  <c r="P123" i="29"/>
  <c r="L123" i="29"/>
  <c r="N123" i="29" s="1"/>
  <c r="J123" i="29"/>
  <c r="H123" i="29"/>
  <c r="Y122" i="29"/>
  <c r="R122" i="29"/>
  <c r="P122" i="29"/>
  <c r="J122" i="29"/>
  <c r="H122" i="29"/>
  <c r="Y121" i="29"/>
  <c r="R121" i="29"/>
  <c r="P121" i="29"/>
  <c r="H121" i="29"/>
  <c r="Y120" i="29"/>
  <c r="T120" i="29"/>
  <c r="R120" i="29"/>
  <c r="P120" i="29"/>
  <c r="L120" i="29"/>
  <c r="N120" i="29" s="1"/>
  <c r="J120" i="29"/>
  <c r="H120" i="29"/>
  <c r="Y119" i="29"/>
  <c r="T119" i="29"/>
  <c r="R119" i="29"/>
  <c r="P119" i="29"/>
  <c r="N119" i="29"/>
  <c r="L119" i="29"/>
  <c r="J119" i="29"/>
  <c r="H119" i="29"/>
  <c r="Y118" i="29"/>
  <c r="T118" i="29"/>
  <c r="R118" i="29"/>
  <c r="P118" i="29"/>
  <c r="N118" i="29"/>
  <c r="L118" i="29"/>
  <c r="J118" i="29"/>
  <c r="H118" i="29"/>
  <c r="Y117" i="29"/>
  <c r="T117" i="29"/>
  <c r="R117" i="29"/>
  <c r="P117" i="29"/>
  <c r="N117" i="29"/>
  <c r="L117" i="29"/>
  <c r="J117" i="29"/>
  <c r="H117" i="29"/>
  <c r="Y116" i="29"/>
  <c r="T116" i="29"/>
  <c r="R116" i="29"/>
  <c r="P116" i="29"/>
  <c r="N116" i="29"/>
  <c r="L116" i="29"/>
  <c r="J116" i="29"/>
  <c r="H116" i="29"/>
  <c r="Y115" i="29"/>
  <c r="T115" i="29"/>
  <c r="R115" i="29"/>
  <c r="P115" i="29"/>
  <c r="N115" i="29"/>
  <c r="L115" i="29"/>
  <c r="J115" i="29"/>
  <c r="H115" i="29"/>
  <c r="Y114" i="29"/>
  <c r="T114" i="29"/>
  <c r="R114" i="29"/>
  <c r="P114" i="29"/>
  <c r="N114" i="29"/>
  <c r="L114" i="29"/>
  <c r="K114" i="29"/>
  <c r="J114" i="29"/>
  <c r="H114" i="29"/>
  <c r="Y113" i="29"/>
  <c r="T113" i="29"/>
  <c r="T112" i="29" s="1"/>
  <c r="R113" i="29"/>
  <c r="P113" i="29"/>
  <c r="N113" i="29"/>
  <c r="L113" i="29"/>
  <c r="L112" i="29" s="1"/>
  <c r="K113" i="29"/>
  <c r="J113" i="29"/>
  <c r="H113" i="29"/>
  <c r="Y112" i="29"/>
  <c r="R112" i="29"/>
  <c r="P112" i="29"/>
  <c r="N112" i="29"/>
  <c r="J112" i="29"/>
  <c r="Y111" i="29"/>
  <c r="R111" i="29"/>
  <c r="P111" i="29"/>
  <c r="N111" i="29"/>
  <c r="T111" i="29" s="1"/>
  <c r="H111" i="29"/>
  <c r="Y110" i="29"/>
  <c r="T110" i="29"/>
  <c r="R110" i="29"/>
  <c r="P110" i="29"/>
  <c r="N110" i="29"/>
  <c r="K110" i="29"/>
  <c r="L110" i="29" s="1"/>
  <c r="J110" i="29"/>
  <c r="H110" i="29"/>
  <c r="Y109" i="29"/>
  <c r="T109" i="29"/>
  <c r="R109" i="29"/>
  <c r="P109" i="29"/>
  <c r="N109" i="29"/>
  <c r="K109" i="29"/>
  <c r="L109" i="29" s="1"/>
  <c r="J109" i="29"/>
  <c r="H109" i="29"/>
  <c r="Y108" i="29"/>
  <c r="Y107" i="29"/>
  <c r="P103" i="29"/>
  <c r="H103" i="29"/>
  <c r="T102" i="29"/>
  <c r="R102" i="29"/>
  <c r="P102" i="29"/>
  <c r="N102" i="29"/>
  <c r="L102" i="29"/>
  <c r="J102" i="29"/>
  <c r="H102" i="29"/>
  <c r="T101" i="29"/>
  <c r="R101" i="29"/>
  <c r="P101" i="29"/>
  <c r="N101" i="29"/>
  <c r="L101" i="29"/>
  <c r="J101" i="29"/>
  <c r="H101" i="29"/>
  <c r="T100" i="29"/>
  <c r="R100" i="29"/>
  <c r="P100" i="29"/>
  <c r="N100" i="29"/>
  <c r="L100" i="29"/>
  <c r="J100" i="29"/>
  <c r="H100" i="29"/>
  <c r="T99" i="29"/>
  <c r="T96" i="29" s="1"/>
  <c r="R99" i="29"/>
  <c r="P99" i="29"/>
  <c r="N99" i="29"/>
  <c r="L99" i="29"/>
  <c r="L96" i="29" s="1"/>
  <c r="J99" i="29"/>
  <c r="H99" i="29"/>
  <c r="P96" i="29"/>
  <c r="N96" i="29"/>
  <c r="H96" i="29"/>
  <c r="T93" i="29"/>
  <c r="R93" i="29"/>
  <c r="P93" i="29"/>
  <c r="N93" i="29"/>
  <c r="L93" i="29"/>
  <c r="J93" i="29"/>
  <c r="H93" i="29"/>
  <c r="T92" i="29"/>
  <c r="R92" i="29"/>
  <c r="P92" i="29"/>
  <c r="N92" i="29"/>
  <c r="L92" i="29"/>
  <c r="J92" i="29"/>
  <c r="H92" i="29"/>
  <c r="Y90" i="29"/>
  <c r="R90" i="29"/>
  <c r="P90" i="29"/>
  <c r="L90" i="29"/>
  <c r="N90" i="29" s="1"/>
  <c r="T90" i="29" s="1"/>
  <c r="J90" i="29"/>
  <c r="H90" i="29"/>
  <c r="T89" i="29"/>
  <c r="T88" i="29" s="1"/>
  <c r="R89" i="29"/>
  <c r="P89" i="29"/>
  <c r="L89" i="29"/>
  <c r="N89" i="29" s="1"/>
  <c r="J89" i="29"/>
  <c r="H89" i="29"/>
  <c r="R88" i="29"/>
  <c r="P88" i="29"/>
  <c r="L88" i="29"/>
  <c r="J88" i="29"/>
  <c r="H88" i="29"/>
  <c r="T87" i="29"/>
  <c r="R87" i="29"/>
  <c r="P87" i="29"/>
  <c r="L87" i="29"/>
  <c r="N87" i="29" s="1"/>
  <c r="J87" i="29"/>
  <c r="H87" i="29"/>
  <c r="R86" i="29"/>
  <c r="P86" i="29"/>
  <c r="L86" i="29"/>
  <c r="N86" i="29" s="1"/>
  <c r="T86" i="29" s="1"/>
  <c r="J86" i="29"/>
  <c r="H86" i="29"/>
  <c r="T85" i="29"/>
  <c r="R85" i="29"/>
  <c r="P85" i="29"/>
  <c r="L85" i="29"/>
  <c r="N85" i="29" s="1"/>
  <c r="J85" i="29"/>
  <c r="H85" i="29"/>
  <c r="R84" i="29"/>
  <c r="P84" i="29"/>
  <c r="L84" i="29"/>
  <c r="N84" i="29" s="1"/>
  <c r="T84" i="29" s="1"/>
  <c r="J84" i="29"/>
  <c r="H84" i="29"/>
  <c r="Y83" i="29"/>
  <c r="R83" i="29"/>
  <c r="P83" i="29"/>
  <c r="L83" i="29"/>
  <c r="N83" i="29" s="1"/>
  <c r="J83" i="29"/>
  <c r="H83" i="29"/>
  <c r="Y82" i="29"/>
  <c r="R82" i="29"/>
  <c r="P82" i="29"/>
  <c r="L82" i="29"/>
  <c r="J82" i="29"/>
  <c r="H82" i="29"/>
  <c r="R81" i="29"/>
  <c r="P81" i="29"/>
  <c r="N81" i="29"/>
  <c r="L81" i="29"/>
  <c r="J81" i="29"/>
  <c r="H81" i="29"/>
  <c r="P77" i="29"/>
  <c r="R77" i="29" s="1"/>
  <c r="H77" i="29"/>
  <c r="J77" i="29" s="1"/>
  <c r="L77" i="29" s="1"/>
  <c r="N77" i="29" s="1"/>
  <c r="T77" i="29" s="1"/>
  <c r="Y76" i="29"/>
  <c r="P76" i="29"/>
  <c r="R76" i="29" s="1"/>
  <c r="H76" i="29"/>
  <c r="J76" i="29" s="1"/>
  <c r="L76" i="29" s="1"/>
  <c r="N76" i="29" s="1"/>
  <c r="T76" i="29" s="1"/>
  <c r="Y75" i="29"/>
  <c r="P75" i="29"/>
  <c r="R75" i="29" s="1"/>
  <c r="H75" i="29"/>
  <c r="J75" i="29" s="1"/>
  <c r="L75" i="29" s="1"/>
  <c r="N75" i="29" s="1"/>
  <c r="T75" i="29" s="1"/>
  <c r="Y74" i="29"/>
  <c r="P74" i="29"/>
  <c r="R74" i="29" s="1"/>
  <c r="H74" i="29"/>
  <c r="J74" i="29" s="1"/>
  <c r="L74" i="29" s="1"/>
  <c r="N74" i="29" s="1"/>
  <c r="T74" i="29" s="1"/>
  <c r="P73" i="29"/>
  <c r="R73" i="29" s="1"/>
  <c r="H73" i="29"/>
  <c r="J73" i="29" s="1"/>
  <c r="L73" i="29" s="1"/>
  <c r="N73" i="29" s="1"/>
  <c r="T73" i="29" s="1"/>
  <c r="P72" i="29"/>
  <c r="R72" i="29" s="1"/>
  <c r="H72" i="29"/>
  <c r="P71" i="29"/>
  <c r="R71" i="29" s="1"/>
  <c r="H71" i="29"/>
  <c r="P69" i="29"/>
  <c r="R69" i="29" s="1"/>
  <c r="H69" i="29"/>
  <c r="J69" i="29" s="1"/>
  <c r="T64" i="29"/>
  <c r="R64" i="29"/>
  <c r="P64" i="29"/>
  <c r="N64" i="29"/>
  <c r="L64" i="29"/>
  <c r="J64" i="29"/>
  <c r="H64" i="29"/>
  <c r="T63" i="29"/>
  <c r="R63" i="29"/>
  <c r="P63" i="29"/>
  <c r="N63" i="29"/>
  <c r="L63" i="29"/>
  <c r="J63" i="29"/>
  <c r="H63" i="29"/>
  <c r="T62" i="29"/>
  <c r="R62" i="29"/>
  <c r="P62" i="29"/>
  <c r="N62" i="29"/>
  <c r="L62" i="29"/>
  <c r="J62" i="29"/>
  <c r="H62" i="29"/>
  <c r="T61" i="29"/>
  <c r="R61" i="29"/>
  <c r="P61" i="29"/>
  <c r="N61" i="29"/>
  <c r="L61" i="29"/>
  <c r="J61" i="29"/>
  <c r="H61" i="29"/>
  <c r="T60" i="29"/>
  <c r="R60" i="29"/>
  <c r="P60" i="29"/>
  <c r="N60" i="29"/>
  <c r="L60" i="29"/>
  <c r="J60" i="29"/>
  <c r="H60" i="29"/>
  <c r="R51" i="29"/>
  <c r="P51" i="29"/>
  <c r="H51" i="29"/>
  <c r="R50" i="29"/>
  <c r="P50" i="29"/>
  <c r="H50" i="29"/>
  <c r="H49" i="29" s="1"/>
  <c r="R49" i="29"/>
  <c r="P49" i="29"/>
  <c r="R48" i="29"/>
  <c r="P48" i="29"/>
  <c r="H48" i="29"/>
  <c r="R47" i="29"/>
  <c r="P47" i="29"/>
  <c r="J47" i="29"/>
  <c r="L47" i="29" s="1"/>
  <c r="N47" i="29" s="1"/>
  <c r="T47" i="29" s="1"/>
  <c r="H47" i="29"/>
  <c r="P42" i="29"/>
  <c r="L42" i="29"/>
  <c r="J42" i="29"/>
  <c r="R40" i="29"/>
  <c r="R39" i="29"/>
  <c r="T37" i="29"/>
  <c r="P37" i="29"/>
  <c r="L37" i="29"/>
  <c r="J37" i="29"/>
  <c r="T35" i="29"/>
  <c r="R35" i="29"/>
  <c r="P35" i="29"/>
  <c r="N35" i="29"/>
  <c r="L35" i="29"/>
  <c r="J35" i="29"/>
  <c r="H35" i="29"/>
  <c r="P34" i="29"/>
  <c r="N34" i="29"/>
  <c r="L34" i="29"/>
  <c r="J34" i="29"/>
  <c r="L31" i="29"/>
  <c r="L121" i="29" s="1"/>
  <c r="J31" i="29"/>
  <c r="J121" i="29" s="1"/>
  <c r="J29" i="29"/>
  <c r="L29" i="29" s="1"/>
  <c r="N29" i="29" s="1"/>
  <c r="T29" i="29" s="1"/>
  <c r="T28" i="29"/>
  <c r="R28" i="29"/>
  <c r="P28" i="29"/>
  <c r="N28" i="29"/>
  <c r="L28" i="29"/>
  <c r="J28" i="29"/>
  <c r="H28" i="29"/>
  <c r="T23" i="29"/>
  <c r="R23" i="29"/>
  <c r="P23" i="29"/>
  <c r="N23" i="29"/>
  <c r="L23" i="29"/>
  <c r="J23" i="29"/>
  <c r="H23" i="29"/>
  <c r="W20" i="29"/>
  <c r="W22" i="29" s="1"/>
  <c r="W27" i="29" s="1"/>
  <c r="T20" i="29"/>
  <c r="T40" i="29" s="1"/>
  <c r="R20" i="29"/>
  <c r="P20" i="29"/>
  <c r="N20" i="29"/>
  <c r="L20" i="29"/>
  <c r="L40" i="29" s="1"/>
  <c r="J20" i="29"/>
  <c r="J40" i="29" s="1"/>
  <c r="H20" i="29"/>
  <c r="T13" i="29"/>
  <c r="T42" i="29" s="1"/>
  <c r="R13" i="29"/>
  <c r="R42" i="29" s="1"/>
  <c r="N13" i="29"/>
  <c r="N42" i="29" s="1"/>
  <c r="H13" i="29"/>
  <c r="H11" i="29"/>
  <c r="J4" i="29"/>
  <c r="J3" i="29"/>
  <c r="L3" i="29" s="1"/>
  <c r="N3" i="29" s="1"/>
  <c r="P3" i="29" s="1"/>
  <c r="R3" i="29" s="1"/>
  <c r="J2" i="29"/>
  <c r="L2" i="29" s="1"/>
  <c r="N2" i="29" l="1"/>
  <c r="L4" i="29"/>
  <c r="N82" i="29"/>
  <c r="T83" i="29"/>
  <c r="T82" i="29" s="1"/>
  <c r="T39" i="29"/>
  <c r="T36" i="29" s="1"/>
  <c r="Y40" i="29"/>
  <c r="Y38" i="29"/>
  <c r="J96" i="29"/>
  <c r="R96" i="29"/>
  <c r="Y89" i="29"/>
  <c r="Y86" i="29"/>
  <c r="N122" i="29"/>
  <c r="N40" i="29"/>
  <c r="N39" i="29"/>
  <c r="H37" i="29"/>
  <c r="H34" i="29"/>
  <c r="H40" i="29"/>
  <c r="H39" i="29"/>
  <c r="P40" i="29"/>
  <c r="P39" i="29"/>
  <c r="J57" i="29"/>
  <c r="T34" i="29"/>
  <c r="N37" i="29"/>
  <c r="N36" i="29" s="1"/>
  <c r="J39" i="29"/>
  <c r="J36" i="29" s="1"/>
  <c r="H42" i="29"/>
  <c r="J48" i="29"/>
  <c r="L48" i="29" s="1"/>
  <c r="N48" i="29" s="1"/>
  <c r="T48" i="29" s="1"/>
  <c r="J50" i="29"/>
  <c r="J51" i="29"/>
  <c r="L51" i="29" s="1"/>
  <c r="N51" i="29" s="1"/>
  <c r="T51" i="29" s="1"/>
  <c r="L69" i="29"/>
  <c r="J71" i="29"/>
  <c r="L71" i="29" s="1"/>
  <c r="N71" i="29" s="1"/>
  <c r="T71" i="29" s="1"/>
  <c r="Y65" i="29"/>
  <c r="Y66" i="29"/>
  <c r="J72" i="29"/>
  <c r="L72" i="29" s="1"/>
  <c r="N72" i="29" s="1"/>
  <c r="T72" i="29" s="1"/>
  <c r="Y79" i="29"/>
  <c r="N88" i="29"/>
  <c r="J111" i="29"/>
  <c r="L111" i="29" s="1"/>
  <c r="Y87" i="29"/>
  <c r="Y84" i="29"/>
  <c r="L122" i="29"/>
  <c r="O262" i="29"/>
  <c r="R37" i="29"/>
  <c r="R36" i="29" s="1"/>
  <c r="R34" i="29"/>
  <c r="N31" i="29"/>
  <c r="L39" i="29"/>
  <c r="L36" i="29" s="1"/>
  <c r="H112" i="29"/>
  <c r="Y102" i="29" s="1"/>
  <c r="Y91" i="29"/>
  <c r="Y92" i="29"/>
  <c r="Y99" i="29"/>
  <c r="Y100" i="29"/>
  <c r="T78" i="29" l="1"/>
  <c r="T70" i="29"/>
  <c r="T55" i="29"/>
  <c r="T54" i="29"/>
  <c r="T53" i="29"/>
  <c r="T104" i="29"/>
  <c r="T59" i="29"/>
  <c r="N55" i="29"/>
  <c r="N54" i="29"/>
  <c r="N53" i="29"/>
  <c r="N104" i="29"/>
  <c r="N78" i="29"/>
  <c r="N70" i="29"/>
  <c r="N59" i="29"/>
  <c r="H36" i="29"/>
  <c r="L78" i="29"/>
  <c r="L70" i="29"/>
  <c r="L55" i="29"/>
  <c r="L54" i="29"/>
  <c r="L53" i="29"/>
  <c r="L104" i="29"/>
  <c r="L59" i="29"/>
  <c r="L57" i="29"/>
  <c r="R104" i="29"/>
  <c r="R59" i="29"/>
  <c r="R78" i="29"/>
  <c r="R70" i="29"/>
  <c r="R68" i="29" s="1"/>
  <c r="R55" i="29"/>
  <c r="R54" i="29"/>
  <c r="R53" i="29"/>
  <c r="Y105" i="29"/>
  <c r="T57" i="29"/>
  <c r="T31" i="29"/>
  <c r="N121" i="29"/>
  <c r="T121" i="29" s="1"/>
  <c r="Y103" i="29"/>
  <c r="L68" i="29"/>
  <c r="N69" i="29"/>
  <c r="Y106" i="29"/>
  <c r="Y88" i="29"/>
  <c r="Y85" i="29"/>
  <c r="Y81" i="29"/>
  <c r="Y78" i="29"/>
  <c r="R57" i="29"/>
  <c r="L50" i="29"/>
  <c r="J49" i="29"/>
  <c r="N57" i="29"/>
  <c r="Y101" i="29"/>
  <c r="Y104" i="29"/>
  <c r="J104" i="29"/>
  <c r="J59" i="29"/>
  <c r="J78" i="29"/>
  <c r="J70" i="29"/>
  <c r="J68" i="29" s="1"/>
  <c r="J55" i="29"/>
  <c r="J54" i="29"/>
  <c r="J53" i="29"/>
  <c r="P36" i="29"/>
  <c r="H57" i="29"/>
  <c r="P2" i="29"/>
  <c r="N4" i="29"/>
  <c r="P104" i="29" l="1"/>
  <c r="P59" i="29"/>
  <c r="P55" i="29"/>
  <c r="P54" i="29"/>
  <c r="P53" i="29"/>
  <c r="P70" i="29"/>
  <c r="P68" i="29" s="1"/>
  <c r="P78" i="29"/>
  <c r="P57" i="29"/>
  <c r="P4" i="29"/>
  <c r="R2" i="29"/>
  <c r="R4" i="29" s="1"/>
  <c r="J58" i="29"/>
  <c r="J56" i="29" s="1"/>
  <c r="J52" i="29"/>
  <c r="N50" i="29"/>
  <c r="L49" i="29"/>
  <c r="T69" i="29"/>
  <c r="T68" i="29" s="1"/>
  <c r="N68" i="29"/>
  <c r="N52" i="29"/>
  <c r="R58" i="29"/>
  <c r="R52" i="29"/>
  <c r="R25" i="29" s="1"/>
  <c r="H104" i="29"/>
  <c r="H59" i="29"/>
  <c r="H78" i="29"/>
  <c r="H70" i="29"/>
  <c r="H55" i="29"/>
  <c r="H54" i="29"/>
  <c r="H53" i="29"/>
  <c r="T27" i="29"/>
  <c r="L52" i="29"/>
  <c r="L58" i="29"/>
  <c r="L56" i="29" s="1"/>
  <c r="T52" i="29"/>
  <c r="R26" i="29" l="1"/>
  <c r="Y30" i="29"/>
  <c r="J25" i="29"/>
  <c r="Y54" i="29"/>
  <c r="Y72" i="29"/>
  <c r="Y71" i="29"/>
  <c r="Y70" i="29"/>
  <c r="Y69" i="29"/>
  <c r="Y68" i="29"/>
  <c r="Y67" i="29"/>
  <c r="Y36" i="29"/>
  <c r="Y53" i="29"/>
  <c r="Y35" i="29"/>
  <c r="H58" i="29"/>
  <c r="H52" i="29"/>
  <c r="N49" i="29"/>
  <c r="T50" i="29"/>
  <c r="T49" i="29" s="1"/>
  <c r="Y64" i="29"/>
  <c r="H68" i="29"/>
  <c r="Y63" i="29"/>
  <c r="Y39" i="29"/>
  <c r="Y94" i="29"/>
  <c r="Y98" i="29"/>
  <c r="Y80" i="29"/>
  <c r="Y97" i="29"/>
  <c r="Y96" i="29"/>
  <c r="Y95" i="29"/>
  <c r="Y56" i="29"/>
  <c r="Y77" i="29"/>
  <c r="Y73" i="29"/>
  <c r="Y93" i="29"/>
  <c r="Y55" i="29"/>
  <c r="L25" i="29"/>
  <c r="P56" i="29"/>
  <c r="P58" i="29"/>
  <c r="P52" i="29"/>
  <c r="Y27" i="29"/>
  <c r="L26" i="29" l="1"/>
  <c r="Y52" i="29"/>
  <c r="Y34" i="29"/>
  <c r="Y51" i="29"/>
  <c r="H56" i="29"/>
  <c r="Y31" i="29"/>
  <c r="P25" i="29"/>
  <c r="T25" i="29"/>
  <c r="T26" i="29" s="1"/>
  <c r="T58" i="29"/>
  <c r="T56" i="29" s="1"/>
  <c r="Y62" i="29"/>
  <c r="Y59" i="29"/>
  <c r="Y61" i="29"/>
  <c r="Y58" i="29"/>
  <c r="Y37" i="29"/>
  <c r="Y60" i="29"/>
  <c r="Y57" i="29"/>
  <c r="Y33" i="29"/>
  <c r="N25" i="29"/>
  <c r="N58" i="29"/>
  <c r="J26" i="29"/>
  <c r="J5" i="29"/>
  <c r="L5" i="29" s="1"/>
  <c r="Y46" i="29"/>
  <c r="Y44" i="29"/>
  <c r="Y41" i="29"/>
  <c r="Y42" i="29"/>
  <c r="Y45" i="29"/>
  <c r="Y43" i="29"/>
  <c r="Y25" i="29"/>
  <c r="Y28" i="29"/>
  <c r="H25" i="29"/>
  <c r="H26" i="29" s="1"/>
  <c r="Y26" i="29"/>
  <c r="P26" i="29" l="1"/>
  <c r="N5" i="29"/>
  <c r="P5" i="29" s="1"/>
  <c r="R5" i="29" s="1"/>
  <c r="N26" i="29"/>
  <c r="Y50" i="29"/>
  <c r="Y32" i="29"/>
  <c r="Y49" i="29"/>
  <c r="Y47" i="29"/>
  <c r="Y48" i="29"/>
  <c r="Y29" i="29"/>
  <c r="L17" i="21" l="1"/>
  <c r="M68" i="22" l="1"/>
  <c r="M66" i="22"/>
  <c r="G13" i="22" l="1"/>
  <c r="D36" i="21"/>
  <c r="J36" i="21" s="1"/>
  <c r="E36" i="21"/>
  <c r="F36" i="21"/>
  <c r="G36" i="21"/>
  <c r="H36" i="21"/>
  <c r="H39" i="21" s="1"/>
  <c r="I36" i="21"/>
  <c r="D63" i="21"/>
  <c r="D66" i="21" s="1"/>
  <c r="E63" i="21"/>
  <c r="E66" i="21" s="1"/>
  <c r="F63" i="21"/>
  <c r="F66" i="21"/>
  <c r="G63" i="21"/>
  <c r="G66" i="21" s="1"/>
  <c r="H63" i="21"/>
  <c r="H66" i="21"/>
  <c r="I63" i="21"/>
  <c r="I66" i="21" s="1"/>
  <c r="J62" i="21"/>
  <c r="I61" i="21"/>
  <c r="H61" i="21"/>
  <c r="G61" i="21"/>
  <c r="F61" i="21"/>
  <c r="E61" i="21"/>
  <c r="D61" i="21"/>
  <c r="G39" i="21"/>
  <c r="I39" i="21"/>
  <c r="F39" i="21"/>
  <c r="E39" i="21"/>
  <c r="D39" i="21"/>
  <c r="J39" i="21" s="1"/>
  <c r="J37" i="21" s="1"/>
  <c r="J35" i="21"/>
  <c r="E34" i="21"/>
  <c r="F34" i="21"/>
  <c r="G34" i="21"/>
  <c r="H34" i="21"/>
  <c r="I34" i="21"/>
  <c r="D34" i="21"/>
  <c r="O29" i="22"/>
  <c r="O136" i="22"/>
  <c r="O135" i="22"/>
  <c r="O134" i="22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21" i="22"/>
  <c r="O120" i="22"/>
  <c r="O119" i="22"/>
  <c r="O118" i="22"/>
  <c r="O117" i="22"/>
  <c r="O116" i="22"/>
  <c r="O115" i="22"/>
  <c r="O114" i="22"/>
  <c r="O113" i="22"/>
  <c r="O112" i="22"/>
  <c r="O111" i="22"/>
  <c r="O110" i="22"/>
  <c r="O109" i="22"/>
  <c r="O108" i="22"/>
  <c r="O107" i="22"/>
  <c r="O35" i="22"/>
  <c r="O20" i="22"/>
  <c r="O37" i="22"/>
  <c r="O38" i="22"/>
  <c r="O40" i="22"/>
  <c r="O45" i="22"/>
  <c r="O46" i="22"/>
  <c r="O34" i="22"/>
  <c r="O102" i="22"/>
  <c r="O101" i="22"/>
  <c r="O100" i="22"/>
  <c r="O99" i="22"/>
  <c r="O98" i="22"/>
  <c r="O97" i="22"/>
  <c r="O94" i="22"/>
  <c r="O91" i="22"/>
  <c r="O90" i="22"/>
  <c r="O88" i="22"/>
  <c r="O87" i="22"/>
  <c r="O86" i="22"/>
  <c r="O85" i="22"/>
  <c r="O84" i="22"/>
  <c r="O83" i="22"/>
  <c r="O82" i="22"/>
  <c r="O81" i="22"/>
  <c r="O80" i="22"/>
  <c r="O79" i="22"/>
  <c r="O76" i="22"/>
  <c r="O75" i="22"/>
  <c r="O74" i="22"/>
  <c r="O73" i="22"/>
  <c r="O72" i="22"/>
  <c r="O71" i="22"/>
  <c r="O70" i="22"/>
  <c r="O69" i="22"/>
  <c r="O68" i="22"/>
  <c r="O67" i="22"/>
  <c r="O66" i="22"/>
  <c r="O62" i="22"/>
  <c r="O61" i="22"/>
  <c r="O60" i="22"/>
  <c r="O59" i="22"/>
  <c r="O58" i="22"/>
  <c r="O57" i="22"/>
  <c r="O51" i="22"/>
  <c r="O52" i="22"/>
  <c r="O48" i="22"/>
  <c r="O49" i="22"/>
  <c r="O47" i="22"/>
  <c r="O56" i="22"/>
  <c r="O32" i="22"/>
  <c r="O33" i="22"/>
  <c r="O55" i="22"/>
  <c r="O54" i="22"/>
  <c r="O53" i="22"/>
  <c r="O50" i="22"/>
  <c r="O25" i="22"/>
  <c r="O26" i="22"/>
  <c r="O23" i="22"/>
  <c r="Q136" i="22"/>
  <c r="Q135" i="22"/>
  <c r="Q134" i="22"/>
  <c r="Q133" i="22"/>
  <c r="Q132" i="22"/>
  <c r="Q131" i="22"/>
  <c r="Q130" i="22"/>
  <c r="Q129" i="22"/>
  <c r="Q128" i="22"/>
  <c r="Q127" i="22"/>
  <c r="Q126" i="22"/>
  <c r="Q125" i="22"/>
  <c r="Q124" i="22"/>
  <c r="Q123" i="22"/>
  <c r="Q122" i="22"/>
  <c r="Q121" i="22"/>
  <c r="Q120" i="22"/>
  <c r="Q29" i="22"/>
  <c r="Q119" i="22"/>
  <c r="Q118" i="22"/>
  <c r="Q117" i="22"/>
  <c r="Q116" i="22"/>
  <c r="Q115" i="22"/>
  <c r="Q114" i="22"/>
  <c r="Q113" i="22"/>
  <c r="Q112" i="22"/>
  <c r="Q111" i="22"/>
  <c r="Q110" i="22"/>
  <c r="Q109" i="22"/>
  <c r="Q108" i="22"/>
  <c r="Q107" i="22"/>
  <c r="Q13" i="22"/>
  <c r="Q35" i="22"/>
  <c r="Q20" i="22"/>
  <c r="Q37" i="22"/>
  <c r="Q38" i="22"/>
  <c r="Q40" i="22"/>
  <c r="Q45" i="22"/>
  <c r="Q46" i="22"/>
  <c r="Q34" i="22"/>
  <c r="Q102" i="22"/>
  <c r="Q100" i="22"/>
  <c r="Q99" i="22"/>
  <c r="Q98" i="22"/>
  <c r="Q97" i="22"/>
  <c r="Q94" i="22"/>
  <c r="Q91" i="22"/>
  <c r="Q90" i="22"/>
  <c r="Q88" i="22"/>
  <c r="Q87" i="22"/>
  <c r="Q86" i="22"/>
  <c r="Q85" i="22"/>
  <c r="Q84" i="22"/>
  <c r="Q83" i="22"/>
  <c r="Q82" i="22"/>
  <c r="Q81" i="22"/>
  <c r="Q80" i="22"/>
  <c r="Q79" i="22"/>
  <c r="Q76" i="22"/>
  <c r="Q75" i="22"/>
  <c r="Q74" i="22"/>
  <c r="Q73" i="22"/>
  <c r="Q72" i="22"/>
  <c r="Q71" i="22"/>
  <c r="Q70" i="22"/>
  <c r="Q69" i="22"/>
  <c r="Q68" i="22"/>
  <c r="Q67" i="22"/>
  <c r="Q66" i="22"/>
  <c r="Q62" i="22"/>
  <c r="Q61" i="22"/>
  <c r="Q60" i="22"/>
  <c r="Q59" i="22"/>
  <c r="Q58" i="22"/>
  <c r="Q57" i="22"/>
  <c r="Q51" i="22"/>
  <c r="Q52" i="22"/>
  <c r="Q48" i="22"/>
  <c r="Q49" i="22"/>
  <c r="Q47" i="22"/>
  <c r="Q56" i="22"/>
  <c r="Q32" i="22"/>
  <c r="Q33" i="22"/>
  <c r="Q55" i="22"/>
  <c r="Q53" i="22"/>
  <c r="Q50" i="22"/>
  <c r="Q25" i="22"/>
  <c r="Q26" i="22"/>
  <c r="Q23" i="22"/>
  <c r="S20" i="22"/>
  <c r="M126" i="22"/>
  <c r="M127" i="22"/>
  <c r="M128" i="22"/>
  <c r="M129" i="22"/>
  <c r="M130" i="22"/>
  <c r="M131" i="22"/>
  <c r="M125" i="22"/>
  <c r="M124" i="22"/>
  <c r="K124" i="22"/>
  <c r="M29" i="22"/>
  <c r="M119" i="22"/>
  <c r="M100" i="22"/>
  <c r="M90" i="22"/>
  <c r="K136" i="22"/>
  <c r="M136" i="22"/>
  <c r="K135" i="22"/>
  <c r="M135" i="22"/>
  <c r="K134" i="22"/>
  <c r="M134" i="22"/>
  <c r="K133" i="22"/>
  <c r="M133" i="22"/>
  <c r="K132" i="22"/>
  <c r="M132" i="22"/>
  <c r="G123" i="22"/>
  <c r="I123" i="22"/>
  <c r="K123" i="22"/>
  <c r="M123" i="22"/>
  <c r="G122" i="22"/>
  <c r="I122" i="22"/>
  <c r="K122" i="22"/>
  <c r="M122" i="22"/>
  <c r="G121" i="22"/>
  <c r="I121" i="22"/>
  <c r="K121" i="22"/>
  <c r="M121" i="22"/>
  <c r="G118" i="22"/>
  <c r="I118" i="22"/>
  <c r="K118" i="22"/>
  <c r="M118" i="22"/>
  <c r="G88" i="22"/>
  <c r="I88" i="22"/>
  <c r="K88" i="22"/>
  <c r="M88" i="22"/>
  <c r="G87" i="22"/>
  <c r="I87" i="22"/>
  <c r="K87" i="22"/>
  <c r="M87" i="22"/>
  <c r="G85" i="22"/>
  <c r="I85" i="22"/>
  <c r="K85" i="22"/>
  <c r="M85" i="22"/>
  <c r="G84" i="22"/>
  <c r="I84" i="22"/>
  <c r="K84" i="22"/>
  <c r="M84" i="22"/>
  <c r="G83" i="22"/>
  <c r="I83" i="22"/>
  <c r="K83" i="22"/>
  <c r="M83" i="22"/>
  <c r="G82" i="22"/>
  <c r="I82" i="22"/>
  <c r="K82" i="22"/>
  <c r="M82" i="22"/>
  <c r="G81" i="22"/>
  <c r="I81" i="22"/>
  <c r="K81" i="22"/>
  <c r="M81" i="22"/>
  <c r="G75" i="22"/>
  <c r="I75" i="22"/>
  <c r="K75" i="22"/>
  <c r="M75" i="22"/>
  <c r="G74" i="22"/>
  <c r="I74" i="22"/>
  <c r="K74" i="22"/>
  <c r="M74" i="22"/>
  <c r="G73" i="22"/>
  <c r="I73" i="22"/>
  <c r="K73" i="22"/>
  <c r="M73" i="22"/>
  <c r="G72" i="22"/>
  <c r="I72" i="22"/>
  <c r="K72" i="22"/>
  <c r="M72" i="22"/>
  <c r="G71" i="22"/>
  <c r="I71" i="22"/>
  <c r="K71" i="22"/>
  <c r="M71" i="22"/>
  <c r="G70" i="22"/>
  <c r="I70" i="22"/>
  <c r="K70" i="22"/>
  <c r="M70" i="22"/>
  <c r="G69" i="22"/>
  <c r="I69" i="22"/>
  <c r="K69" i="22"/>
  <c r="M69" i="22"/>
  <c r="G67" i="22"/>
  <c r="I67" i="22"/>
  <c r="K67" i="22"/>
  <c r="M67" i="22"/>
  <c r="G62" i="22"/>
  <c r="I62" i="22"/>
  <c r="K62" i="22"/>
  <c r="M62" i="22"/>
  <c r="G61" i="22"/>
  <c r="I61" i="22"/>
  <c r="K61" i="22"/>
  <c r="M61" i="22"/>
  <c r="G60" i="22"/>
  <c r="I60" i="22"/>
  <c r="K60" i="22"/>
  <c r="M60" i="22"/>
  <c r="G59" i="22"/>
  <c r="I59" i="22"/>
  <c r="K59" i="22"/>
  <c r="M59" i="22"/>
  <c r="G49" i="22"/>
  <c r="I49" i="22"/>
  <c r="K49" i="22"/>
  <c r="M49" i="22"/>
  <c r="G48" i="22"/>
  <c r="I48" i="22"/>
  <c r="K48" i="22"/>
  <c r="M48" i="22"/>
  <c r="G46" i="22"/>
  <c r="I46" i="22"/>
  <c r="K46" i="22"/>
  <c r="M46" i="22"/>
  <c r="I45" i="22"/>
  <c r="K45" i="22"/>
  <c r="M45" i="22"/>
  <c r="M79" i="22"/>
  <c r="I35" i="22"/>
  <c r="I20" i="22"/>
  <c r="I37" i="22"/>
  <c r="I38" i="22"/>
  <c r="I40" i="22"/>
  <c r="I34" i="22"/>
  <c r="I76" i="22"/>
  <c r="K35" i="22"/>
  <c r="K20" i="22"/>
  <c r="K37" i="22"/>
  <c r="K38" i="22"/>
  <c r="K40" i="22"/>
  <c r="K34" i="22"/>
  <c r="K76" i="22"/>
  <c r="S29" i="22"/>
  <c r="I29" i="22"/>
  <c r="K29" i="22"/>
  <c r="K119" i="22"/>
  <c r="G29" i="22"/>
  <c r="S13" i="22"/>
  <c r="M20" i="22"/>
  <c r="I119" i="22"/>
  <c r="K79" i="22"/>
  <c r="I79" i="22"/>
  <c r="G79" i="22"/>
  <c r="J112" i="22"/>
  <c r="K112" i="22" s="1"/>
  <c r="J111" i="22"/>
  <c r="K111" i="22" s="1"/>
  <c r="K110" i="22" s="1"/>
  <c r="S136" i="22"/>
  <c r="I136" i="22"/>
  <c r="G136" i="22"/>
  <c r="S135" i="22"/>
  <c r="I135" i="22"/>
  <c r="G135" i="22"/>
  <c r="S134" i="22"/>
  <c r="I134" i="22"/>
  <c r="G134" i="22"/>
  <c r="S133" i="22"/>
  <c r="I133" i="22"/>
  <c r="G133" i="22"/>
  <c r="S132" i="22"/>
  <c r="I132" i="22"/>
  <c r="G132" i="22"/>
  <c r="S131" i="22"/>
  <c r="K131" i="22"/>
  <c r="I131" i="22"/>
  <c r="G131" i="22"/>
  <c r="S130" i="22"/>
  <c r="K130" i="22"/>
  <c r="I130" i="22"/>
  <c r="G130" i="22"/>
  <c r="S129" i="22"/>
  <c r="K129" i="22"/>
  <c r="I129" i="22"/>
  <c r="G129" i="22"/>
  <c r="S128" i="22"/>
  <c r="K128" i="22"/>
  <c r="I128" i="22"/>
  <c r="G128" i="22"/>
  <c r="S127" i="22"/>
  <c r="K127" i="22"/>
  <c r="I127" i="22"/>
  <c r="G127" i="22"/>
  <c r="S126" i="22"/>
  <c r="S125" i="22"/>
  <c r="K126" i="22"/>
  <c r="I126" i="22"/>
  <c r="G126" i="22"/>
  <c r="G125" i="22"/>
  <c r="G124" i="22"/>
  <c r="I124" i="22"/>
  <c r="S123" i="22"/>
  <c r="S122" i="22"/>
  <c r="S118" i="22"/>
  <c r="S117" i="22"/>
  <c r="M117" i="22"/>
  <c r="K117" i="22"/>
  <c r="I117" i="22"/>
  <c r="G117" i="22"/>
  <c r="S116" i="22"/>
  <c r="M116" i="22"/>
  <c r="K116" i="22"/>
  <c r="I116" i="22"/>
  <c r="G116" i="22"/>
  <c r="S115" i="22"/>
  <c r="M115" i="22"/>
  <c r="K115" i="22"/>
  <c r="I115" i="22"/>
  <c r="G115" i="22"/>
  <c r="M114" i="22"/>
  <c r="S114" i="22"/>
  <c r="G114" i="22"/>
  <c r="I114" i="22"/>
  <c r="K114" i="22"/>
  <c r="S113" i="22"/>
  <c r="M113" i="22"/>
  <c r="K113" i="22"/>
  <c r="I113" i="22"/>
  <c r="G113" i="22"/>
  <c r="S112" i="22"/>
  <c r="M112" i="22"/>
  <c r="I112" i="22"/>
  <c r="I111" i="22"/>
  <c r="I110" i="22"/>
  <c r="G112" i="22"/>
  <c r="S111" i="22"/>
  <c r="S110" i="22"/>
  <c r="M111" i="22"/>
  <c r="G111" i="22"/>
  <c r="G110" i="22"/>
  <c r="M110" i="22"/>
  <c r="M109" i="22"/>
  <c r="S109" i="22"/>
  <c r="G109" i="22"/>
  <c r="I109" i="22"/>
  <c r="K109" i="22"/>
  <c r="S108" i="22"/>
  <c r="M108" i="22"/>
  <c r="I108" i="22"/>
  <c r="G108" i="22"/>
  <c r="J108" i="22"/>
  <c r="K108" i="22"/>
  <c r="S107" i="22"/>
  <c r="M107" i="22"/>
  <c r="I107" i="22"/>
  <c r="G107" i="22"/>
  <c r="J107" i="22"/>
  <c r="K107" i="22" s="1"/>
  <c r="K25" i="22" s="1"/>
  <c r="K26" i="22" s="1"/>
  <c r="G101" i="22"/>
  <c r="S100" i="22"/>
  <c r="K100" i="22"/>
  <c r="I100" i="22"/>
  <c r="G100" i="22"/>
  <c r="S99" i="22"/>
  <c r="S97" i="22"/>
  <c r="S98" i="22"/>
  <c r="S94" i="22"/>
  <c r="M99" i="22"/>
  <c r="K99" i="22"/>
  <c r="I99" i="22"/>
  <c r="G99" i="22"/>
  <c r="M98" i="22"/>
  <c r="K98" i="22"/>
  <c r="I98" i="22"/>
  <c r="G98" i="22"/>
  <c r="M97" i="22"/>
  <c r="M94" i="22"/>
  <c r="K97" i="22"/>
  <c r="K94" i="22"/>
  <c r="I97" i="22"/>
  <c r="I94" i="22"/>
  <c r="G97" i="22"/>
  <c r="G94" i="22"/>
  <c r="S91" i="22"/>
  <c r="M91" i="22"/>
  <c r="K91" i="22"/>
  <c r="I91" i="22"/>
  <c r="G91" i="22"/>
  <c r="S90" i="22"/>
  <c r="K90" i="22"/>
  <c r="I90" i="22"/>
  <c r="G90" i="22"/>
  <c r="S88" i="22"/>
  <c r="S85" i="22"/>
  <c r="S84" i="22"/>
  <c r="S83" i="22"/>
  <c r="S82" i="22"/>
  <c r="S75" i="22"/>
  <c r="S74" i="22"/>
  <c r="S73" i="22"/>
  <c r="S72" i="22"/>
  <c r="S71" i="22"/>
  <c r="S70" i="22"/>
  <c r="S69" i="22"/>
  <c r="S62" i="22"/>
  <c r="S61" i="22"/>
  <c r="S60" i="22"/>
  <c r="S59" i="22"/>
  <c r="S49" i="22"/>
  <c r="S46" i="22"/>
  <c r="S45" i="22"/>
  <c r="G45" i="22"/>
  <c r="G40" i="22"/>
  <c r="S38" i="22"/>
  <c r="M38" i="22"/>
  <c r="S37" i="22"/>
  <c r="M37" i="22"/>
  <c r="G35" i="22"/>
  <c r="S33" i="22"/>
  <c r="M33" i="22"/>
  <c r="K33" i="22"/>
  <c r="I33" i="22"/>
  <c r="G33" i="22"/>
  <c r="K32" i="22"/>
  <c r="I32" i="22"/>
  <c r="G32" i="22"/>
  <c r="G119" i="22"/>
  <c r="S23" i="22"/>
  <c r="M23" i="22"/>
  <c r="K23" i="22"/>
  <c r="I23" i="22"/>
  <c r="G23" i="22"/>
  <c r="G20" i="22"/>
  <c r="G37" i="22"/>
  <c r="M13" i="22"/>
  <c r="M35" i="22"/>
  <c r="G11" i="22"/>
  <c r="S124" i="22"/>
  <c r="S58" i="22"/>
  <c r="G38" i="22"/>
  <c r="M40" i="22"/>
  <c r="G80" i="22"/>
  <c r="I125" i="22"/>
  <c r="G34" i="22"/>
  <c r="G55" i="22"/>
  <c r="G47" i="22"/>
  <c r="S40" i="22"/>
  <c r="K125" i="22"/>
  <c r="S119" i="22"/>
  <c r="M34" i="22"/>
  <c r="K55" i="22"/>
  <c r="I120" i="22"/>
  <c r="G52" i="22"/>
  <c r="G57" i="22"/>
  <c r="G58" i="22"/>
  <c r="G86" i="22"/>
  <c r="I47" i="22"/>
  <c r="G76" i="22"/>
  <c r="M32" i="22"/>
  <c r="S35" i="22"/>
  <c r="S32" i="22"/>
  <c r="G120" i="22"/>
  <c r="M53" i="22"/>
  <c r="M102" i="22"/>
  <c r="M76" i="22"/>
  <c r="M57" i="22"/>
  <c r="S34" i="22"/>
  <c r="S57" i="22"/>
  <c r="G102" i="22"/>
  <c r="G68" i="22"/>
  <c r="G66" i="22"/>
  <c r="G51" i="22"/>
  <c r="G56" i="22"/>
  <c r="G54" i="22"/>
  <c r="M52" i="22"/>
  <c r="G53" i="22"/>
  <c r="M55" i="22"/>
  <c r="M51" i="22"/>
  <c r="S55" i="22"/>
  <c r="I86" i="22"/>
  <c r="K68" i="22"/>
  <c r="K66" i="22"/>
  <c r="K51" i="22"/>
  <c r="K102" i="22"/>
  <c r="K57" i="22"/>
  <c r="K52" i="22"/>
  <c r="K53" i="22"/>
  <c r="I58" i="22"/>
  <c r="I102" i="22"/>
  <c r="I57" i="22"/>
  <c r="I52" i="22"/>
  <c r="I51" i="22"/>
  <c r="I68" i="22"/>
  <c r="I66" i="22"/>
  <c r="I53" i="22"/>
  <c r="S102" i="22"/>
  <c r="S52" i="22"/>
  <c r="S68" i="22"/>
  <c r="S51" i="22"/>
  <c r="S76" i="22"/>
  <c r="K47" i="22"/>
  <c r="I55" i="22"/>
  <c r="I80" i="22"/>
  <c r="S27" i="22"/>
  <c r="K120" i="22"/>
  <c r="M50" i="22"/>
  <c r="S53" i="22"/>
  <c r="G50" i="22"/>
  <c r="G25" i="22"/>
  <c r="G26" i="22"/>
  <c r="I50" i="22"/>
  <c r="I56" i="22"/>
  <c r="I54" i="22"/>
  <c r="I25" i="22"/>
  <c r="K50" i="22"/>
  <c r="K56" i="22"/>
  <c r="K54" i="22"/>
  <c r="K58" i="22"/>
  <c r="K80" i="22"/>
  <c r="K86" i="22"/>
  <c r="M120" i="22"/>
  <c r="S121" i="22"/>
  <c r="S120" i="22"/>
  <c r="S50" i="22"/>
  <c r="M58" i="22"/>
  <c r="S67" i="22"/>
  <c r="S66" i="22"/>
  <c r="S48" i="22"/>
  <c r="S47" i="22"/>
  <c r="S56" i="22"/>
  <c r="S54" i="22"/>
  <c r="M47" i="22"/>
  <c r="M56" i="22"/>
  <c r="M80" i="22"/>
  <c r="M86" i="22"/>
  <c r="M25" i="22"/>
  <c r="M26" i="22" s="1"/>
  <c r="S87" i="22"/>
  <c r="S86" i="22"/>
  <c r="S81" i="22"/>
  <c r="S80" i="22"/>
  <c r="S25" i="22"/>
  <c r="S26" i="22"/>
  <c r="I26" i="22"/>
  <c r="K16" i="21"/>
  <c r="J38" i="21" l="1"/>
  <c r="J66" i="21"/>
  <c r="J63" i="21"/>
  <c r="J65" i="21"/>
  <c r="J64" i="21" l="1"/>
</calcChain>
</file>

<file path=xl/sharedStrings.xml><?xml version="1.0" encoding="utf-8"?>
<sst xmlns="http://schemas.openxmlformats.org/spreadsheetml/2006/main" count="1800" uniqueCount="369">
  <si>
    <t>Acquisition</t>
  </si>
  <si>
    <t>Construction</t>
  </si>
  <si>
    <t>CA Units</t>
  </si>
  <si>
    <t>Land</t>
  </si>
  <si>
    <t>Existing Structure</t>
  </si>
  <si>
    <t>Demo</t>
  </si>
  <si>
    <t>New Building</t>
  </si>
  <si>
    <t>Rehab</t>
  </si>
  <si>
    <t>Site Work/Infrastructure</t>
  </si>
  <si>
    <t>Off site infrastructure</t>
  </si>
  <si>
    <t>Environmental Abatement (Building)</t>
  </si>
  <si>
    <t>Environmental Abatement (Land)</t>
  </si>
  <si>
    <t>Contractor Profit</t>
  </si>
  <si>
    <t>Contractor Overhead</t>
  </si>
  <si>
    <t>Construction Contingency</t>
  </si>
  <si>
    <t>Furnishings</t>
  </si>
  <si>
    <t>Appliances</t>
  </si>
  <si>
    <t>Sales Tax</t>
  </si>
  <si>
    <t>Bond Premium</t>
  </si>
  <si>
    <t>Escalation</t>
  </si>
  <si>
    <t>Pre Construction Services</t>
  </si>
  <si>
    <t>Owner Construction Costs:</t>
  </si>
  <si>
    <t>Common Area Furnishings</t>
  </si>
  <si>
    <t xml:space="preserve">Apartment Furnishings </t>
  </si>
  <si>
    <t>Low Voltage Contractor</t>
  </si>
  <si>
    <t>Other Owner Direct Contracts</t>
  </si>
  <si>
    <t>Soft Costs</t>
  </si>
  <si>
    <t>Appraisal</t>
  </si>
  <si>
    <t>Market Study</t>
  </si>
  <si>
    <t>Site Analysis and Concept</t>
  </si>
  <si>
    <t>Base Contract</t>
  </si>
  <si>
    <t>Capital Needs Assessment</t>
  </si>
  <si>
    <t>Reimbursables</t>
  </si>
  <si>
    <t>Engineering</t>
  </si>
  <si>
    <t>Environmental Assessment</t>
  </si>
  <si>
    <t>Geotechnical Study</t>
  </si>
  <si>
    <t>Boundary &amp; Topographic Survey</t>
  </si>
  <si>
    <t>Legal - Real Estate</t>
  </si>
  <si>
    <t>Paid Fee</t>
  </si>
  <si>
    <t>Deferred Fee</t>
  </si>
  <si>
    <t>Project Management/Dev Consultant Fees</t>
  </si>
  <si>
    <t>Other Construction Testing Consultants:</t>
  </si>
  <si>
    <t>Surveyor Monitoring</t>
  </si>
  <si>
    <t>Air Barrier &amp; Window Testing</t>
  </si>
  <si>
    <t>Geotech Monitoring</t>
  </si>
  <si>
    <t>Structural Testing (Special Inspections)</t>
  </si>
  <si>
    <t>HVAC &amp; Plumbing Commissioning</t>
  </si>
  <si>
    <t xml:space="preserve">Other Soft Costs: </t>
  </si>
  <si>
    <t>Construction Easements</t>
  </si>
  <si>
    <t>SCL Transformer Trucking</t>
  </si>
  <si>
    <t>Pre-Development /Bridge Financing</t>
  </si>
  <si>
    <t>Bridge Loan Fees</t>
  </si>
  <si>
    <t>Bridge Loan Interest:</t>
  </si>
  <si>
    <t>Construction Financing</t>
  </si>
  <si>
    <t>Bridge Loan</t>
  </si>
  <si>
    <t>Bank Legal</t>
  </si>
  <si>
    <t>Origination Fee</t>
  </si>
  <si>
    <t>Inspections</t>
  </si>
  <si>
    <t>Construction Loan Interest</t>
  </si>
  <si>
    <t>Const Period Interest (Eligible)</t>
  </si>
  <si>
    <t>Lease-up Period Interest (Ineligible)</t>
  </si>
  <si>
    <t xml:space="preserve">Permanent Financing </t>
  </si>
  <si>
    <t>Perm Loan Fees</t>
  </si>
  <si>
    <t>Perm Loan Legal</t>
  </si>
  <si>
    <t xml:space="preserve">LIHTC Nonprofit Donation </t>
  </si>
  <si>
    <t>Investor Legal</t>
  </si>
  <si>
    <t>State HTF Fees</t>
  </si>
  <si>
    <t>Capitalized Reserves</t>
  </si>
  <si>
    <t>Operating Reserves</t>
  </si>
  <si>
    <t>Replacement Reserves</t>
  </si>
  <si>
    <t>Other Development Costs</t>
  </si>
  <si>
    <t>Real Estate &amp; Property Tax</t>
  </si>
  <si>
    <t>Builders Risk</t>
  </si>
  <si>
    <t>Relocation</t>
  </si>
  <si>
    <t>Permits, Fees &amp; Hookups</t>
  </si>
  <si>
    <t>SDCI (Building &amp; Land Use)</t>
  </si>
  <si>
    <t xml:space="preserve">Seattle City Light </t>
  </si>
  <si>
    <t xml:space="preserve">SDOT </t>
  </si>
  <si>
    <t>SPU</t>
  </si>
  <si>
    <t>Phone/Cable/Internet</t>
  </si>
  <si>
    <t>KC Wastewater Treatment</t>
  </si>
  <si>
    <t>Development Period Utilities</t>
  </si>
  <si>
    <t>Accounting/Audit</t>
  </si>
  <si>
    <t>Marketing/Leasing Expenses</t>
  </si>
  <si>
    <t>Carrying Costs at Rent Up</t>
  </si>
  <si>
    <t>Insurance:</t>
  </si>
  <si>
    <t>Other</t>
  </si>
  <si>
    <t xml:space="preserve">Environmental Abatement by Owner: </t>
  </si>
  <si>
    <t>Building</t>
  </si>
  <si>
    <t>Contractor Contingency</t>
  </si>
  <si>
    <t>Construction Contingencies</t>
  </si>
  <si>
    <t>Sales Tax on GC Contract Work</t>
  </si>
  <si>
    <t>Sales Tax on Contingency + Owner Direct Work</t>
  </si>
  <si>
    <t>Architect:</t>
  </si>
  <si>
    <t>Developer Fee:</t>
  </si>
  <si>
    <t>Construction Loan Fees:</t>
  </si>
  <si>
    <t>LIHTC Legal:</t>
  </si>
  <si>
    <t>Flooring</t>
  </si>
  <si>
    <t>Land Improvements</t>
  </si>
  <si>
    <t xml:space="preserve">Perm Loan Expenses </t>
  </si>
  <si>
    <t>Interest Reserve</t>
  </si>
  <si>
    <t>Investor Service Fee Reserve</t>
  </si>
  <si>
    <t>PSH DEV org Legal</t>
  </si>
  <si>
    <t>Liability for PSH Dev org</t>
  </si>
  <si>
    <t>PSH Dev. Org Legal</t>
  </si>
  <si>
    <t xml:space="preserve">PSH Development Org Pre-Dev Loan </t>
  </si>
  <si>
    <t>Total ft^2</t>
  </si>
  <si>
    <r>
      <t>Residential ft</t>
    </r>
    <r>
      <rPr>
        <vertAlign val="superscript"/>
        <sz val="11"/>
        <color theme="1"/>
        <rFont val="Calibri"/>
        <family val="2"/>
        <scheme val="minor"/>
      </rPr>
      <t>2</t>
    </r>
  </si>
  <si>
    <t># of Floors</t>
  </si>
  <si>
    <t>Units total</t>
  </si>
  <si>
    <t>General Contractor Costs: Roll below values up</t>
  </si>
  <si>
    <t>LIHTC Fees(WSHFC)</t>
  </si>
  <si>
    <t>Non-residential  ft2</t>
  </si>
  <si>
    <t>Total Project Cost</t>
  </si>
  <si>
    <t>Fixed</t>
  </si>
  <si>
    <t>Project Profile</t>
  </si>
  <si>
    <t>UPP</t>
  </si>
  <si>
    <t>Cost =Land sqft*cost/sqft= (Total sqft/Floors)*$300/sqft</t>
  </si>
  <si>
    <t xml:space="preserve">Sum section below to this line </t>
  </si>
  <si>
    <t>Total sqft * cost per square foot ~$260</t>
  </si>
  <si>
    <t>~$2100*Number of units</t>
  </si>
  <si>
    <t>~2200*Number of units</t>
  </si>
  <si>
    <t>Data Needed</t>
  </si>
  <si>
    <t>~6$ * total Sqft</t>
  </si>
  <si>
    <t xml:space="preserve">Sum section below to this line + missing costs </t>
  </si>
  <si>
    <t>Contractor Profit &amp; overhead seems mixed</t>
  </si>
  <si>
    <t>Roughly even split between the too of $300k each</t>
  </si>
  <si>
    <t>May or not be included depending on project needs</t>
  </si>
  <si>
    <t>Should be present on all projects close to fixed cost</t>
  </si>
  <si>
    <t>Total General contractor cost*.07</t>
  </si>
  <si>
    <t>Sum section below this line</t>
  </si>
  <si>
    <t>(GC cost+Pre Construction +Demo) *.101 (Tax rate)</t>
  </si>
  <si>
    <t xml:space="preserve">Data Need    (may be excludable) close to fixed, financing cost? </t>
  </si>
  <si>
    <t>Sum section below to this line</t>
  </si>
  <si>
    <t>if included ~$100k + 5x land sqft</t>
  </si>
  <si>
    <t>if included ~$50K</t>
  </si>
  <si>
    <t>Data Needed (Exclude when?) if present GC cost *.05</t>
  </si>
  <si>
    <t>Data Needed (Exclude when?) if present GC cost *.01</t>
  </si>
  <si>
    <t>(Abatement &amp; Construction by Owner+non-contractor Contingencies) *.101 (Tax rate)</t>
  </si>
  <si>
    <t>roughly consistent across projects at $80,000</t>
  </si>
  <si>
    <t>Data Needed  (if not here where is this cost captured?)</t>
  </si>
  <si>
    <t>Data Needed  (duplicate item? ) roughly fixed cost of $75,000</t>
  </si>
  <si>
    <t>~ 7%  of GC cost ( =total GC *0.07)</t>
  </si>
  <si>
    <t xml:space="preserve">Data needed </t>
  </si>
  <si>
    <t>Performance</t>
  </si>
  <si>
    <t>Data Needed If Acquisition of existing structure ~??? *structure cost</t>
  </si>
  <si>
    <t xml:space="preserve">Data Needed </t>
  </si>
  <si>
    <t>~$25000 +- 10k</t>
  </si>
  <si>
    <t>~$12000 +- 5K</t>
  </si>
  <si>
    <t>~$45000 +- 6k</t>
  </si>
  <si>
    <t>Total construction costs * 12.5% +- 1%</t>
  </si>
  <si>
    <t xml:space="preserve"> Some fraction of total fee</t>
  </si>
  <si>
    <t xml:space="preserve">~$8000 when included </t>
  </si>
  <si>
    <t>Proportional to plot size and complexity ~ fixed $50000 +- 10K</t>
  </si>
  <si>
    <t>~$18,000 +- 3K</t>
  </si>
  <si>
    <t>~ 50,000</t>
  </si>
  <si>
    <t xml:space="preserve"> ~30,000 +- 5k</t>
  </si>
  <si>
    <t>~$47,000 +- 10K</t>
  </si>
  <si>
    <t>~$7000 +- 3K</t>
  </si>
  <si>
    <t>~$30,000 +- 5K</t>
  </si>
  <si>
    <t xml:space="preserve"> Data Needed (Not included on every project?) ~$50000</t>
  </si>
  <si>
    <t>CSD</t>
  </si>
  <si>
    <t xml:space="preserve">~$28,000 Fixed but may be a removable cost </t>
  </si>
  <si>
    <t xml:space="preserve">~ if included scales with size of bridge loan </t>
  </si>
  <si>
    <t>Not  included on all projects ~$3500</t>
  </si>
  <si>
    <t xml:space="preserve"> Is this inspection to certify loan? ~$20000</t>
  </si>
  <si>
    <t xml:space="preserve">In 10-20k  smooth project, can 2x if project has challenges </t>
  </si>
  <si>
    <t>Acquisition - Construction (Months)</t>
  </si>
  <si>
    <t>Construction - C/O (Months)</t>
  </si>
  <si>
    <t xml:space="preserve">Total Project Duration </t>
  </si>
  <si>
    <t xml:space="preserve"> 9.5% fee on bonds issued through WSHFC + $30 per unit ?</t>
  </si>
  <si>
    <t>Data Needed  Wide range</t>
  </si>
  <si>
    <t xml:space="preserve">~$12,000 when included </t>
  </si>
  <si>
    <t xml:space="preserve">Time to full lease </t>
  </si>
  <si>
    <t>Construction costs*rate*(months/12)</t>
  </si>
  <si>
    <t>~$40,000</t>
  </si>
  <si>
    <t>~$35,000</t>
  </si>
  <si>
    <t>~$95,000</t>
  </si>
  <si>
    <t>~$10,000</t>
  </si>
  <si>
    <t>~$20,000</t>
  </si>
  <si>
    <t>$30,000 +- 10K</t>
  </si>
  <si>
    <t>Not  included on all projects ~$55,000 +- 5K</t>
  </si>
  <si>
    <t>~ $36,000</t>
  </si>
  <si>
    <t xml:space="preserve">Data Needed           (Not included on all projects) </t>
  </si>
  <si>
    <t>(land cost*rate) = Appraised value * 1.28</t>
  </si>
  <si>
    <t>~$120,000</t>
  </si>
  <si>
    <t>~$50,000 +- 10K</t>
  </si>
  <si>
    <t>Sum section Below to this line</t>
  </si>
  <si>
    <t>~$90,000</t>
  </si>
  <si>
    <t>~$200,000</t>
  </si>
  <si>
    <t>~$350,000</t>
  </si>
  <si>
    <t>Dara needed</t>
  </si>
  <si>
    <t>If included ~$25,000</t>
  </si>
  <si>
    <t>~$15,000 +- 5K</t>
  </si>
  <si>
    <t>Project Cost/Unit</t>
  </si>
  <si>
    <t>Data Needed  ( what falls into this category?)</t>
  </si>
  <si>
    <t>Data needed (is there additional cost included with deferred fee)</t>
  </si>
  <si>
    <t>~ $28,000 +- 5K interest on Self funded loan with 1% rate</t>
  </si>
  <si>
    <t>Wide variance per project , typical ~$45,ooo +- 15K</t>
  </si>
  <si>
    <t>Can be exclude depending on capital stack ~$600,000</t>
  </si>
  <si>
    <t>If included ~$50,000</t>
  </si>
  <si>
    <t xml:space="preserve">Scales </t>
  </si>
  <si>
    <t>Unique</t>
  </si>
  <si>
    <t>Notes/Assumptions</t>
  </si>
  <si>
    <t>Contributions</t>
  </si>
  <si>
    <t xml:space="preserve">Base Variables </t>
  </si>
  <si>
    <t xml:space="preserve">P1 Adjusted variables </t>
  </si>
  <si>
    <t>P1 financing savings</t>
  </si>
  <si>
    <t xml:space="preserve">Avg margin </t>
  </si>
  <si>
    <t>Avg margin</t>
  </si>
  <si>
    <t>equal % of smaller value</t>
  </si>
  <si>
    <t>Waved</t>
  </si>
  <si>
    <t>Sum</t>
  </si>
  <si>
    <t>Avg Margin</t>
  </si>
  <si>
    <t>P3 Adjusted variables</t>
  </si>
  <si>
    <t xml:space="preserve">P3 Podium High commercial </t>
  </si>
  <si>
    <t>contractor margin -~1%</t>
  </si>
  <si>
    <t>7-8%</t>
  </si>
  <si>
    <t>Residential ft2</t>
  </si>
  <si>
    <t>Baseline</t>
  </si>
  <si>
    <t>Intrest free financing</t>
  </si>
  <si>
    <t>Project 1: Capital stack</t>
  </si>
  <si>
    <t>Project 2: Fees, Permiting, and Tax</t>
  </si>
  <si>
    <t xml:space="preserve">Savings from only capital stack changes to intrest free single payer </t>
  </si>
  <si>
    <t xml:space="preserve">Savings from only breaks on Fees, permiting, and taxes. Assuming all utility fees waved and use for traditional capital stack </t>
  </si>
  <si>
    <t xml:space="preserve">P2 Adjusted Variable </t>
  </si>
  <si>
    <t>P2 Fees, Permiting &amp; Tax</t>
  </si>
  <si>
    <t>P3 Adjusted variables2</t>
  </si>
  <si>
    <t>P3 Non-podium</t>
  </si>
  <si>
    <t>Sum (~90% savings)</t>
  </si>
  <si>
    <t>Project 3: Non-podium construction</t>
  </si>
  <si>
    <t>Land Area</t>
  </si>
  <si>
    <t>Non-Podium style construction (no commercial space) with traditional capital stack on new lot</t>
  </si>
  <si>
    <t xml:space="preserve">Efficancy project with all potential cost savings applied </t>
  </si>
  <si>
    <t>'contractor margin -~1%</t>
  </si>
  <si>
    <t>Focused on adding value for residents and surrounding community (ie.First floor coffee shop, food pantry, roof top gaurden)</t>
  </si>
  <si>
    <t xml:space="preserve">Number of projects of this type </t>
  </si>
  <si>
    <t>Total residential units of this type</t>
  </si>
  <si>
    <t>Avg. Cost/Unit</t>
  </si>
  <si>
    <t>PSH Units</t>
  </si>
  <si>
    <t xml:space="preserve">Project Opporating costs / year </t>
  </si>
  <si>
    <t>$13,000 for opporating + $8,000 if services needed, Uinique for remote sites</t>
  </si>
  <si>
    <t>P4 Adjusted variables</t>
  </si>
  <si>
    <t>Project 4: Free Land</t>
  </si>
  <si>
    <t xml:space="preserve">Land is provided by city </t>
  </si>
  <si>
    <t>Project 5: Compounded Savings</t>
  </si>
  <si>
    <t>P5 Adjusted variables2</t>
  </si>
  <si>
    <t>P5 All savings</t>
  </si>
  <si>
    <t>P4 free land</t>
  </si>
  <si>
    <t>Savings per unit off baseline</t>
  </si>
  <si>
    <t>Capital stack</t>
  </si>
  <si>
    <t>Free land</t>
  </si>
  <si>
    <t>Wood frame build</t>
  </si>
  <si>
    <t>Project mix</t>
  </si>
  <si>
    <t xml:space="preserve">Built </t>
  </si>
  <si>
    <t>Scatered</t>
  </si>
  <si>
    <t xml:space="preserve">Portfolio savings </t>
  </si>
  <si>
    <t>Fees, Permitting &amp; Tax</t>
  </si>
  <si>
    <t xml:space="preserve">All savings achieved </t>
  </si>
  <si>
    <t>All savings acheived</t>
  </si>
  <si>
    <t xml:space="preserve">Project 6:  Community Improvment  </t>
  </si>
  <si>
    <t>Portfolio 1</t>
  </si>
  <si>
    <t>Portfolio 2</t>
  </si>
  <si>
    <t>Project Metrics</t>
  </si>
  <si>
    <t>total sqft</t>
  </si>
  <si>
    <t>Common Area/Manager Units</t>
  </si>
  <si>
    <t xml:space="preserve">Common Area for Residential Services </t>
  </si>
  <si>
    <t>Other Common Area</t>
  </si>
  <si>
    <t>Residential sqft</t>
  </si>
  <si>
    <t>non-residential sqft</t>
  </si>
  <si>
    <t>Land sqft</t>
  </si>
  <si>
    <t>(total sqft/floors)+5%</t>
  </si>
  <si>
    <t>LI Units</t>
  </si>
  <si>
    <t>Unit Count</t>
  </si>
  <si>
    <t>Size of variance to max value</t>
  </si>
  <si>
    <t>Cost/unit (Total Project)</t>
  </si>
  <si>
    <t xml:space="preserve">C/U Excluding land </t>
  </si>
  <si>
    <t>Average Cost</t>
  </si>
  <si>
    <t>Average normalized cost</t>
  </si>
  <si>
    <t>C/U Commercial (GC/Units)</t>
  </si>
  <si>
    <t>Normalizer</t>
  </si>
  <si>
    <t>% contribution</t>
  </si>
  <si>
    <t>Cost</t>
  </si>
  <si>
    <t>Normalized</t>
  </si>
  <si>
    <t>Dev B2</t>
  </si>
  <si>
    <t>Dev B3</t>
  </si>
  <si>
    <t>Dev B4</t>
  </si>
  <si>
    <t>Contribution Range</t>
  </si>
  <si>
    <t>Cost Range</t>
  </si>
  <si>
    <t>closing, Title &amp; Recording Costs</t>
  </si>
  <si>
    <t>Unit count</t>
  </si>
  <si>
    <t xml:space="preserve">Excell pacific </t>
  </si>
  <si>
    <t>Holding Costs</t>
  </si>
  <si>
    <t xml:space="preserve">GC </t>
  </si>
  <si>
    <t xml:space="preserve">Walsh </t>
  </si>
  <si>
    <t>not lean, very risk advers</t>
  </si>
  <si>
    <t>General Contractor Costs:</t>
  </si>
  <si>
    <t xml:space="preserve">Contract out lots of work, </t>
  </si>
  <si>
    <t>???</t>
  </si>
  <si>
    <t>Land Abatement</t>
  </si>
  <si>
    <t>Construction cost</t>
  </si>
  <si>
    <t>5% Construction Hard costs</t>
  </si>
  <si>
    <t>Part of gov contribution</t>
  </si>
  <si>
    <t>taxable value</t>
  </si>
  <si>
    <t>residential sqft</t>
  </si>
  <si>
    <t>What does this buy?</t>
  </si>
  <si>
    <t>LIHTC Fees</t>
  </si>
  <si>
    <t>Liability for PSH Development org</t>
  </si>
  <si>
    <t>Check</t>
  </si>
  <si>
    <t/>
  </si>
  <si>
    <t>-</t>
  </si>
  <si>
    <t>Column1</t>
  </si>
  <si>
    <t>Running count</t>
  </si>
  <si>
    <t>Cap rate sates tax</t>
  </si>
  <si>
    <t>Zoning for 5 over 2</t>
  </si>
  <si>
    <t>ulity in use for (Residents, Staff, Service providers, community) vs Cost optimization</t>
  </si>
  <si>
    <t xml:space="preserve">Residential </t>
  </si>
  <si>
    <t>Cost sqft on only rentable space</t>
  </si>
  <si>
    <t xml:space="preserve">Stair well and floor penitrating shafts don’t count for floor (elivator, fire exits) </t>
  </si>
  <si>
    <t xml:space="preserve">Commercial </t>
  </si>
  <si>
    <t>Commercial tripple net</t>
  </si>
  <si>
    <t xml:space="preserve">Balconies may or may not be included in sqft calcs </t>
  </si>
  <si>
    <t>Total</t>
  </si>
  <si>
    <t>BANK big so they are experienced, not to big to talk</t>
  </si>
  <si>
    <t>Bay windows example (more sqft on paper)</t>
  </si>
  <si>
    <t xml:space="preserve">CHASE how do you think about this </t>
  </si>
  <si>
    <t xml:space="preserve">Number of units is a best guess at outset </t>
  </si>
  <si>
    <t>Why is it more in seattle (account for what diffrences exist) Tax, time, labor ,land ?</t>
  </si>
  <si>
    <t>Contributing Assumptions/calculations</t>
  </si>
  <si>
    <t xml:space="preserve">Contribution </t>
  </si>
  <si>
    <t>Value</t>
  </si>
  <si>
    <t>Project 4</t>
  </si>
  <si>
    <t xml:space="preserve">Funding source </t>
  </si>
  <si>
    <t xml:space="preserve">Referbishment (find a completed example) </t>
  </si>
  <si>
    <t>Permitting waved</t>
  </si>
  <si>
    <t xml:space="preserve">Net opporating (income-expensis) for year /caprate </t>
  </si>
  <si>
    <t>Column2</t>
  </si>
  <si>
    <t xml:space="preserve">Scatered site costs </t>
  </si>
  <si>
    <t>Number of units</t>
  </si>
  <si>
    <t>monthly rental cost/unit</t>
  </si>
  <si>
    <t>Monthly opporating cost/unit</t>
  </si>
  <si>
    <t xml:space="preserve">Cost of tenancy support services </t>
  </si>
  <si>
    <t>Monthy Cost /unit</t>
  </si>
  <si>
    <t xml:space="preserve">Annual </t>
  </si>
  <si>
    <t xml:space="preserve">Annual cost of opporation </t>
  </si>
  <si>
    <t>Site / Land</t>
  </si>
  <si>
    <t>Hard Costs</t>
  </si>
  <si>
    <t xml:space="preserve">Acquisition Expenses </t>
  </si>
  <si>
    <t>Pre construction prep</t>
  </si>
  <si>
    <t>General Contractor Costs</t>
  </si>
  <si>
    <t>Environmental Abatement by Owner</t>
  </si>
  <si>
    <t>Fees, Permits, Hook-ups &amp; Taxes</t>
  </si>
  <si>
    <t>Financing / Capital Stack</t>
  </si>
  <si>
    <t>Owner Construction Costs</t>
  </si>
  <si>
    <t xml:space="preserve">Professional Services </t>
  </si>
  <si>
    <t>Developer Fee</t>
  </si>
  <si>
    <t>Interest free financing</t>
  </si>
  <si>
    <t>Permanent Financing</t>
  </si>
  <si>
    <t>LIHTC Nonprofit Donation</t>
  </si>
  <si>
    <t>Full project Costs</t>
  </si>
  <si>
    <t xml:space="preserve">Normalized by Unit count </t>
  </si>
  <si>
    <t xml:space="preserve">Min </t>
  </si>
  <si>
    <t>Non Zero Min</t>
  </si>
  <si>
    <t>Max</t>
  </si>
  <si>
    <t xml:space="preserve">Mean of Non- Zero values </t>
  </si>
  <si>
    <t>Range as % of max value</t>
  </si>
  <si>
    <t>^Targit Min</t>
  </si>
  <si>
    <t>^ High Max</t>
  </si>
  <si>
    <t>^Low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</si>
</sst>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0.0"/>
    <numFmt numFmtId="168" formatCode="&quot;$&quot;#,##0.00"/>
    <numFmt numFmtId="169" formatCode="&quot;$&quot;#,##0"/>
    <numFmt numFmtId="170" formatCode="0.0000%"/>
    <numFmt numFmtId="171" formatCode="0.000%"/>
  </numFmts>
  <fonts count="11" x14ac:knownFonts="1">
    <font>
      <sz val="11"/>
      <color theme="1"/>
      <name val="Calibri"/>
      <family val="2"/>
      <scheme val="minor"/>
    </font>
    <font>
      <sz val="10"/>
      <name val="Tms Rmn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2C8E4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1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81">
    <xf numFmtId="0" fontId="0" fillId="0" borderId="0" xfId="0"/>
    <xf numFmtId="0" fontId="5" fillId="0" borderId="0" xfId="0" applyFont="1"/>
    <xf numFmtId="166" fontId="0" fillId="0" borderId="0" xfId="2" applyNumberFormat="1" applyFont="1"/>
    <xf numFmtId="0" fontId="0" fillId="0" borderId="1" xfId="0" applyBorder="1"/>
    <xf numFmtId="9" fontId="0" fillId="0" borderId="0" xfId="3" applyFont="1"/>
    <xf numFmtId="166" fontId="0" fillId="0" borderId="0" xfId="0" applyNumberFormat="1"/>
    <xf numFmtId="44" fontId="0" fillId="0" borderId="0" xfId="0" applyNumberFormat="1"/>
    <xf numFmtId="44" fontId="0" fillId="0" borderId="0" xfId="2" applyFont="1"/>
    <xf numFmtId="164" fontId="0" fillId="0" borderId="0" xfId="7" applyNumberFormat="1" applyFont="1"/>
    <xf numFmtId="6" fontId="0" fillId="0" borderId="0" xfId="0" applyNumberFormat="1"/>
    <xf numFmtId="169" fontId="0" fillId="0" borderId="0" xfId="0" applyNumberFormat="1" applyAlignment="1"/>
    <xf numFmtId="6" fontId="0" fillId="0" borderId="0" xfId="0" applyNumberFormat="1" applyAlignment="1">
      <alignment horizontal="left"/>
    </xf>
    <xf numFmtId="168" fontId="0" fillId="0" borderId="0" xfId="2" applyNumberFormat="1" applyFont="1" applyAlignment="1">
      <alignment horizontal="left"/>
    </xf>
    <xf numFmtId="169" fontId="0" fillId="0" borderId="0" xfId="2" applyNumberFormat="1" applyFont="1" applyAlignment="1">
      <alignment horizontal="left"/>
    </xf>
    <xf numFmtId="168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left"/>
    </xf>
    <xf numFmtId="168" fontId="0" fillId="5" borderId="0" xfId="0" applyNumberFormat="1" applyFill="1"/>
    <xf numFmtId="0" fontId="5" fillId="0" borderId="1" xfId="0" applyFont="1" applyBorder="1"/>
    <xf numFmtId="1" fontId="8" fillId="0" borderId="1" xfId="1" applyNumberFormat="1" applyFont="1" applyFill="1" applyBorder="1" applyAlignment="1" applyProtection="1">
      <alignment vertical="center"/>
      <protection locked="0"/>
    </xf>
    <xf numFmtId="1" fontId="8" fillId="0" borderId="1" xfId="1" applyNumberFormat="1" applyFont="1" applyFill="1" applyBorder="1" applyAlignment="1" applyProtection="1">
      <alignment horizontal="right" vertical="center"/>
      <protection locked="0"/>
    </xf>
    <xf numFmtId="0" fontId="5" fillId="0" borderId="1" xfId="0" applyFont="1" applyFill="1" applyBorder="1"/>
    <xf numFmtId="1" fontId="9" fillId="0" borderId="1" xfId="1" applyNumberFormat="1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6" fillId="0" borderId="1" xfId="0" applyFont="1" applyBorder="1"/>
    <xf numFmtId="0" fontId="3" fillId="0" borderId="1" xfId="0" applyFont="1" applyBorder="1"/>
    <xf numFmtId="169" fontId="0" fillId="5" borderId="0" xfId="0" applyNumberFormat="1" applyFill="1" applyAlignment="1">
      <alignment horizontal="left"/>
    </xf>
    <xf numFmtId="169" fontId="6" fillId="0" borderId="0" xfId="3" applyNumberFormat="1" applyFont="1" applyBorder="1" applyAlignment="1">
      <alignment horizontal="left"/>
    </xf>
    <xf numFmtId="6" fontId="8" fillId="0" borderId="5" xfId="3" applyNumberFormat="1" applyFont="1" applyFill="1" applyBorder="1" applyAlignment="1" applyProtection="1">
      <alignment vertical="center"/>
      <protection locked="0"/>
    </xf>
    <xf numFmtId="9" fontId="9" fillId="0" borderId="5" xfId="3" applyFont="1" applyFill="1" applyBorder="1" applyAlignment="1" applyProtection="1">
      <alignment horizontal="left" vertical="center" wrapText="1"/>
      <protection locked="0"/>
    </xf>
    <xf numFmtId="6" fontId="8" fillId="0" borderId="5" xfId="3" applyNumberFormat="1" applyFont="1" applyFill="1" applyBorder="1" applyAlignment="1" applyProtection="1">
      <alignment horizontal="right" vertical="center"/>
      <protection locked="0"/>
    </xf>
    <xf numFmtId="9" fontId="6" fillId="0" borderId="5" xfId="3" applyFont="1" applyBorder="1" applyAlignment="1">
      <alignment horizontal="left"/>
    </xf>
    <xf numFmtId="165" fontId="6" fillId="0" borderId="5" xfId="3" applyNumberFormat="1" applyFont="1" applyBorder="1" applyAlignment="1">
      <alignment horizontal="right"/>
    </xf>
    <xf numFmtId="9" fontId="6" fillId="0" borderId="5" xfId="3" applyFont="1" applyBorder="1"/>
    <xf numFmtId="6" fontId="6" fillId="0" borderId="5" xfId="3" applyNumberFormat="1" applyFont="1" applyBorder="1"/>
    <xf numFmtId="169" fontId="0" fillId="0" borderId="5" xfId="2" applyNumberFormat="1" applyFont="1" applyBorder="1"/>
    <xf numFmtId="169" fontId="6" fillId="0" borderId="5" xfId="2" applyNumberFormat="1" applyFont="1" applyBorder="1"/>
    <xf numFmtId="169" fontId="8" fillId="0" borderId="5" xfId="3" applyNumberFormat="1" applyFont="1" applyFill="1" applyBorder="1" applyAlignment="1" applyProtection="1">
      <alignment horizontal="left"/>
      <protection locked="0"/>
    </xf>
    <xf numFmtId="169" fontId="9" fillId="0" borderId="5" xfId="3" applyNumberFormat="1" applyFont="1" applyFill="1" applyBorder="1" applyAlignment="1" applyProtection="1">
      <alignment horizontal="left"/>
      <protection locked="0"/>
    </xf>
    <xf numFmtId="169" fontId="6" fillId="0" borderId="5" xfId="3" applyNumberFormat="1" applyFont="1" applyBorder="1" applyAlignment="1">
      <alignment horizontal="left"/>
    </xf>
    <xf numFmtId="169" fontId="0" fillId="0" borderId="5" xfId="3" applyNumberFormat="1" applyFont="1" applyBorder="1" applyAlignment="1">
      <alignment horizontal="left"/>
    </xf>
    <xf numFmtId="169" fontId="0" fillId="0" borderId="5" xfId="2" applyNumberFormat="1" applyFont="1" applyBorder="1" applyAlignment="1">
      <alignment horizontal="left"/>
    </xf>
    <xf numFmtId="169" fontId="6" fillId="0" borderId="5" xfId="2" applyNumberFormat="1" applyFont="1" applyBorder="1" applyAlignment="1">
      <alignment horizontal="left"/>
    </xf>
    <xf numFmtId="0" fontId="0" fillId="0" borderId="8" xfId="0" applyBorder="1"/>
    <xf numFmtId="169" fontId="5" fillId="0" borderId="7" xfId="3" applyNumberFormat="1" applyFont="1" applyBorder="1" applyAlignment="1">
      <alignment horizontal="left"/>
    </xf>
    <xf numFmtId="169" fontId="8" fillId="0" borderId="7" xfId="3" applyNumberFormat="1" applyFont="1" applyFill="1" applyBorder="1" applyAlignment="1" applyProtection="1">
      <alignment horizontal="left"/>
      <protection locked="0"/>
    </xf>
    <xf numFmtId="169" fontId="5" fillId="0" borderId="7" xfId="3" applyNumberFormat="1" applyFont="1" applyFill="1" applyBorder="1" applyAlignment="1">
      <alignment horizontal="left"/>
    </xf>
    <xf numFmtId="169" fontId="8" fillId="0" borderId="7" xfId="2" applyNumberFormat="1" applyFont="1" applyFill="1" applyBorder="1" applyAlignment="1" applyProtection="1">
      <alignment horizontal="left"/>
      <protection locked="0"/>
    </xf>
    <xf numFmtId="169" fontId="9" fillId="0" borderId="7" xfId="3" applyNumberFormat="1" applyFont="1" applyFill="1" applyBorder="1" applyAlignment="1" applyProtection="1">
      <alignment horizontal="left"/>
      <protection locked="0"/>
    </xf>
    <xf numFmtId="169" fontId="6" fillId="0" borderId="7" xfId="3" applyNumberFormat="1" applyFont="1" applyBorder="1" applyAlignment="1">
      <alignment horizontal="left"/>
    </xf>
    <xf numFmtId="169" fontId="0" fillId="0" borderId="7" xfId="3" applyNumberFormat="1" applyFont="1" applyBorder="1" applyAlignment="1">
      <alignment horizontal="left"/>
    </xf>
    <xf numFmtId="169" fontId="3" fillId="0" borderId="7" xfId="2" applyNumberFormat="1" applyFont="1" applyBorder="1" applyAlignment="1">
      <alignment horizontal="left"/>
    </xf>
    <xf numFmtId="169" fontId="0" fillId="0" borderId="7" xfId="2" applyNumberFormat="1" applyFont="1" applyBorder="1" applyAlignment="1">
      <alignment horizontal="left"/>
    </xf>
    <xf numFmtId="169" fontId="6" fillId="0" borderId="7" xfId="2" applyNumberFormat="1" applyFont="1" applyBorder="1" applyAlignment="1">
      <alignment horizontal="left"/>
    </xf>
    <xf numFmtId="9" fontId="5" fillId="0" borderId="7" xfId="3" applyFont="1" applyBorder="1"/>
    <xf numFmtId="6" fontId="8" fillId="0" borderId="7" xfId="3" applyNumberFormat="1" applyFont="1" applyFill="1" applyBorder="1" applyAlignment="1" applyProtection="1">
      <alignment vertical="center"/>
      <protection locked="0"/>
    </xf>
    <xf numFmtId="9" fontId="8" fillId="0" borderId="7" xfId="3" applyFont="1" applyFill="1" applyBorder="1" applyAlignment="1" applyProtection="1">
      <alignment vertical="center"/>
      <protection locked="0"/>
    </xf>
    <xf numFmtId="9" fontId="5" fillId="0" borderId="7" xfId="3" applyFont="1" applyFill="1" applyBorder="1"/>
    <xf numFmtId="166" fontId="8" fillId="0" borderId="7" xfId="2" applyNumberFormat="1" applyFont="1" applyFill="1" applyBorder="1" applyAlignment="1" applyProtection="1">
      <alignment vertical="center"/>
      <protection locked="0"/>
    </xf>
    <xf numFmtId="9" fontId="9" fillId="0" borderId="7" xfId="3" applyFont="1" applyFill="1" applyBorder="1" applyAlignment="1" applyProtection="1">
      <alignment horizontal="left" vertical="center" wrapText="1"/>
      <protection locked="0"/>
    </xf>
    <xf numFmtId="166" fontId="8" fillId="0" borderId="7" xfId="2" applyNumberFormat="1" applyFont="1" applyFill="1" applyBorder="1" applyAlignment="1" applyProtection="1">
      <alignment horizontal="right" vertical="center"/>
      <protection locked="0"/>
    </xf>
    <xf numFmtId="9" fontId="8" fillId="0" borderId="7" xfId="3" applyFont="1" applyFill="1" applyBorder="1" applyAlignment="1" applyProtection="1">
      <alignment horizontal="right" vertical="center"/>
      <protection locked="0"/>
    </xf>
    <xf numFmtId="6" fontId="8" fillId="0" borderId="7" xfId="3" applyNumberFormat="1" applyFont="1" applyFill="1" applyBorder="1" applyAlignment="1" applyProtection="1">
      <alignment horizontal="right" vertical="center"/>
      <protection locked="0"/>
    </xf>
    <xf numFmtId="9" fontId="9" fillId="0" borderId="7" xfId="3" applyFont="1" applyFill="1" applyBorder="1" applyAlignment="1" applyProtection="1">
      <alignment horizontal="left" vertical="center"/>
      <protection locked="0"/>
    </xf>
    <xf numFmtId="9" fontId="6" fillId="0" borderId="7" xfId="3" applyFont="1" applyBorder="1" applyAlignment="1">
      <alignment horizontal="left"/>
    </xf>
    <xf numFmtId="9" fontId="0" fillId="0" borderId="7" xfId="3" applyFont="1" applyBorder="1" applyAlignment="1">
      <alignment horizontal="right"/>
    </xf>
    <xf numFmtId="165" fontId="0" fillId="0" borderId="7" xfId="3" applyNumberFormat="1" applyFont="1" applyBorder="1" applyAlignment="1">
      <alignment horizontal="right"/>
    </xf>
    <xf numFmtId="6" fontId="0" fillId="0" borderId="7" xfId="3" applyNumberFormat="1" applyFont="1" applyBorder="1" applyAlignment="1">
      <alignment horizontal="right"/>
    </xf>
    <xf numFmtId="6" fontId="0" fillId="0" borderId="7" xfId="3" applyNumberFormat="1" applyFont="1" applyBorder="1"/>
    <xf numFmtId="165" fontId="6" fillId="0" borderId="7" xfId="3" applyNumberFormat="1" applyFont="1" applyBorder="1" applyAlignment="1">
      <alignment horizontal="right"/>
    </xf>
    <xf numFmtId="9" fontId="6" fillId="0" borderId="7" xfId="3" applyFont="1" applyBorder="1"/>
    <xf numFmtId="9" fontId="3" fillId="0" borderId="7" xfId="3" applyFont="1" applyBorder="1"/>
    <xf numFmtId="6" fontId="6" fillId="0" borderId="7" xfId="3" applyNumberFormat="1" applyFont="1" applyBorder="1"/>
    <xf numFmtId="169" fontId="3" fillId="0" borderId="7" xfId="2" applyNumberFormat="1" applyFont="1" applyBorder="1"/>
    <xf numFmtId="169" fontId="0" fillId="0" borderId="7" xfId="2" applyNumberFormat="1" applyFont="1" applyBorder="1"/>
    <xf numFmtId="169" fontId="6" fillId="0" borderId="7" xfId="2" applyNumberFormat="1" applyFont="1" applyBorder="1"/>
    <xf numFmtId="169" fontId="8" fillId="0" borderId="7" xfId="2" applyNumberFormat="1" applyFont="1" applyFill="1" applyBorder="1" applyAlignment="1" applyProtection="1">
      <alignment horizontal="right" vertical="center"/>
      <protection locked="0"/>
    </xf>
    <xf numFmtId="168" fontId="3" fillId="0" borderId="7" xfId="2" applyNumberFormat="1" applyFont="1" applyBorder="1"/>
    <xf numFmtId="10" fontId="0" fillId="0" borderId="7" xfId="3" applyNumberFormat="1" applyFont="1" applyBorder="1"/>
    <xf numFmtId="0" fontId="5" fillId="0" borderId="3" xfId="0" applyFont="1" applyBorder="1"/>
    <xf numFmtId="169" fontId="5" fillId="0" borderId="9" xfId="3" applyNumberFormat="1" applyFont="1" applyBorder="1" applyAlignment="1">
      <alignment horizontal="left"/>
    </xf>
    <xf numFmtId="1" fontId="8" fillId="0" borderId="4" xfId="1" applyNumberFormat="1" applyFont="1" applyFill="1" applyBorder="1" applyAlignment="1" applyProtection="1">
      <alignment vertical="center"/>
      <protection locked="0"/>
    </xf>
    <xf numFmtId="1" fontId="8" fillId="0" borderId="4" xfId="1" applyNumberFormat="1" applyFont="1" applyFill="1" applyBorder="1" applyAlignment="1" applyProtection="1">
      <alignment horizontal="right" vertical="center"/>
      <protection locked="0"/>
    </xf>
    <xf numFmtId="9" fontId="8" fillId="0" borderId="8" xfId="3" applyFont="1" applyFill="1" applyBorder="1" applyAlignment="1" applyProtection="1">
      <alignment vertical="center"/>
      <protection locked="0"/>
    </xf>
    <xf numFmtId="169" fontId="8" fillId="0" borderId="8" xfId="3" applyNumberFormat="1" applyFont="1" applyFill="1" applyBorder="1" applyAlignment="1" applyProtection="1">
      <alignment horizontal="left"/>
      <protection locked="0"/>
    </xf>
    <xf numFmtId="1" fontId="8" fillId="5" borderId="5" xfId="1" applyNumberFormat="1" applyFont="1" applyFill="1" applyBorder="1" applyAlignment="1" applyProtection="1">
      <alignment vertical="center"/>
      <protection locked="0"/>
    </xf>
    <xf numFmtId="169" fontId="0" fillId="0" borderId="5" xfId="0" applyNumberFormat="1" applyBorder="1" applyAlignment="1">
      <alignment horizontal="left"/>
    </xf>
    <xf numFmtId="1" fontId="8" fillId="0" borderId="3" xfId="1" applyNumberFormat="1" applyFont="1" applyFill="1" applyBorder="1" applyAlignment="1" applyProtection="1">
      <alignment vertical="center"/>
      <protection locked="0"/>
    </xf>
    <xf numFmtId="1" fontId="8" fillId="0" borderId="3" xfId="1" applyNumberFormat="1" applyFont="1" applyFill="1" applyBorder="1" applyAlignment="1" applyProtection="1">
      <alignment horizontal="right" vertical="center"/>
      <protection locked="0"/>
    </xf>
    <xf numFmtId="6" fontId="8" fillId="0" borderId="9" xfId="3" applyNumberFormat="1" applyFont="1" applyFill="1" applyBorder="1" applyAlignment="1" applyProtection="1">
      <alignment vertical="center"/>
      <protection locked="0"/>
    </xf>
    <xf numFmtId="169" fontId="8" fillId="0" borderId="9" xfId="3" applyNumberFormat="1" applyFont="1" applyFill="1" applyBorder="1" applyAlignment="1" applyProtection="1">
      <alignment horizontal="left"/>
      <protection locked="0"/>
    </xf>
    <xf numFmtId="166" fontId="8" fillId="0" borderId="8" xfId="2" applyNumberFormat="1" applyFont="1" applyFill="1" applyBorder="1" applyAlignment="1" applyProtection="1">
      <alignment horizontal="right" vertical="center"/>
      <protection locked="0"/>
    </xf>
    <xf numFmtId="169" fontId="8" fillId="0" borderId="8" xfId="2" applyNumberFormat="1" applyFont="1" applyFill="1" applyBorder="1" applyAlignment="1" applyProtection="1">
      <alignment horizontal="left"/>
      <protection locked="0"/>
    </xf>
    <xf numFmtId="1" fontId="9" fillId="3" borderId="5" xfId="1" applyNumberFormat="1" applyFont="1" applyFill="1" applyBorder="1" applyAlignment="1" applyProtection="1">
      <alignment horizontal="left" vertical="center" wrapText="1"/>
      <protection locked="0"/>
    </xf>
    <xf numFmtId="9" fontId="8" fillId="0" borderId="9" xfId="3" applyFont="1" applyFill="1" applyBorder="1" applyAlignment="1" applyProtection="1">
      <alignment horizontal="right" vertical="center"/>
      <protection locked="0"/>
    </xf>
    <xf numFmtId="9" fontId="8" fillId="0" borderId="8" xfId="3" applyFont="1" applyFill="1" applyBorder="1" applyAlignment="1" applyProtection="1">
      <alignment horizontal="right" vertical="center"/>
      <protection locked="0"/>
    </xf>
    <xf numFmtId="1" fontId="8" fillId="5" borderId="5" xfId="1" applyNumberFormat="1" applyFont="1" applyFill="1" applyBorder="1" applyAlignment="1" applyProtection="1">
      <alignment horizontal="right" vertical="center"/>
      <protection locked="0"/>
    </xf>
    <xf numFmtId="6" fontId="0" fillId="0" borderId="5" xfId="0" applyNumberFormat="1" applyBorder="1"/>
    <xf numFmtId="0" fontId="0" fillId="0" borderId="3" xfId="0" applyBorder="1" applyAlignment="1">
      <alignment horizontal="right"/>
    </xf>
    <xf numFmtId="169" fontId="0" fillId="0" borderId="9" xfId="3" applyNumberFormat="1" applyFont="1" applyBorder="1" applyAlignment="1">
      <alignment horizontal="left"/>
    </xf>
    <xf numFmtId="0" fontId="0" fillId="0" borderId="4" xfId="0" applyBorder="1" applyAlignment="1">
      <alignment horizontal="right"/>
    </xf>
    <xf numFmtId="0" fontId="6" fillId="4" borderId="10" xfId="0" applyFont="1" applyFill="1" applyBorder="1" applyAlignment="1">
      <alignment horizontal="left"/>
    </xf>
    <xf numFmtId="169" fontId="0" fillId="0" borderId="10" xfId="0" applyNumberFormat="1" applyBorder="1" applyAlignment="1">
      <alignment horizontal="left"/>
    </xf>
    <xf numFmtId="0" fontId="3" fillId="0" borderId="3" xfId="0" applyFont="1" applyBorder="1"/>
    <xf numFmtId="169" fontId="3" fillId="0" borderId="9" xfId="2" applyNumberFormat="1" applyFont="1" applyBorder="1"/>
    <xf numFmtId="169" fontId="3" fillId="0" borderId="9" xfId="2" applyNumberFormat="1" applyFont="1" applyBorder="1" applyAlignment="1">
      <alignment horizontal="left"/>
    </xf>
    <xf numFmtId="0" fontId="0" fillId="0" borderId="4" xfId="0" applyBorder="1"/>
    <xf numFmtId="169" fontId="0" fillId="0" borderId="8" xfId="2" applyNumberFormat="1" applyFont="1" applyBorder="1" applyAlignment="1">
      <alignment horizontal="left"/>
    </xf>
    <xf numFmtId="0" fontId="0" fillId="4" borderId="10" xfId="0" applyFill="1" applyBorder="1"/>
    <xf numFmtId="169" fontId="0" fillId="0" borderId="10" xfId="2" applyNumberFormat="1" applyFont="1" applyBorder="1" applyAlignment="1">
      <alignment horizontal="left"/>
    </xf>
    <xf numFmtId="0" fontId="0" fillId="0" borderId="3" xfId="0" applyBorder="1"/>
    <xf numFmtId="169" fontId="0" fillId="0" borderId="9" xfId="2" applyNumberFormat="1" applyFont="1" applyBorder="1"/>
    <xf numFmtId="169" fontId="0" fillId="0" borderId="9" xfId="2" applyNumberFormat="1" applyFont="1" applyBorder="1" applyAlignment="1">
      <alignment horizontal="left"/>
    </xf>
    <xf numFmtId="169" fontId="8" fillId="0" borderId="8" xfId="2" applyNumberFormat="1" applyFont="1" applyFill="1" applyBorder="1" applyAlignment="1" applyProtection="1">
      <alignment horizontal="right" vertical="center"/>
      <protection locked="0"/>
    </xf>
    <xf numFmtId="0" fontId="6" fillId="3" borderId="5" xfId="0" applyFont="1" applyFill="1" applyBorder="1"/>
    <xf numFmtId="0" fontId="0" fillId="0" borderId="5" xfId="0" applyBorder="1"/>
    <xf numFmtId="0" fontId="0" fillId="5" borderId="5" xfId="0" applyFill="1" applyBorder="1"/>
    <xf numFmtId="169" fontId="0" fillId="0" borderId="5" xfId="0" applyNumberFormat="1" applyBorder="1"/>
    <xf numFmtId="0" fontId="6" fillId="5" borderId="5" xfId="0" applyFont="1" applyFill="1" applyBorder="1"/>
    <xf numFmtId="6" fontId="0" fillId="0" borderId="5" xfId="0" applyNumberFormat="1" applyBorder="1" applyAlignment="1">
      <alignment horizontal="left"/>
    </xf>
    <xf numFmtId="9" fontId="3" fillId="0" borderId="9" xfId="3" applyFont="1" applyBorder="1"/>
    <xf numFmtId="169" fontId="3" fillId="0" borderId="9" xfId="3" applyNumberFormat="1" applyFont="1" applyBorder="1" applyAlignment="1">
      <alignment horizontal="left"/>
    </xf>
    <xf numFmtId="0" fontId="0" fillId="3" borderId="5" xfId="0" applyFill="1" applyBorder="1"/>
    <xf numFmtId="6" fontId="0" fillId="0" borderId="9" xfId="3" applyNumberFormat="1" applyFont="1" applyBorder="1"/>
    <xf numFmtId="0" fontId="6" fillId="5" borderId="5" xfId="0" applyFont="1" applyFill="1" applyBorder="1" applyAlignment="1">
      <alignment horizontal="left"/>
    </xf>
    <xf numFmtId="168" fontId="0" fillId="0" borderId="5" xfId="0" applyNumberFormat="1" applyBorder="1" applyAlignment="1">
      <alignment horizontal="left"/>
    </xf>
    <xf numFmtId="0" fontId="6" fillId="0" borderId="4" xfId="0" applyFont="1" applyBorder="1" applyAlignment="1">
      <alignment horizontal="left"/>
    </xf>
    <xf numFmtId="9" fontId="6" fillId="0" borderId="8" xfId="3" applyFont="1" applyBorder="1" applyAlignment="1">
      <alignment horizontal="left"/>
    </xf>
    <xf numFmtId="0" fontId="0" fillId="3" borderId="5" xfId="0" applyFill="1" applyBorder="1" applyAlignment="1">
      <alignment horizontal="left"/>
    </xf>
    <xf numFmtId="168" fontId="0" fillId="0" borderId="5" xfId="0" applyNumberFormat="1" applyBorder="1"/>
    <xf numFmtId="166" fontId="8" fillId="7" borderId="8" xfId="2" applyNumberFormat="1" applyFont="1" applyFill="1" applyBorder="1" applyAlignment="1" applyProtection="1">
      <alignment horizontal="right" vertical="center"/>
      <protection locked="0"/>
    </xf>
    <xf numFmtId="9" fontId="6" fillId="7" borderId="7" xfId="3" applyFont="1" applyFill="1" applyBorder="1" applyAlignment="1">
      <alignment horizontal="left"/>
    </xf>
    <xf numFmtId="9" fontId="9" fillId="7" borderId="5" xfId="3" quotePrefix="1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right"/>
    </xf>
    <xf numFmtId="0" fontId="5" fillId="0" borderId="11" xfId="0" applyFont="1" applyBorder="1"/>
    <xf numFmtId="1" fontId="8" fillId="0" borderId="12" xfId="1" applyNumberFormat="1" applyFont="1" applyFill="1" applyBorder="1" applyAlignment="1" applyProtection="1">
      <alignment horizontal="right" vertical="center"/>
      <protection locked="0"/>
    </xf>
    <xf numFmtId="1" fontId="8" fillId="0" borderId="13" xfId="1" applyNumberFormat="1" applyFont="1" applyFill="1" applyBorder="1" applyAlignment="1" applyProtection="1">
      <alignment vertical="center"/>
      <protection locked="0"/>
    </xf>
    <xf numFmtId="0" fontId="5" fillId="0" borderId="2" xfId="0" applyFont="1" applyFill="1" applyBorder="1"/>
    <xf numFmtId="1" fontId="8" fillId="0" borderId="2" xfId="1" applyNumberFormat="1" applyFont="1" applyFill="1" applyBorder="1" applyAlignment="1" applyProtection="1">
      <alignment horizontal="right" vertical="center"/>
      <protection locked="0"/>
    </xf>
    <xf numFmtId="1" fontId="8" fillId="0" borderId="11" xfId="1" applyNumberFormat="1" applyFont="1" applyFill="1" applyBorder="1" applyAlignment="1" applyProtection="1">
      <alignment horizontal="right" vertical="center"/>
      <protection locked="0"/>
    </xf>
    <xf numFmtId="1" fontId="9" fillId="0" borderId="12" xfId="1" applyNumberFormat="1" applyFont="1" applyFill="1" applyBorder="1" applyAlignment="1" applyProtection="1">
      <alignment horizontal="left" vertical="center" wrapText="1"/>
      <protection locked="0"/>
    </xf>
    <xf numFmtId="1" fontId="8" fillId="0" borderId="13" xfId="1" applyNumberFormat="1" applyFont="1" applyFill="1" applyBorder="1" applyAlignment="1" applyProtection="1">
      <alignment horizontal="right" vertical="center"/>
      <protection locked="0"/>
    </xf>
    <xf numFmtId="1" fontId="8" fillId="0" borderId="11" xfId="1" applyNumberFormat="1" applyFont="1" applyFill="1" applyBorder="1" applyAlignment="1" applyProtection="1">
      <alignment horizontal="left" vertical="center"/>
      <protection locked="0"/>
    </xf>
    <xf numFmtId="1" fontId="8" fillId="0" borderId="13" xfId="1" applyNumberFormat="1" applyFont="1" applyFill="1" applyBorder="1" applyAlignment="1" applyProtection="1">
      <alignment horizontal="left" vertical="center"/>
      <protection locked="0"/>
    </xf>
    <xf numFmtId="1" fontId="8" fillId="0" borderId="2" xfId="1" applyNumberFormat="1" applyFont="1" applyFill="1" applyBorder="1" applyAlignment="1" applyProtection="1">
      <alignment horizontal="left" vertical="center"/>
      <protection locked="0"/>
    </xf>
    <xf numFmtId="1" fontId="9" fillId="0" borderId="2" xfId="1" applyNumberFormat="1" applyFont="1" applyFill="1" applyBorder="1" applyAlignment="1" applyProtection="1">
      <alignment horizontal="left" vertical="center"/>
      <protection locked="0"/>
    </xf>
    <xf numFmtId="0" fontId="0" fillId="0" borderId="11" xfId="0" applyBorder="1" applyAlignment="1">
      <alignment horizontal="right"/>
    </xf>
    <xf numFmtId="0" fontId="6" fillId="0" borderId="14" xfId="0" applyFont="1" applyBorder="1" applyAlignment="1">
      <alignment horizontal="left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5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2" xfId="0" applyFont="1" applyBorder="1"/>
    <xf numFmtId="0" fontId="3" fillId="0" borderId="11" xfId="0" applyFont="1" applyBorder="1"/>
    <xf numFmtId="0" fontId="6" fillId="0" borderId="12" xfId="0" applyFont="1" applyBorder="1"/>
    <xf numFmtId="0" fontId="6" fillId="0" borderId="11" xfId="0" applyFont="1" applyBorder="1"/>
    <xf numFmtId="0" fontId="0" fillId="0" borderId="12" xfId="0" applyBorder="1"/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3" xfId="0" applyBorder="1"/>
    <xf numFmtId="0" fontId="3" fillId="0" borderId="2" xfId="0" applyFont="1" applyBorder="1"/>
    <xf numFmtId="167" fontId="8" fillId="0" borderId="2" xfId="1" applyNumberFormat="1" applyFont="1" applyFill="1" applyBorder="1" applyAlignment="1" applyProtection="1">
      <alignment horizontal="left" vertical="center"/>
      <protection locked="0"/>
    </xf>
    <xf numFmtId="0" fontId="0" fillId="0" borderId="2" xfId="0" applyFont="1" applyBorder="1" applyAlignment="1">
      <alignment horizontal="right"/>
    </xf>
    <xf numFmtId="169" fontId="0" fillId="0" borderId="15" xfId="0" applyNumberFormat="1" applyBorder="1" applyAlignment="1">
      <alignment horizontal="left"/>
    </xf>
    <xf numFmtId="169" fontId="0" fillId="0" borderId="15" xfId="2" applyNumberFormat="1" applyFont="1" applyBorder="1" applyAlignment="1">
      <alignment horizontal="left"/>
    </xf>
    <xf numFmtId="6" fontId="0" fillId="0" borderId="15" xfId="0" applyNumberFormat="1" applyBorder="1"/>
    <xf numFmtId="169" fontId="0" fillId="0" borderId="16" xfId="0" applyNumberFormat="1" applyBorder="1" applyAlignment="1">
      <alignment horizontal="left"/>
    </xf>
    <xf numFmtId="168" fontId="0" fillId="0" borderId="15" xfId="0" applyNumberFormat="1" applyBorder="1"/>
    <xf numFmtId="168" fontId="0" fillId="0" borderId="15" xfId="0" applyNumberFormat="1" applyBorder="1" applyAlignment="1">
      <alignment horizontal="left"/>
    </xf>
    <xf numFmtId="0" fontId="0" fillId="0" borderId="15" xfId="0" applyBorder="1"/>
    <xf numFmtId="6" fontId="0" fillId="0" borderId="15" xfId="0" applyNumberFormat="1" applyBorder="1" applyAlignment="1">
      <alignment horizontal="left"/>
    </xf>
    <xf numFmtId="169" fontId="0" fillId="0" borderId="15" xfId="0" applyNumberFormat="1" applyBorder="1"/>
    <xf numFmtId="0" fontId="0" fillId="0" borderId="7" xfId="0" applyBorder="1"/>
    <xf numFmtId="0" fontId="5" fillId="0" borderId="7" xfId="0" applyFont="1" applyBorder="1"/>
    <xf numFmtId="1" fontId="8" fillId="0" borderId="7" xfId="1" applyNumberFormat="1" applyFont="1" applyFill="1" applyBorder="1" applyAlignment="1" applyProtection="1">
      <alignment horizontal="right" vertical="center"/>
      <protection locked="0"/>
    </xf>
    <xf numFmtId="0" fontId="5" fillId="0" borderId="7" xfId="0" applyFont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1" fontId="9" fillId="0" borderId="7" xfId="1" applyNumberFormat="1" applyFont="1" applyFill="1" applyBorder="1" applyAlignment="1" applyProtection="1">
      <alignment horizontal="right" vertical="center" wrapText="1"/>
      <protection locked="0"/>
    </xf>
    <xf numFmtId="1" fontId="9" fillId="0" borderId="7" xfId="1" applyNumberFormat="1" applyFont="1" applyFill="1" applyBorder="1" applyAlignment="1" applyProtection="1">
      <alignment horizontal="left" vertical="center"/>
      <protection locked="0"/>
    </xf>
    <xf numFmtId="0" fontId="6" fillId="0" borderId="7" xfId="0" applyFont="1" applyBorder="1" applyAlignment="1">
      <alignment horizontal="left"/>
    </xf>
    <xf numFmtId="0" fontId="0" fillId="0" borderId="7" xfId="0" applyBorder="1" applyAlignment="1">
      <alignment horizontal="right"/>
    </xf>
    <xf numFmtId="0" fontId="6" fillId="0" borderId="7" xfId="0" applyFont="1" applyBorder="1"/>
    <xf numFmtId="0" fontId="3" fillId="0" borderId="7" xfId="0" applyFont="1" applyBorder="1"/>
    <xf numFmtId="0" fontId="0" fillId="0" borderId="7" xfId="0" applyFont="1" applyBorder="1"/>
    <xf numFmtId="9" fontId="5" fillId="0" borderId="9" xfId="3" applyFont="1" applyFill="1" applyBorder="1"/>
    <xf numFmtId="9" fontId="6" fillId="0" borderId="17" xfId="3" applyFont="1" applyBorder="1" applyAlignment="1">
      <alignment horizontal="left"/>
    </xf>
    <xf numFmtId="169" fontId="0" fillId="0" borderId="0" xfId="0" applyNumberFormat="1" applyBorder="1" applyAlignment="1">
      <alignment horizontal="left"/>
    </xf>
    <xf numFmtId="165" fontId="0" fillId="7" borderId="7" xfId="3" applyNumberFormat="1" applyFont="1" applyFill="1" applyBorder="1" applyAlignment="1">
      <alignment horizontal="right"/>
    </xf>
    <xf numFmtId="165" fontId="0" fillId="7" borderId="18" xfId="3" applyNumberFormat="1" applyFont="1" applyFill="1" applyBorder="1" applyAlignment="1">
      <alignment horizontal="right"/>
    </xf>
    <xf numFmtId="165" fontId="0" fillId="7" borderId="5" xfId="3" applyNumberFormat="1" applyFont="1" applyFill="1" applyBorder="1" applyAlignment="1">
      <alignment horizontal="right"/>
    </xf>
    <xf numFmtId="9" fontId="8" fillId="5" borderId="7" xfId="3" applyFont="1" applyFill="1" applyBorder="1" applyAlignment="1" applyProtection="1">
      <alignment horizontal="right" vertical="center"/>
      <protection locked="0"/>
    </xf>
    <xf numFmtId="165" fontId="6" fillId="5" borderId="5" xfId="3" applyNumberFormat="1" applyFont="1" applyFill="1" applyBorder="1" applyAlignment="1">
      <alignment horizontal="right"/>
    </xf>
    <xf numFmtId="6" fontId="0" fillId="7" borderId="5" xfId="3" applyNumberFormat="1" applyFont="1" applyFill="1" applyBorder="1"/>
    <xf numFmtId="0" fontId="0" fillId="6" borderId="0" xfId="0" applyFill="1"/>
    <xf numFmtId="6" fontId="8" fillId="7" borderId="7" xfId="3" applyNumberFormat="1" applyFont="1" applyFill="1" applyBorder="1" applyAlignment="1" applyProtection="1">
      <alignment horizontal="right" vertical="center"/>
      <protection locked="0"/>
    </xf>
    <xf numFmtId="6" fontId="8" fillId="7" borderId="9" xfId="3" applyNumberFormat="1" applyFont="1" applyFill="1" applyBorder="1" applyAlignment="1" applyProtection="1">
      <alignment horizontal="right" vertical="center"/>
      <protection locked="0"/>
    </xf>
    <xf numFmtId="9" fontId="8" fillId="7" borderId="8" xfId="3" applyFont="1" applyFill="1" applyBorder="1" applyAlignment="1" applyProtection="1">
      <alignment horizontal="right" vertical="center"/>
      <protection locked="0"/>
    </xf>
    <xf numFmtId="169" fontId="0" fillId="7" borderId="5" xfId="2" applyNumberFormat="1" applyFont="1" applyFill="1" applyBorder="1"/>
    <xf numFmtId="169" fontId="8" fillId="7" borderId="8" xfId="2" applyNumberFormat="1" applyFont="1" applyFill="1" applyBorder="1" applyAlignment="1" applyProtection="1">
      <alignment horizontal="right" vertical="center"/>
      <protection locked="0"/>
    </xf>
    <xf numFmtId="169" fontId="8" fillId="7" borderId="7" xfId="2" applyNumberFormat="1" applyFont="1" applyFill="1" applyBorder="1" applyAlignment="1" applyProtection="1">
      <alignment horizontal="right" vertical="center"/>
      <protection locked="0"/>
    </xf>
    <xf numFmtId="169" fontId="0" fillId="7" borderId="7" xfId="2" applyNumberFormat="1" applyFont="1" applyFill="1" applyBorder="1"/>
    <xf numFmtId="169" fontId="0" fillId="7" borderId="10" xfId="2" applyNumberFormat="1" applyFont="1" applyFill="1" applyBorder="1"/>
    <xf numFmtId="169" fontId="0" fillId="7" borderId="8" xfId="2" applyNumberFormat="1" applyFont="1" applyFill="1" applyBorder="1"/>
    <xf numFmtId="169" fontId="8" fillId="7" borderId="7" xfId="2" applyNumberFormat="1" applyFont="1" applyFill="1" applyBorder="1" applyAlignment="1" applyProtection="1">
      <alignment horizontal="left"/>
      <protection locked="0"/>
    </xf>
    <xf numFmtId="169" fontId="8" fillId="7" borderId="9" xfId="3" applyNumberFormat="1" applyFont="1" applyFill="1" applyBorder="1" applyAlignment="1" applyProtection="1">
      <alignment horizontal="left"/>
      <protection locked="0"/>
    </xf>
    <xf numFmtId="169" fontId="8" fillId="7" borderId="8" xfId="2" applyNumberFormat="1" applyFont="1" applyFill="1" applyBorder="1" applyAlignment="1" applyProtection="1">
      <alignment horizontal="left"/>
      <protection locked="0"/>
    </xf>
    <xf numFmtId="6" fontId="8" fillId="6" borderId="5" xfId="3" applyNumberFormat="1" applyFont="1" applyFill="1" applyBorder="1" applyAlignment="1" applyProtection="1">
      <alignment vertical="center"/>
      <protection locked="0"/>
    </xf>
    <xf numFmtId="9" fontId="0" fillId="0" borderId="7" xfId="3" applyFont="1" applyBorder="1" applyAlignment="1">
      <alignment horizontal="left"/>
    </xf>
    <xf numFmtId="9" fontId="0" fillId="0" borderId="9" xfId="3" applyFont="1" applyBorder="1" applyAlignment="1">
      <alignment horizontal="left"/>
    </xf>
    <xf numFmtId="9" fontId="0" fillId="0" borderId="8" xfId="3" applyFont="1" applyBorder="1" applyAlignment="1">
      <alignment horizontal="left"/>
    </xf>
    <xf numFmtId="6" fontId="0" fillId="6" borderId="7" xfId="3" applyNumberFormat="1" applyFont="1" applyFill="1" applyBorder="1" applyAlignment="1">
      <alignment horizontal="right"/>
    </xf>
    <xf numFmtId="9" fontId="8" fillId="0" borderId="8" xfId="3" applyFont="1" applyFill="1" applyBorder="1" applyAlignment="1" applyProtection="1">
      <alignment horizontal="left"/>
      <protection locked="0"/>
    </xf>
    <xf numFmtId="9" fontId="8" fillId="0" borderId="7" xfId="3" applyFont="1" applyFill="1" applyBorder="1" applyAlignment="1" applyProtection="1">
      <alignment horizontal="left"/>
      <protection locked="0"/>
    </xf>
    <xf numFmtId="165" fontId="0" fillId="0" borderId="8" xfId="3" applyNumberFormat="1" applyFont="1" applyFill="1" applyBorder="1" applyAlignment="1">
      <alignment horizontal="right"/>
    </xf>
    <xf numFmtId="165" fontId="0" fillId="0" borderId="9" xfId="3" applyNumberFormat="1" applyFont="1" applyFill="1" applyBorder="1" applyAlignment="1">
      <alignment horizontal="right"/>
    </xf>
    <xf numFmtId="165" fontId="0" fillId="0" borderId="5" xfId="3" applyNumberFormat="1" applyFont="1" applyFill="1" applyBorder="1" applyAlignment="1">
      <alignment horizontal="right"/>
    </xf>
    <xf numFmtId="6" fontId="8" fillId="0" borderId="9" xfId="3" applyNumberFormat="1" applyFont="1" applyFill="1" applyBorder="1" applyAlignment="1" applyProtection="1">
      <alignment horizontal="right" vertical="center"/>
      <protection locked="0"/>
    </xf>
    <xf numFmtId="6" fontId="6" fillId="0" borderId="5" xfId="3" applyNumberFormat="1" applyFont="1" applyFill="1" applyBorder="1"/>
    <xf numFmtId="169" fontId="0" fillId="0" borderId="5" xfId="2" applyNumberFormat="1" applyFont="1" applyFill="1" applyBorder="1"/>
    <xf numFmtId="169" fontId="0" fillId="0" borderId="10" xfId="2" applyNumberFormat="1" applyFont="1" applyFill="1" applyBorder="1"/>
    <xf numFmtId="169" fontId="0" fillId="0" borderId="8" xfId="2" applyNumberFormat="1" applyFont="1" applyFill="1" applyBorder="1"/>
    <xf numFmtId="9" fontId="6" fillId="0" borderId="7" xfId="3" applyFont="1" applyFill="1" applyBorder="1" applyAlignment="1">
      <alignment horizontal="left"/>
    </xf>
    <xf numFmtId="165" fontId="6" fillId="7" borderId="5" xfId="3" applyNumberFormat="1" applyFont="1" applyFill="1" applyBorder="1" applyAlignment="1">
      <alignment horizontal="right"/>
    </xf>
    <xf numFmtId="6" fontId="0" fillId="0" borderId="5" xfId="3" applyNumberFormat="1" applyFont="1" applyFill="1" applyBorder="1"/>
    <xf numFmtId="10" fontId="0" fillId="7" borderId="7" xfId="3" applyNumberFormat="1" applyFont="1" applyFill="1" applyBorder="1"/>
    <xf numFmtId="169" fontId="0" fillId="7" borderId="9" xfId="2" applyNumberFormat="1" applyFont="1" applyFill="1" applyBorder="1"/>
    <xf numFmtId="165" fontId="6" fillId="0" borderId="5" xfId="3" applyNumberFormat="1" applyFont="1" applyBorder="1" applyAlignment="1">
      <alignment horizontal="left"/>
    </xf>
    <xf numFmtId="169" fontId="0" fillId="5" borderId="0" xfId="0" applyNumberFormat="1" applyFill="1" applyAlignment="1">
      <alignment horizontal="right"/>
    </xf>
    <xf numFmtId="168" fontId="0" fillId="5" borderId="0" xfId="0" applyNumberFormat="1" applyFill="1" applyAlignment="1">
      <alignment horizontal="left"/>
    </xf>
    <xf numFmtId="169" fontId="9" fillId="7" borderId="5" xfId="3" applyNumberFormat="1" applyFont="1" applyFill="1" applyBorder="1" applyAlignment="1" applyProtection="1">
      <alignment horizontal="left"/>
      <protection locked="0"/>
    </xf>
    <xf numFmtId="9" fontId="0" fillId="7" borderId="8" xfId="3" applyFont="1" applyFill="1" applyBorder="1" applyAlignment="1">
      <alignment horizontal="left"/>
    </xf>
    <xf numFmtId="9" fontId="0" fillId="7" borderId="9" xfId="3" applyFont="1" applyFill="1" applyBorder="1" applyAlignment="1">
      <alignment horizontal="left"/>
    </xf>
    <xf numFmtId="165" fontId="0" fillId="0" borderId="5" xfId="3" applyNumberFormat="1" applyFont="1" applyBorder="1" applyAlignment="1">
      <alignment horizontal="left"/>
    </xf>
    <xf numFmtId="9" fontId="0" fillId="7" borderId="5" xfId="3" applyFont="1" applyFill="1" applyBorder="1" applyAlignment="1">
      <alignment horizontal="left"/>
    </xf>
    <xf numFmtId="168" fontId="0" fillId="0" borderId="0" xfId="0" applyNumberFormat="1" applyAlignment="1">
      <alignment horizontal="left"/>
    </xf>
    <xf numFmtId="165" fontId="6" fillId="7" borderId="5" xfId="3" applyNumberFormat="1" applyFont="1" applyFill="1" applyBorder="1" applyAlignment="1">
      <alignment horizontal="left"/>
    </xf>
    <xf numFmtId="169" fontId="0" fillId="7" borderId="5" xfId="3" applyNumberFormat="1" applyFont="1" applyFill="1" applyBorder="1" applyAlignment="1">
      <alignment horizontal="left"/>
    </xf>
    <xf numFmtId="169" fontId="8" fillId="7" borderId="7" xfId="3" applyNumberFormat="1" applyFont="1" applyFill="1" applyBorder="1" applyAlignment="1" applyProtection="1">
      <alignment horizontal="left"/>
      <protection locked="0"/>
    </xf>
    <xf numFmtId="9" fontId="8" fillId="7" borderId="8" xfId="3" applyFont="1" applyFill="1" applyBorder="1" applyAlignment="1" applyProtection="1">
      <alignment horizontal="left"/>
      <protection locked="0"/>
    </xf>
    <xf numFmtId="169" fontId="0" fillId="7" borderId="5" xfId="2" applyNumberFormat="1" applyFont="1" applyFill="1" applyBorder="1" applyAlignment="1">
      <alignment horizontal="left"/>
    </xf>
    <xf numFmtId="169" fontId="0" fillId="7" borderId="7" xfId="2" applyNumberFormat="1" applyFont="1" applyFill="1" applyBorder="1" applyAlignment="1">
      <alignment horizontal="left"/>
    </xf>
    <xf numFmtId="169" fontId="0" fillId="7" borderId="10" xfId="2" applyNumberFormat="1" applyFont="1" applyFill="1" applyBorder="1" applyAlignment="1">
      <alignment horizontal="left"/>
    </xf>
    <xf numFmtId="169" fontId="0" fillId="7" borderId="8" xfId="2" applyNumberFormat="1" applyFont="1" applyFill="1" applyBorder="1" applyAlignment="1">
      <alignment horizontal="left"/>
    </xf>
    <xf numFmtId="10" fontId="0" fillId="0" borderId="7" xfId="3" applyNumberFormat="1" applyFont="1" applyBorder="1" applyAlignment="1">
      <alignment horizontal="left"/>
    </xf>
    <xf numFmtId="10" fontId="0" fillId="7" borderId="7" xfId="3" applyNumberFormat="1" applyFont="1" applyFill="1" applyBorder="1" applyAlignment="1">
      <alignment horizontal="left"/>
    </xf>
    <xf numFmtId="169" fontId="0" fillId="7" borderId="9" xfId="2" applyNumberFormat="1" applyFont="1" applyFill="1" applyBorder="1" applyAlignment="1">
      <alignment horizontal="left"/>
    </xf>
    <xf numFmtId="10" fontId="6" fillId="0" borderId="7" xfId="3" applyNumberFormat="1" applyFont="1" applyBorder="1" applyAlignment="1">
      <alignment horizontal="left"/>
    </xf>
    <xf numFmtId="10" fontId="6" fillId="0" borderId="8" xfId="3" applyNumberFormat="1" applyFont="1" applyBorder="1" applyAlignment="1">
      <alignment horizontal="left"/>
    </xf>
    <xf numFmtId="164" fontId="4" fillId="0" borderId="0" xfId="7" applyNumberFormat="1" applyFont="1"/>
    <xf numFmtId="164" fontId="4" fillId="0" borderId="0" xfId="7" applyNumberFormat="1" applyFont="1" applyAlignment="1">
      <alignment horizontal="left"/>
    </xf>
    <xf numFmtId="164" fontId="4" fillId="0" borderId="0" xfId="7" applyNumberFormat="1" applyFont="1" applyAlignment="1">
      <alignment horizontal="right"/>
    </xf>
    <xf numFmtId="164" fontId="0" fillId="0" borderId="0" xfId="7" applyNumberFormat="1" applyFont="1" applyAlignment="1">
      <alignment horizontal="left"/>
    </xf>
    <xf numFmtId="164" fontId="0" fillId="0" borderId="0" xfId="7" applyNumberFormat="1" applyFont="1" applyAlignment="1">
      <alignment horizontal="right"/>
    </xf>
    <xf numFmtId="164" fontId="0" fillId="0" borderId="0" xfId="7" applyNumberFormat="1" applyFont="1" applyAlignment="1"/>
    <xf numFmtId="164" fontId="0" fillId="0" borderId="6" xfId="7" applyNumberFormat="1" applyFont="1" applyBorder="1"/>
    <xf numFmtId="166" fontId="0" fillId="3" borderId="0" xfId="2" applyNumberFormat="1" applyFont="1" applyFill="1"/>
    <xf numFmtId="0" fontId="0" fillId="0" borderId="0" xfId="0" applyFill="1"/>
    <xf numFmtId="1" fontId="0" fillId="0" borderId="0" xfId="0" applyNumberFormat="1" applyFill="1"/>
    <xf numFmtId="44" fontId="0" fillId="0" borderId="0" xfId="0" applyNumberFormat="1" applyFill="1"/>
    <xf numFmtId="166" fontId="0" fillId="0" borderId="0" xfId="2" applyNumberFormat="1" applyFont="1" applyFill="1"/>
    <xf numFmtId="44" fontId="0" fillId="8" borderId="0" xfId="0" applyNumberFormat="1" applyFill="1"/>
    <xf numFmtId="0" fontId="0" fillId="9" borderId="0" xfId="0" applyFill="1"/>
    <xf numFmtId="0" fontId="0" fillId="2" borderId="0" xfId="0" applyFill="1"/>
    <xf numFmtId="44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8" fillId="0" borderId="7" xfId="1" applyNumberFormat="1" applyFont="1" applyBorder="1" applyAlignment="1" applyProtection="1">
      <alignment horizontal="right" vertical="center"/>
      <protection locked="0"/>
    </xf>
    <xf numFmtId="1" fontId="8" fillId="0" borderId="13" xfId="1" applyNumberFormat="1" applyFont="1" applyBorder="1" applyAlignment="1" applyProtection="1">
      <alignment vertical="center"/>
      <protection locked="0"/>
    </xf>
    <xf numFmtId="1" fontId="8" fillId="0" borderId="1" xfId="1" applyNumberFormat="1" applyFont="1" applyBorder="1" applyAlignment="1" applyProtection="1">
      <alignment vertical="center"/>
      <protection locked="0"/>
    </xf>
    <xf numFmtId="1" fontId="8" fillId="0" borderId="2" xfId="1" applyNumberFormat="1" applyFont="1" applyBorder="1" applyAlignment="1" applyProtection="1">
      <alignment horizontal="right" vertical="center"/>
      <protection locked="0"/>
    </xf>
    <xf numFmtId="1" fontId="9" fillId="0" borderId="12" xfId="1" applyNumberFormat="1" applyFont="1" applyBorder="1" applyAlignment="1" applyProtection="1">
      <alignment horizontal="left" vertical="center" wrapText="1"/>
      <protection locked="0"/>
    </xf>
    <xf numFmtId="1" fontId="9" fillId="0" borderId="7" xfId="1" applyNumberFormat="1" applyFont="1" applyBorder="1" applyAlignment="1" applyProtection="1">
      <alignment horizontal="right" vertical="center" wrapText="1"/>
      <protection locked="0"/>
    </xf>
    <xf numFmtId="1" fontId="8" fillId="0" borderId="3" xfId="1" applyNumberFormat="1" applyFont="1" applyBorder="1" applyAlignment="1" applyProtection="1">
      <alignment horizontal="right" vertical="center"/>
      <protection locked="0"/>
    </xf>
    <xf numFmtId="1" fontId="8" fillId="0" borderId="11" xfId="1" applyNumberFormat="1" applyFont="1" applyBorder="1" applyAlignment="1" applyProtection="1">
      <alignment horizontal="left" vertical="center"/>
      <protection locked="0"/>
    </xf>
    <xf numFmtId="1" fontId="8" fillId="0" borderId="12" xfId="1" applyNumberFormat="1" applyFont="1" applyBorder="1" applyAlignment="1" applyProtection="1">
      <alignment horizontal="right" vertical="center"/>
      <protection locked="0"/>
    </xf>
    <xf numFmtId="1" fontId="8" fillId="0" borderId="1" xfId="1" applyNumberFormat="1" applyFont="1" applyBorder="1" applyAlignment="1" applyProtection="1">
      <alignment horizontal="right" vertical="center"/>
      <protection locked="0"/>
    </xf>
    <xf numFmtId="1" fontId="8" fillId="0" borderId="2" xfId="1" applyNumberFormat="1" applyFont="1" applyBorder="1" applyAlignment="1" applyProtection="1">
      <alignment horizontal="left" vertical="center"/>
      <protection locked="0"/>
    </xf>
    <xf numFmtId="1" fontId="9" fillId="0" borderId="2" xfId="1" applyNumberFormat="1" applyFont="1" applyBorder="1" applyAlignment="1" applyProtection="1">
      <alignment horizontal="left" vertical="center"/>
      <protection locked="0"/>
    </xf>
    <xf numFmtId="1" fontId="8" fillId="0" borderId="4" xfId="1" applyNumberFormat="1" applyFont="1" applyBorder="1" applyAlignment="1" applyProtection="1">
      <alignment horizontal="right" vertical="center"/>
      <protection locked="0"/>
    </xf>
    <xf numFmtId="1" fontId="8" fillId="0" borderId="13" xfId="1" applyNumberFormat="1" applyFont="1" applyBorder="1" applyAlignment="1" applyProtection="1">
      <alignment horizontal="right" vertical="center"/>
      <protection locked="0"/>
    </xf>
    <xf numFmtId="1" fontId="8" fillId="0" borderId="13" xfId="1" applyNumberFormat="1" applyFont="1" applyBorder="1" applyAlignment="1" applyProtection="1">
      <alignment horizontal="left" vertical="center"/>
      <protection locked="0"/>
    </xf>
    <xf numFmtId="1" fontId="8" fillId="0" borderId="11" xfId="1" applyNumberFormat="1" applyFont="1" applyBorder="1" applyAlignment="1" applyProtection="1">
      <alignment horizontal="right" vertical="center"/>
      <protection locked="0"/>
    </xf>
    <xf numFmtId="165" fontId="5" fillId="0" borderId="0" xfId="3" applyNumberFormat="1" applyFont="1"/>
    <xf numFmtId="0" fontId="5" fillId="0" borderId="0" xfId="3" applyNumberFormat="1" applyFont="1"/>
    <xf numFmtId="170" fontId="5" fillId="0" borderId="0" xfId="3" applyNumberFormat="1" applyFont="1"/>
    <xf numFmtId="2" fontId="4" fillId="0" borderId="0" xfId="0" applyNumberFormat="1" applyFont="1"/>
    <xf numFmtId="0" fontId="4" fillId="0" borderId="0" xfId="0" applyFont="1"/>
    <xf numFmtId="171" fontId="5" fillId="0" borderId="0" xfId="3" applyNumberFormat="1" applyFont="1"/>
    <xf numFmtId="3" fontId="0" fillId="0" borderId="0" xfId="0" applyNumberFormat="1"/>
    <xf numFmtId="0" fontId="0" fillId="0" borderId="0" xfId="0" applyAlignment="1">
      <alignment horizontal="left" indent="2"/>
    </xf>
    <xf numFmtId="1" fontId="8" fillId="0" borderId="19" xfId="1" applyNumberFormat="1" applyFont="1" applyBorder="1" applyAlignment="1" applyProtection="1">
      <alignment vertical="center"/>
      <protection locked="0"/>
    </xf>
    <xf numFmtId="10" fontId="8" fillId="0" borderId="0" xfId="3" applyNumberFormat="1" applyFont="1" applyFill="1" applyBorder="1" applyAlignment="1" applyProtection="1">
      <alignment vertical="center"/>
      <protection locked="0"/>
    </xf>
    <xf numFmtId="166" fontId="4" fillId="0" borderId="0" xfId="2" applyNumberFormat="1" applyFont="1"/>
    <xf numFmtId="44" fontId="4" fillId="0" borderId="0" xfId="2" applyFont="1"/>
    <xf numFmtId="166" fontId="4" fillId="0" borderId="0" xfId="0" applyNumberFormat="1" applyFont="1"/>
    <xf numFmtId="10" fontId="0" fillId="0" borderId="0" xfId="3" applyNumberFormat="1" applyFont="1"/>
    <xf numFmtId="10" fontId="0" fillId="0" borderId="0" xfId="0" applyNumberFormat="1"/>
    <xf numFmtId="1" fontId="8" fillId="0" borderId="0" xfId="1" applyNumberFormat="1" applyFont="1" applyAlignment="1" applyProtection="1">
      <alignment vertical="center"/>
      <protection locked="0"/>
    </xf>
    <xf numFmtId="1" fontId="9" fillId="0" borderId="19" xfId="1" applyNumberFormat="1" applyFont="1" applyBorder="1" applyAlignment="1" applyProtection="1">
      <alignment horizontal="left" vertical="center" wrapText="1"/>
      <protection locked="0"/>
    </xf>
    <xf numFmtId="1" fontId="9" fillId="0" borderId="0" xfId="1" applyNumberFormat="1" applyFont="1" applyAlignment="1" applyProtection="1">
      <alignment horizontal="left" vertical="center" wrapText="1"/>
      <protection locked="0"/>
    </xf>
    <xf numFmtId="1" fontId="8" fillId="0" borderId="19" xfId="1" applyNumberFormat="1" applyFont="1" applyBorder="1" applyAlignment="1" applyProtection="1">
      <alignment horizontal="right" vertical="center"/>
      <protection locked="0"/>
    </xf>
    <xf numFmtId="1" fontId="8" fillId="0" borderId="0" xfId="1" applyNumberFormat="1" applyFont="1" applyAlignment="1" applyProtection="1">
      <alignment horizontal="right" vertical="center"/>
      <protection locked="0"/>
    </xf>
    <xf numFmtId="1" fontId="9" fillId="0" borderId="19" xfId="1" applyNumberFormat="1" applyFont="1" applyBorder="1" applyAlignment="1" applyProtection="1">
      <alignment horizontal="left" vertical="center"/>
      <protection locked="0"/>
    </xf>
    <xf numFmtId="1" fontId="9" fillId="0" borderId="0" xfId="1" applyNumberFormat="1" applyFont="1" applyAlignment="1" applyProtection="1">
      <alignment horizontal="left" vertical="center"/>
      <protection locked="0"/>
    </xf>
    <xf numFmtId="0" fontId="6" fillId="0" borderId="0" xfId="0" applyFont="1" applyAlignment="1">
      <alignment horizontal="left"/>
    </xf>
    <xf numFmtId="9" fontId="4" fillId="0" borderId="0" xfId="3" applyFont="1"/>
    <xf numFmtId="0" fontId="0" fillId="0" borderId="0" xfId="0" applyAlignment="1">
      <alignment horizontal="right"/>
    </xf>
    <xf numFmtId="165" fontId="4" fillId="0" borderId="0" xfId="3" applyNumberFormat="1" applyFont="1"/>
    <xf numFmtId="165" fontId="0" fillId="0" borderId="0" xfId="3" applyNumberFormat="1" applyFont="1"/>
    <xf numFmtId="0" fontId="0" fillId="0" borderId="0" xfId="0" applyAlignment="1">
      <alignment horizontal="left"/>
    </xf>
    <xf numFmtId="0" fontId="6" fillId="11" borderId="0" xfId="0" applyFont="1" applyFill="1" applyAlignment="1">
      <alignment horizontal="left"/>
    </xf>
    <xf numFmtId="0" fontId="6" fillId="0" borderId="0" xfId="0" applyFont="1"/>
    <xf numFmtId="166" fontId="4" fillId="0" borderId="0" xfId="2" applyNumberFormat="1" applyFont="1" applyAlignment="1">
      <alignment horizontal="left" indent="2"/>
    </xf>
    <xf numFmtId="0" fontId="3" fillId="0" borderId="0" xfId="0" applyFont="1"/>
    <xf numFmtId="0" fontId="0" fillId="0" borderId="2" xfId="0" applyBorder="1"/>
    <xf numFmtId="1" fontId="8" fillId="5" borderId="12" xfId="1" applyNumberFormat="1" applyFont="1" applyFill="1" applyBorder="1" applyAlignment="1" applyProtection="1">
      <alignment vertical="center"/>
      <protection locked="0"/>
    </xf>
    <xf numFmtId="1" fontId="8" fillId="0" borderId="2" xfId="1" applyNumberFormat="1" applyFont="1" applyFill="1" applyBorder="1" applyAlignment="1" applyProtection="1">
      <alignment vertical="center"/>
      <protection locked="0"/>
    </xf>
    <xf numFmtId="1" fontId="8" fillId="0" borderId="11" xfId="1" applyNumberFormat="1" applyFont="1" applyFill="1" applyBorder="1" applyAlignment="1" applyProtection="1">
      <alignment vertical="center"/>
      <protection locked="0"/>
    </xf>
    <xf numFmtId="1" fontId="9" fillId="3" borderId="12" xfId="1" applyNumberFormat="1" applyFont="1" applyFill="1" applyBorder="1" applyAlignment="1" applyProtection="1">
      <alignment horizontal="left" vertical="center" wrapText="1"/>
      <protection locked="0"/>
    </xf>
    <xf numFmtId="1" fontId="8" fillId="5" borderId="12" xfId="1" applyNumberFormat="1" applyFont="1" applyFill="1" applyBorder="1" applyAlignment="1" applyProtection="1">
      <alignment horizontal="right" vertical="center"/>
      <protection locked="0"/>
    </xf>
    <xf numFmtId="0" fontId="6" fillId="4" borderId="14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11" xfId="0" applyBorder="1"/>
    <xf numFmtId="0" fontId="6" fillId="5" borderId="12" xfId="0" applyFont="1" applyFill="1" applyBorder="1" applyAlignment="1">
      <alignment horizontal="left"/>
    </xf>
    <xf numFmtId="0" fontId="0" fillId="3" borderId="12" xfId="0" applyFill="1" applyBorder="1"/>
    <xf numFmtId="0" fontId="6" fillId="3" borderId="12" xfId="0" applyFont="1" applyFill="1" applyBorder="1"/>
    <xf numFmtId="0" fontId="0" fillId="5" borderId="12" xfId="0" applyFill="1" applyBorder="1"/>
    <xf numFmtId="0" fontId="6" fillId="5" borderId="12" xfId="0" applyFont="1" applyFill="1" applyBorder="1"/>
    <xf numFmtId="0" fontId="0" fillId="4" borderId="14" xfId="0" applyFill="1" applyBorder="1"/>
    <xf numFmtId="6" fontId="8" fillId="12" borderId="7" xfId="3" applyNumberFormat="1" applyFont="1" applyFill="1" applyBorder="1" applyAlignment="1" applyProtection="1">
      <alignment vertical="center"/>
      <protection locked="0"/>
    </xf>
    <xf numFmtId="169" fontId="0" fillId="13" borderId="15" xfId="0" applyNumberFormat="1" applyFill="1" applyBorder="1" applyAlignment="1">
      <alignment horizontal="left"/>
    </xf>
    <xf numFmtId="169" fontId="8" fillId="12" borderId="5" xfId="3" applyNumberFormat="1" applyFont="1" applyFill="1" applyBorder="1" applyAlignment="1" applyProtection="1">
      <alignment horizontal="left"/>
      <protection locked="0"/>
    </xf>
    <xf numFmtId="1" fontId="8" fillId="0" borderId="1" xfId="1" applyNumberFormat="1" applyFont="1" applyBorder="1" applyAlignment="1" applyProtection="1">
      <alignment horizontal="right"/>
      <protection locked="0"/>
    </xf>
    <xf numFmtId="10" fontId="0" fillId="0" borderId="7" xfId="3" applyNumberFormat="1" applyFont="1" applyFill="1" applyBorder="1" applyAlignment="1" applyProtection="1">
      <alignment vertical="center"/>
      <protection locked="0"/>
    </xf>
    <xf numFmtId="169" fontId="0" fillId="0" borderId="0" xfId="2" applyNumberFormat="1" applyFont="1" applyFill="1" applyBorder="1" applyAlignment="1" applyProtection="1">
      <alignment vertical="center"/>
      <protection locked="0"/>
    </xf>
    <xf numFmtId="169" fontId="8" fillId="0" borderId="0" xfId="3" applyNumberFormat="1" applyFont="1" applyFill="1" applyBorder="1" applyAlignment="1" applyProtection="1">
      <alignment horizontal="left"/>
      <protection locked="0"/>
    </xf>
    <xf numFmtId="169" fontId="8" fillId="6" borderId="0" xfId="3" applyNumberFormat="1" applyFont="1" applyFill="1" applyBorder="1" applyAlignment="1" applyProtection="1">
      <alignment horizontal="left"/>
      <protection locked="0"/>
    </xf>
    <xf numFmtId="169" fontId="0" fillId="0" borderId="8" xfId="2" applyNumberFormat="1" applyFont="1" applyFill="1" applyBorder="1" applyAlignment="1" applyProtection="1">
      <alignment vertical="center"/>
      <protection locked="0"/>
    </xf>
    <xf numFmtId="0" fontId="5" fillId="0" borderId="13" xfId="0" applyFont="1" applyBorder="1"/>
    <xf numFmtId="1" fontId="8" fillId="0" borderId="3" xfId="1" applyNumberFormat="1" applyFont="1" applyBorder="1" applyAlignment="1" applyProtection="1">
      <alignment vertical="center"/>
      <protection locked="0"/>
    </xf>
    <xf numFmtId="1" fontId="9" fillId="0" borderId="1" xfId="1" applyNumberFormat="1" applyFont="1" applyBorder="1" applyAlignment="1" applyProtection="1">
      <alignment horizontal="left" vertical="center"/>
      <protection locked="0"/>
    </xf>
    <xf numFmtId="1" fontId="9" fillId="0" borderId="7" xfId="1" applyNumberFormat="1" applyFont="1" applyBorder="1" applyAlignment="1" applyProtection="1">
      <alignment horizontal="left" vertical="center"/>
      <protection locked="0"/>
    </xf>
    <xf numFmtId="0" fontId="5" fillId="0" borderId="14" xfId="0" applyFont="1" applyBorder="1"/>
    <xf numFmtId="0" fontId="5" fillId="0" borderId="12" xfId="0" applyFont="1" applyBorder="1"/>
    <xf numFmtId="167" fontId="8" fillId="0" borderId="2" xfId="1" applyNumberFormat="1" applyFont="1" applyBorder="1" applyAlignment="1" applyProtection="1">
      <alignment horizontal="left" vertical="center"/>
      <protection locked="0"/>
    </xf>
    <xf numFmtId="0" fontId="4" fillId="0" borderId="0" xfId="0" applyFont="1" applyAlignment="1">
      <alignment horizontal="center"/>
    </xf>
    <xf numFmtId="1" fontId="8" fillId="0" borderId="19" xfId="1" applyNumberFormat="1" applyFont="1" applyBorder="1" applyAlignment="1">
      <alignment vertical="center"/>
    </xf>
    <xf numFmtId="0" fontId="0" fillId="10" borderId="1" xfId="0" applyFill="1" applyBorder="1"/>
    <xf numFmtId="0" fontId="5" fillId="10" borderId="11" xfId="0" applyFont="1" applyFill="1" applyBorder="1"/>
    <xf numFmtId="1" fontId="8" fillId="10" borderId="19" xfId="1" applyNumberFormat="1" applyFont="1" applyFill="1" applyBorder="1" applyAlignment="1">
      <alignment vertical="center"/>
    </xf>
    <xf numFmtId="1" fontId="8" fillId="10" borderId="0" xfId="1" applyNumberFormat="1" applyFont="1" applyFill="1" applyAlignment="1">
      <alignment vertical="center"/>
    </xf>
    <xf numFmtId="0" fontId="5" fillId="10" borderId="13" xfId="0" applyFont="1" applyFill="1" applyBorder="1"/>
    <xf numFmtId="1" fontId="8" fillId="10" borderId="1" xfId="1" applyNumberFormat="1" applyFont="1" applyFill="1" applyBorder="1" applyAlignment="1">
      <alignment vertical="center"/>
    </xf>
    <xf numFmtId="1" fontId="8" fillId="0" borderId="3" xfId="1" applyNumberFormat="1" applyFont="1" applyBorder="1" applyAlignment="1">
      <alignment vertical="center"/>
    </xf>
    <xf numFmtId="1" fontId="9" fillId="3" borderId="5" xfId="1" applyNumberFormat="1" applyFont="1" applyFill="1" applyBorder="1" applyAlignment="1">
      <alignment horizontal="left" vertical="center" wrapText="1"/>
    </xf>
    <xf numFmtId="1" fontId="8" fillId="0" borderId="4" xfId="1" applyNumberFormat="1" applyFont="1" applyBorder="1" applyAlignment="1">
      <alignment horizontal="right" vertical="center"/>
    </xf>
    <xf numFmtId="1" fontId="8" fillId="10" borderId="3" xfId="1" applyNumberFormat="1" applyFont="1" applyFill="1" applyBorder="1" applyAlignment="1">
      <alignment horizontal="right" vertical="center"/>
    </xf>
    <xf numFmtId="1" fontId="8" fillId="5" borderId="5" xfId="1" applyNumberFormat="1" applyFont="1" applyFill="1" applyBorder="1" applyAlignment="1">
      <alignment horizontal="right" vertical="center"/>
    </xf>
    <xf numFmtId="1" fontId="8" fillId="10" borderId="1" xfId="1" applyNumberFormat="1" applyFont="1" applyFill="1" applyBorder="1" applyAlignment="1">
      <alignment horizontal="right" vertical="center"/>
    </xf>
    <xf numFmtId="1" fontId="8" fillId="0" borderId="1" xfId="1" applyNumberFormat="1" applyFont="1" applyBorder="1" applyAlignment="1">
      <alignment horizontal="right" vertical="center"/>
    </xf>
    <xf numFmtId="0" fontId="5" fillId="10" borderId="2" xfId="0" applyFont="1" applyFill="1" applyBorder="1"/>
    <xf numFmtId="1" fontId="9" fillId="0" borderId="1" xfId="1" applyNumberFormat="1" applyFont="1" applyBorder="1" applyAlignment="1">
      <alignment horizontal="left" vertical="center"/>
    </xf>
    <xf numFmtId="0" fontId="6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5" fillId="10" borderId="12" xfId="0" applyFont="1" applyFill="1" applyBorder="1"/>
    <xf numFmtId="0" fontId="6" fillId="10" borderId="4" xfId="0" applyFont="1" applyFill="1" applyBorder="1" applyAlignment="1">
      <alignment horizontal="left"/>
    </xf>
    <xf numFmtId="0" fontId="6" fillId="10" borderId="1" xfId="0" applyFont="1" applyFill="1" applyBorder="1"/>
    <xf numFmtId="1" fontId="8" fillId="10" borderId="4" xfId="1" applyNumberFormat="1" applyFont="1" applyFill="1" applyBorder="1" applyAlignment="1">
      <alignment horizontal="right" vertical="center"/>
    </xf>
    <xf numFmtId="0" fontId="3" fillId="10" borderId="3" xfId="0" applyFont="1" applyFill="1" applyBorder="1"/>
    <xf numFmtId="0" fontId="0" fillId="10" borderId="4" xfId="0" applyFill="1" applyBorder="1"/>
    <xf numFmtId="0" fontId="3" fillId="10" borderId="1" xfId="0" applyFont="1" applyFill="1" applyBorder="1"/>
    <xf numFmtId="0" fontId="0" fillId="10" borderId="3" xfId="0" applyFill="1" applyBorder="1"/>
    <xf numFmtId="166" fontId="0" fillId="5" borderId="0" xfId="0" applyNumberFormat="1" applyFill="1"/>
    <xf numFmtId="166" fontId="0" fillId="13" borderId="0" xfId="0" applyNumberFormat="1" applyFill="1"/>
    <xf numFmtId="0" fontId="0" fillId="13" borderId="0" xfId="0" applyFill="1"/>
  </cellXfs>
  <cellStyles count="8">
    <cellStyle name="Comma" xfId="7" builtinId="3"/>
    <cellStyle name="Comma 2" xfId="4" xr:uid="{1CE73216-77CD-44B6-B897-570CDA0D0DE3}"/>
    <cellStyle name="Currency" xfId="2" builtinId="4"/>
    <cellStyle name="Normal" xfId="0" builtinId="0"/>
    <cellStyle name="Normal 2" xfId="5" xr:uid="{31021F2B-9988-48FE-B373-2F25D334E6B8}"/>
    <cellStyle name="Normal_HTFPREBU.XL" xfId="1" xr:uid="{4194D1F4-0831-4B2B-A67B-8923CDA72461}"/>
    <cellStyle name="Percent" xfId="3" builtinId="5"/>
    <cellStyle name="Percent 2" xfId="6" xr:uid="{4CF348FD-EBB0-469F-80C1-36A01135C553}"/>
  </cellStyles>
  <dxfs count="48"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numFmt numFmtId="169" formatCode="&quot;$&quot;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</dxf>
    <dxf>
      <numFmt numFmtId="169" formatCode="&quot;$&quot;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 style="thin">
          <color rgb="FFFFC000"/>
        </vertical>
        <horizontal style="thin">
          <color rgb="FFFFC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 style="thin">
          <color rgb="FFFFC000"/>
        </vertical>
        <horizontal style="thin">
          <color rgb="FFFFC000"/>
        </horizontal>
      </border>
      <protection locked="0" hidden="0"/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</dxf>
    <dxf>
      <numFmt numFmtId="169" formatCode="&quot;$&quot;#,##0"/>
      <alignment horizontal="left" vertical="bottom" textRotation="0" wrapText="0" indent="0" justifyLastLine="0" shrinkToFit="0" readingOrder="0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numFmt numFmtId="169" formatCode="&quot;$&quot;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</dxf>
    <dxf>
      <numFmt numFmtId="169" formatCode="&quot;$&quot;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 style="thin">
          <color rgb="FFFFC000"/>
        </vertical>
        <horizontal style="thin">
          <color rgb="FFFFC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 style="thin">
          <color rgb="FFFFC000"/>
        </vertical>
        <horizontal style="thin">
          <color rgb="FFFFC000"/>
        </horizontal>
      </border>
      <protection locked="0" hidden="0"/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52C8E4"/>
      <color rgb="FFFF757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D8-48B2-ABE0-4B9F10A6A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D8-48B2-ABE0-4B9F10A6A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'Display summaries'!$J$16:$J$17</c:f>
              <c:strCache>
                <c:ptCount val="2"/>
                <c:pt idx="0">
                  <c:v>Built </c:v>
                </c:pt>
                <c:pt idx="1">
                  <c:v>Scatered</c:v>
                </c:pt>
              </c:strCache>
            </c:strRef>
          </c:cat>
          <c:val>
            <c:numRef>
              <c:f>'Display summaries'!$L$16:$L$17</c:f>
              <c:numCache>
                <c:formatCode>0%</c:formatCode>
                <c:ptCount val="2"/>
                <c:pt idx="0">
                  <c:v>0.67</c:v>
                </c:pt>
                <c:pt idx="1">
                  <c:v>0.32999999999999996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6-4387-BEF5-5DE37F7B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F7-45A6-A7C3-796A61F06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F7-45A6-A7C3-796A61F06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F7-45A6-A7C3-796A61F06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F7-45A6-A7C3-796A61F064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F7-45A6-A7C3-796A61F064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F7-45A6-A7C3-796A61F064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'Display summaries'!$D$19:$I$19</c:f>
              <c:strCache>
                <c:ptCount val="6"/>
                <c:pt idx="0">
                  <c:v>Baseline</c:v>
                </c:pt>
                <c:pt idx="1">
                  <c:v>Capital stack</c:v>
                </c:pt>
                <c:pt idx="2">
                  <c:v>Fees, Permitting &amp; Tax</c:v>
                </c:pt>
                <c:pt idx="3">
                  <c:v>Wood frame build</c:v>
                </c:pt>
                <c:pt idx="4">
                  <c:v>Free land</c:v>
                </c:pt>
                <c:pt idx="5">
                  <c:v>All savings achieved </c:v>
                </c:pt>
              </c:strCache>
            </c:strRef>
          </c:cat>
          <c:val>
            <c:numRef>
              <c:f>'Display summaries'!$D$36:$I$36</c:f>
              <c:numCache>
                <c:formatCode>General</c:formatCode>
                <c:ptCount val="6"/>
                <c:pt idx="0">
                  <c:v>510</c:v>
                </c:pt>
                <c:pt idx="1">
                  <c:v>918</c:v>
                </c:pt>
                <c:pt idx="2">
                  <c:v>1122</c:v>
                </c:pt>
                <c:pt idx="3">
                  <c:v>640</c:v>
                </c:pt>
                <c:pt idx="4">
                  <c:v>714</c:v>
                </c:pt>
                <c:pt idx="5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E-4785-822A-D20C378F08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CD-4D52-B86B-A775E0C30E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CD-4D52-B86B-A775E0C30E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CD-4D52-B86B-A775E0C30E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CD-4D52-B86B-A775E0C30E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CD-4D52-B86B-A775E0C30E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CD-4D52-B86B-A775E0C30E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'Display summaries'!$D$46:$I$46</c:f>
              <c:strCache>
                <c:ptCount val="6"/>
                <c:pt idx="0">
                  <c:v>Baseline</c:v>
                </c:pt>
                <c:pt idx="1">
                  <c:v>Capital stack</c:v>
                </c:pt>
                <c:pt idx="2">
                  <c:v>Fees, Permitting &amp; Tax</c:v>
                </c:pt>
                <c:pt idx="3">
                  <c:v>Wood frame build</c:v>
                </c:pt>
                <c:pt idx="4">
                  <c:v>Free land</c:v>
                </c:pt>
                <c:pt idx="5">
                  <c:v>All savings acheived</c:v>
                </c:pt>
              </c:strCache>
            </c:strRef>
          </c:cat>
          <c:val>
            <c:numRef>
              <c:f>'Display summaries'!$D$63:$I$63</c:f>
              <c:numCache>
                <c:formatCode>General</c:formatCode>
                <c:ptCount val="6"/>
                <c:pt idx="0">
                  <c:v>0</c:v>
                </c:pt>
                <c:pt idx="1">
                  <c:v>612</c:v>
                </c:pt>
                <c:pt idx="2">
                  <c:v>1020</c:v>
                </c:pt>
                <c:pt idx="3">
                  <c:v>1120</c:v>
                </c:pt>
                <c:pt idx="4">
                  <c:v>510</c:v>
                </c:pt>
                <c:pt idx="5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8-469B-99CE-56165AEE0D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57452</xdr:colOff>
      <xdr:row>8</xdr:row>
      <xdr:rowOff>99986</xdr:rowOff>
    </xdr:from>
    <xdr:to>
      <xdr:col>20</xdr:col>
      <xdr:colOff>396119</xdr:colOff>
      <xdr:row>23</xdr:row>
      <xdr:rowOff>121758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B0D9C-3F25-4F08-B7F0-08285F902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178404</xdr:colOff>
      <xdr:row>2</xdr:row>
      <xdr:rowOff>49590</xdr:rowOff>
    </xdr:from>
    <xdr:to>
      <xdr:col>6</xdr:col>
      <xdr:colOff>547310</xdr:colOff>
      <xdr:row>17</xdr:row>
      <xdr:rowOff>71361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B575A5-5C6A-4788-927C-236D3F437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581579</xdr:colOff>
      <xdr:row>1</xdr:row>
      <xdr:rowOff>160463</xdr:rowOff>
    </xdr:from>
    <xdr:to>
      <xdr:col>10</xdr:col>
      <xdr:colOff>70556</xdr:colOff>
      <xdr:row>17</xdr:row>
      <xdr:rowOff>806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F01A08-560B-48EB-A769-C0AB6D99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RIDGLAN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GSERVER12\Real_Estate_Development\7th%20&amp;%20Cherry\4.%20Funding%20Sources\WSHFC\Application\Updated%20App%20for%20Redesign\7th%20and%20Cherry%20-%20Revised%20CFA%20Form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iscovery.nbgfn.com/Documents%20and%20Settings/nbkzkp7/Local%20Settings/Temporary%20Internet%20Files/OLK7D/DRAFT%20-%204-21-05CDB%20DRAW%20WORKBOOK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se\OneDrive\Desktop\Lantern\Cost%20Drivers_wtih_Sample%20PSH%20Budg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bankofamerica.com/sites/GCIBPE-Operations/draws/Shared%20Documents/FINAL%20DOCS%20-LIZ%20ONLY/CML%20Disbursement%20Workbook%20-%206-1-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K%20Site%20-%20607%202nd%20Ave%20N\10.%20Development%20Budgets%20&amp;%20Draws\Development%20Budgets\Old%20Budgets\2nd%20&amp;%20Mercer%20-%20CFAforms%20-%20edited%20for%20equity%20investors%20-%20DO%20NOT%20SEN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oile\Documents\Work\Plymouth\2nd&amp;Mercer\Application\AttI3_2018%20CFA%20Forms.7.19.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iscovery.nbgfn.com/Walnut%20Creek/BACDB/FORMS/ACBS/CDB%20ACBS%20WorkOrder06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STIMATE\OCEAN-FI\GCBI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ckBick\AppData\Local\Temp\Copy%20of%203VA%20Comb_Funders_Forms_2012NOF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wshfc.org/mhcf/9percent/application/e3_combined_funders_form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ontius%20LLC%20-%20WIL\10.%20Development%20Budgets%20&amp;%20Draws\Development%20Draws\WIL%20Draws-%20Excel\12-2%20WIL%20-%20Construction%20Draw%20#1 2-29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Definitions"/>
      <sheetName val="Form 0"/>
      <sheetName val="Form 1A"/>
      <sheetName val="Form 1B"/>
      <sheetName val="Sheet4"/>
      <sheetName val="UnderTheHood"/>
      <sheetName val="Form 2A"/>
      <sheetName val="Form 2B"/>
      <sheetName val="Form 2C (Rural-NC)"/>
      <sheetName val="Form 2C (Rural-Rehab)"/>
      <sheetName val="Form 2C (Urban-NC)"/>
      <sheetName val="Form 2C (Urban-Rehab)"/>
      <sheetName val="Form 3"/>
      <sheetName val="Form 4"/>
      <sheetName val="Form 5"/>
      <sheetName val="Form 6A"/>
      <sheetName val="Sheet2"/>
      <sheetName val="Form 6B"/>
      <sheetName val="Form 6C"/>
      <sheetName val="Sheet1"/>
      <sheetName val="Form 6D"/>
      <sheetName val="Form 6E"/>
      <sheetName val="Sheet3"/>
      <sheetName val="Form 7A"/>
      <sheetName val="Form 7B"/>
      <sheetName val="Form 8A "/>
      <sheetName val="Form 8B"/>
      <sheetName val="Form 8C"/>
      <sheetName val="Form 8D"/>
      <sheetName val="Form 8E"/>
      <sheetName val="Form 9A"/>
      <sheetName val="Form 9B"/>
      <sheetName val="Form 9C"/>
      <sheetName val="Form 9D"/>
      <sheetName val="Form 9E"/>
      <sheetName val="Form 10"/>
      <sheetName val="Form 11A"/>
      <sheetName val="Form 11B"/>
      <sheetName val="4percentScoring"/>
      <sheetName val="LIHTC_ScoringLists"/>
      <sheetName val="HTF Rollup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0</v>
          </cell>
        </row>
        <row r="3">
          <cell r="C3" t="str">
            <v>General</v>
          </cell>
        </row>
        <row r="4">
          <cell r="C4" t="str">
            <v>Individuals</v>
          </cell>
        </row>
        <row r="5">
          <cell r="C5" t="str">
            <v>Households with Children</v>
          </cell>
        </row>
        <row r="6">
          <cell r="C6" t="str">
            <v>Developmental Disabilities</v>
          </cell>
        </row>
        <row r="7">
          <cell r="C7" t="str">
            <v>Physical Disabilities</v>
          </cell>
        </row>
        <row r="8">
          <cell r="C8" t="str">
            <v>Chronic Mental Illness</v>
          </cell>
        </row>
        <row r="9">
          <cell r="C9" t="str">
            <v>Substance Abuse</v>
          </cell>
        </row>
        <row r="10">
          <cell r="C10" t="str">
            <v>HIV/AIDS</v>
          </cell>
        </row>
        <row r="11">
          <cell r="C11" t="str">
            <v>Multiple Special Needs</v>
          </cell>
        </row>
        <row r="12">
          <cell r="C12" t="str">
            <v>Domestic Violence</v>
          </cell>
        </row>
        <row r="13">
          <cell r="C13" t="str">
            <v>Youth Under 18</v>
          </cell>
        </row>
        <row r="14">
          <cell r="C14" t="str">
            <v>Young Adults 18-24</v>
          </cell>
        </row>
        <row r="15">
          <cell r="C15" t="str">
            <v>Veteran</v>
          </cell>
        </row>
        <row r="16">
          <cell r="C16" t="str">
            <v>Senior</v>
          </cell>
        </row>
        <row r="17">
          <cell r="C17" t="str">
            <v>Frail Elderly</v>
          </cell>
        </row>
        <row r="18">
          <cell r="C18" t="str">
            <v>Farmworkers</v>
          </cell>
        </row>
        <row r="19">
          <cell r="C19" t="str">
            <v>Seasonal/Migrant Farmworkers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Budget"/>
      <sheetName val="Int Reserve Calc"/>
      <sheetName val="Draw Summary"/>
      <sheetName val="Constr Status Update"/>
      <sheetName val="Disb Guidelines"/>
      <sheetName val="Disb Guid Addendum"/>
      <sheetName val="Work Order"/>
      <sheetName val="Member Addendum"/>
    </sheetNames>
    <sheetDataSet>
      <sheetData sheetId="0" refreshError="1"/>
      <sheetData sheetId="1" refreshError="1"/>
      <sheetData sheetId="2" refreshError="1"/>
      <sheetData sheetId="3" refreshError="1">
        <row r="1001">
          <cell r="HM1001">
            <v>1</v>
          </cell>
          <cell r="HN1001">
            <v>2</v>
          </cell>
          <cell r="HO1001">
            <v>3</v>
          </cell>
          <cell r="HP1001">
            <v>4</v>
          </cell>
          <cell r="HQ1001">
            <v>5</v>
          </cell>
          <cell r="HR1001">
            <v>6</v>
          </cell>
          <cell r="HS1001">
            <v>7</v>
          </cell>
          <cell r="HT1001">
            <v>8</v>
          </cell>
          <cell r="HU1001">
            <v>9</v>
          </cell>
          <cell r="HV1001">
            <v>10</v>
          </cell>
          <cell r="HW1001">
            <v>11</v>
          </cell>
          <cell r="HX1001">
            <v>12</v>
          </cell>
          <cell r="HY1001">
            <v>13</v>
          </cell>
          <cell r="HZ1001">
            <v>14</v>
          </cell>
          <cell r="IA1001">
            <v>15</v>
          </cell>
          <cell r="IB1001">
            <v>16</v>
          </cell>
          <cell r="IC1001">
            <v>17</v>
          </cell>
          <cell r="ID1001">
            <v>18</v>
          </cell>
          <cell r="IE1001">
            <v>19</v>
          </cell>
          <cell r="IF1001">
            <v>20</v>
          </cell>
          <cell r="IG1001">
            <v>21</v>
          </cell>
          <cell r="IH1001">
            <v>22</v>
          </cell>
          <cell r="II1001">
            <v>23</v>
          </cell>
          <cell r="IJ1001">
            <v>24</v>
          </cell>
          <cell r="IK1001">
            <v>25</v>
          </cell>
          <cell r="IL1001">
            <v>26</v>
          </cell>
          <cell r="IM1001">
            <v>27</v>
          </cell>
          <cell r="IN1001">
            <v>28</v>
          </cell>
          <cell r="IO1001">
            <v>29</v>
          </cell>
          <cell r="IP1001">
            <v>30</v>
          </cell>
          <cell r="IQ1001">
            <v>31</v>
          </cell>
          <cell r="IR1001">
            <v>32</v>
          </cell>
          <cell r="IS1001">
            <v>33</v>
          </cell>
          <cell r="IT1001">
            <v>34</v>
          </cell>
          <cell r="IU1001">
            <v>35</v>
          </cell>
          <cell r="IV1001">
            <v>36</v>
          </cell>
        </row>
        <row r="1002">
          <cell r="HM1002">
            <v>0</v>
          </cell>
          <cell r="HN1002">
            <v>0</v>
          </cell>
          <cell r="HO1002">
            <v>0</v>
          </cell>
          <cell r="HP1002">
            <v>0</v>
          </cell>
          <cell r="HQ1002">
            <v>0</v>
          </cell>
          <cell r="HR1002">
            <v>0</v>
          </cell>
          <cell r="HS1002">
            <v>0</v>
          </cell>
          <cell r="HT1002">
            <v>0</v>
          </cell>
          <cell r="HU1002">
            <v>0</v>
          </cell>
          <cell r="HV1002">
            <v>0</v>
          </cell>
          <cell r="HW1002">
            <v>0</v>
          </cell>
          <cell r="HX1002">
            <v>0</v>
          </cell>
          <cell r="HY1002">
            <v>0</v>
          </cell>
          <cell r="HZ1002">
            <v>0</v>
          </cell>
          <cell r="IA1002">
            <v>0</v>
          </cell>
          <cell r="IB1002">
            <v>0</v>
          </cell>
          <cell r="IC1002">
            <v>0</v>
          </cell>
          <cell r="ID1002">
            <v>0</v>
          </cell>
          <cell r="IE1002">
            <v>0</v>
          </cell>
          <cell r="IF1002">
            <v>0</v>
          </cell>
          <cell r="IG1002">
            <v>0</v>
          </cell>
          <cell r="IH1002">
            <v>0</v>
          </cell>
          <cell r="II1002">
            <v>0</v>
          </cell>
          <cell r="IJ1002">
            <v>0</v>
          </cell>
          <cell r="IK1002">
            <v>0</v>
          </cell>
          <cell r="IL1002">
            <v>0</v>
          </cell>
          <cell r="IM1002">
            <v>0</v>
          </cell>
          <cell r="IN1002">
            <v>0</v>
          </cell>
          <cell r="IO1002">
            <v>0</v>
          </cell>
          <cell r="IP1002">
            <v>0</v>
          </cell>
          <cell r="IQ1002">
            <v>0</v>
          </cell>
          <cell r="IR1002">
            <v>0</v>
          </cell>
          <cell r="IS1002">
            <v>0</v>
          </cell>
          <cell r="IT1002">
            <v>0</v>
          </cell>
          <cell r="IU1002">
            <v>0</v>
          </cell>
          <cell r="IV1002">
            <v>0</v>
          </cell>
        </row>
        <row r="1003">
          <cell r="HM1003">
            <v>0</v>
          </cell>
          <cell r="HN1003">
            <v>0</v>
          </cell>
          <cell r="HO1003">
            <v>0</v>
          </cell>
          <cell r="HP1003">
            <v>0</v>
          </cell>
          <cell r="HQ1003">
            <v>0</v>
          </cell>
          <cell r="HR1003">
            <v>0</v>
          </cell>
          <cell r="HS1003">
            <v>0</v>
          </cell>
          <cell r="HT1003">
            <v>0</v>
          </cell>
          <cell r="HU1003">
            <v>0</v>
          </cell>
          <cell r="HV1003">
            <v>0</v>
          </cell>
          <cell r="HW1003">
            <v>0</v>
          </cell>
          <cell r="HX1003">
            <v>0</v>
          </cell>
          <cell r="HY1003">
            <v>0</v>
          </cell>
          <cell r="HZ1003">
            <v>0</v>
          </cell>
          <cell r="IA1003">
            <v>0</v>
          </cell>
          <cell r="IB1003">
            <v>0</v>
          </cell>
          <cell r="IC1003">
            <v>0</v>
          </cell>
          <cell r="ID1003">
            <v>0</v>
          </cell>
          <cell r="IE1003">
            <v>0</v>
          </cell>
          <cell r="IF1003">
            <v>0</v>
          </cell>
          <cell r="IG1003">
            <v>0</v>
          </cell>
          <cell r="IH1003">
            <v>0</v>
          </cell>
          <cell r="II1003">
            <v>0</v>
          </cell>
          <cell r="IJ1003">
            <v>0</v>
          </cell>
          <cell r="IK1003">
            <v>0</v>
          </cell>
          <cell r="IL1003">
            <v>0</v>
          </cell>
          <cell r="IM1003">
            <v>0</v>
          </cell>
          <cell r="IN1003">
            <v>0</v>
          </cell>
          <cell r="IO1003">
            <v>0</v>
          </cell>
          <cell r="IP1003">
            <v>0</v>
          </cell>
          <cell r="IQ1003">
            <v>0</v>
          </cell>
          <cell r="IR1003">
            <v>0</v>
          </cell>
          <cell r="IS1003">
            <v>0</v>
          </cell>
          <cell r="IT1003">
            <v>0</v>
          </cell>
          <cell r="IU1003">
            <v>0</v>
          </cell>
          <cell r="IV1003">
            <v>0</v>
          </cell>
        </row>
        <row r="1004">
          <cell r="HM1004">
            <v>0</v>
          </cell>
          <cell r="HN1004">
            <v>0</v>
          </cell>
          <cell r="HO1004">
            <v>0</v>
          </cell>
          <cell r="HP1004">
            <v>0</v>
          </cell>
          <cell r="HQ1004">
            <v>0</v>
          </cell>
          <cell r="HR1004">
            <v>0</v>
          </cell>
          <cell r="HS1004">
            <v>0</v>
          </cell>
          <cell r="HT1004">
            <v>0</v>
          </cell>
          <cell r="HU1004">
            <v>0</v>
          </cell>
          <cell r="HV1004">
            <v>0</v>
          </cell>
          <cell r="HW1004">
            <v>0</v>
          </cell>
          <cell r="HX1004">
            <v>0</v>
          </cell>
          <cell r="HY1004">
            <v>0</v>
          </cell>
          <cell r="HZ1004">
            <v>0</v>
          </cell>
          <cell r="IA1004">
            <v>0</v>
          </cell>
          <cell r="IB1004">
            <v>0</v>
          </cell>
          <cell r="IC1004">
            <v>0</v>
          </cell>
          <cell r="ID1004">
            <v>0</v>
          </cell>
          <cell r="IE1004">
            <v>0</v>
          </cell>
          <cell r="IF1004">
            <v>0</v>
          </cell>
          <cell r="IG1004">
            <v>0</v>
          </cell>
          <cell r="IH1004">
            <v>0</v>
          </cell>
          <cell r="II1004">
            <v>0</v>
          </cell>
          <cell r="IJ1004">
            <v>0</v>
          </cell>
          <cell r="IK1004">
            <v>0</v>
          </cell>
          <cell r="IL1004">
            <v>0</v>
          </cell>
          <cell r="IM1004">
            <v>0</v>
          </cell>
          <cell r="IN1004">
            <v>0</v>
          </cell>
          <cell r="IO1004">
            <v>0</v>
          </cell>
          <cell r="IP1004">
            <v>0</v>
          </cell>
          <cell r="IQ1004">
            <v>0</v>
          </cell>
          <cell r="IR1004">
            <v>0</v>
          </cell>
          <cell r="IS1004">
            <v>0</v>
          </cell>
          <cell r="IT1004">
            <v>0</v>
          </cell>
          <cell r="IU1004">
            <v>0</v>
          </cell>
          <cell r="IV1004">
            <v>0</v>
          </cell>
        </row>
        <row r="1005">
          <cell r="HM1005">
            <v>0</v>
          </cell>
          <cell r="HN1005">
            <v>0</v>
          </cell>
          <cell r="HO1005">
            <v>0</v>
          </cell>
          <cell r="HP1005">
            <v>0</v>
          </cell>
          <cell r="HQ1005">
            <v>0</v>
          </cell>
          <cell r="HR1005">
            <v>0</v>
          </cell>
          <cell r="HS1005">
            <v>0</v>
          </cell>
          <cell r="HT1005">
            <v>0</v>
          </cell>
          <cell r="HU1005">
            <v>0</v>
          </cell>
          <cell r="HV1005">
            <v>0</v>
          </cell>
          <cell r="HW1005">
            <v>0</v>
          </cell>
          <cell r="HX1005">
            <v>0</v>
          </cell>
          <cell r="HY1005">
            <v>0</v>
          </cell>
          <cell r="HZ1005">
            <v>0</v>
          </cell>
          <cell r="IA1005">
            <v>0</v>
          </cell>
          <cell r="IB1005">
            <v>0</v>
          </cell>
          <cell r="IC1005">
            <v>0</v>
          </cell>
          <cell r="ID1005">
            <v>0</v>
          </cell>
          <cell r="IE1005">
            <v>0</v>
          </cell>
          <cell r="IF1005">
            <v>0</v>
          </cell>
          <cell r="IG1005">
            <v>0</v>
          </cell>
          <cell r="IH1005">
            <v>0</v>
          </cell>
          <cell r="II1005">
            <v>0</v>
          </cell>
          <cell r="IJ1005">
            <v>0</v>
          </cell>
          <cell r="IK1005">
            <v>0</v>
          </cell>
          <cell r="IL1005">
            <v>0</v>
          </cell>
          <cell r="IM1005">
            <v>0</v>
          </cell>
          <cell r="IN1005">
            <v>0</v>
          </cell>
          <cell r="IO1005">
            <v>0</v>
          </cell>
          <cell r="IP1005">
            <v>0</v>
          </cell>
          <cell r="IQ1005">
            <v>0</v>
          </cell>
          <cell r="IR1005">
            <v>0</v>
          </cell>
          <cell r="IS1005">
            <v>0</v>
          </cell>
          <cell r="IT1005">
            <v>0</v>
          </cell>
          <cell r="IU1005">
            <v>0</v>
          </cell>
          <cell r="IV1005">
            <v>0</v>
          </cell>
        </row>
        <row r="1006">
          <cell r="HM1006"/>
          <cell r="HN1006"/>
          <cell r="HO1006"/>
          <cell r="HP1006"/>
          <cell r="HQ1006"/>
          <cell r="HR1006"/>
          <cell r="HS1006"/>
          <cell r="HT1006"/>
          <cell r="HU1006"/>
          <cell r="HV1006"/>
          <cell r="HW1006"/>
          <cell r="HX1006"/>
          <cell r="HY1006"/>
          <cell r="HZ1006"/>
          <cell r="IA1006"/>
          <cell r="IB1006"/>
          <cell r="IC1006"/>
          <cell r="ID1006"/>
          <cell r="IE1006"/>
          <cell r="IF1006"/>
          <cell r="IG1006"/>
          <cell r="IH1006"/>
          <cell r="II1006"/>
          <cell r="IJ1006"/>
          <cell r="IK1006"/>
          <cell r="IL1006"/>
          <cell r="IM1006"/>
          <cell r="IN1006"/>
          <cell r="IO1006"/>
          <cell r="IP1006"/>
          <cell r="IQ1006"/>
          <cell r="IR1006"/>
          <cell r="IS1006"/>
          <cell r="IT1006"/>
          <cell r="IU1006"/>
          <cell r="IV1006"/>
        </row>
        <row r="1007">
          <cell r="HM1007">
            <v>0</v>
          </cell>
          <cell r="HN1007">
            <v>0</v>
          </cell>
          <cell r="HO1007">
            <v>0</v>
          </cell>
          <cell r="HP1007">
            <v>0</v>
          </cell>
          <cell r="HQ1007">
            <v>0</v>
          </cell>
          <cell r="HR1007">
            <v>0</v>
          </cell>
          <cell r="HS1007">
            <v>0</v>
          </cell>
          <cell r="HT1007">
            <v>0</v>
          </cell>
          <cell r="HU1007">
            <v>0</v>
          </cell>
          <cell r="HV1007">
            <v>0</v>
          </cell>
          <cell r="HW1007">
            <v>0</v>
          </cell>
          <cell r="HX1007">
            <v>0</v>
          </cell>
          <cell r="HY1007">
            <v>0</v>
          </cell>
          <cell r="HZ1007">
            <v>0</v>
          </cell>
          <cell r="IA1007">
            <v>0</v>
          </cell>
          <cell r="IB1007">
            <v>0</v>
          </cell>
          <cell r="IC1007">
            <v>0</v>
          </cell>
          <cell r="ID1007">
            <v>0</v>
          </cell>
          <cell r="IE1007">
            <v>0</v>
          </cell>
          <cell r="IF1007">
            <v>0</v>
          </cell>
          <cell r="IG1007">
            <v>0</v>
          </cell>
          <cell r="IH1007">
            <v>0</v>
          </cell>
          <cell r="II1007">
            <v>0</v>
          </cell>
          <cell r="IJ1007">
            <v>0</v>
          </cell>
          <cell r="IK1007">
            <v>0</v>
          </cell>
          <cell r="IL1007">
            <v>0</v>
          </cell>
          <cell r="IM1007">
            <v>0</v>
          </cell>
          <cell r="IN1007">
            <v>0</v>
          </cell>
          <cell r="IO1007">
            <v>0</v>
          </cell>
          <cell r="IP1007">
            <v>0</v>
          </cell>
          <cell r="IQ1007">
            <v>0</v>
          </cell>
          <cell r="IR1007">
            <v>0</v>
          </cell>
          <cell r="IS1007">
            <v>0</v>
          </cell>
          <cell r="IT1007">
            <v>0</v>
          </cell>
          <cell r="IU1007">
            <v>0</v>
          </cell>
          <cell r="IV1007">
            <v>0</v>
          </cell>
        </row>
        <row r="1008">
          <cell r="HM1008">
            <v>0</v>
          </cell>
          <cell r="HN1008">
            <v>0</v>
          </cell>
          <cell r="HO1008">
            <v>0</v>
          </cell>
          <cell r="HP1008">
            <v>0</v>
          </cell>
          <cell r="HQ1008">
            <v>0</v>
          </cell>
          <cell r="HR1008">
            <v>0</v>
          </cell>
          <cell r="HS1008">
            <v>0</v>
          </cell>
          <cell r="HT1008">
            <v>0</v>
          </cell>
          <cell r="HU1008">
            <v>0</v>
          </cell>
          <cell r="HV1008">
            <v>0</v>
          </cell>
          <cell r="HW1008">
            <v>0</v>
          </cell>
          <cell r="HX1008">
            <v>0</v>
          </cell>
          <cell r="HY1008">
            <v>0</v>
          </cell>
          <cell r="HZ1008">
            <v>0</v>
          </cell>
          <cell r="IA1008">
            <v>0</v>
          </cell>
          <cell r="IB1008">
            <v>0</v>
          </cell>
          <cell r="IC1008">
            <v>0</v>
          </cell>
          <cell r="ID1008">
            <v>0</v>
          </cell>
          <cell r="IE1008">
            <v>0</v>
          </cell>
          <cell r="IF1008">
            <v>0</v>
          </cell>
          <cell r="IG1008">
            <v>0</v>
          </cell>
          <cell r="IH1008">
            <v>0</v>
          </cell>
          <cell r="II1008">
            <v>0</v>
          </cell>
          <cell r="IJ1008">
            <v>0</v>
          </cell>
          <cell r="IK1008">
            <v>0</v>
          </cell>
          <cell r="IL1008">
            <v>0</v>
          </cell>
          <cell r="IM1008">
            <v>0</v>
          </cell>
          <cell r="IN1008">
            <v>0</v>
          </cell>
          <cell r="IO1008">
            <v>0</v>
          </cell>
          <cell r="IP1008">
            <v>0</v>
          </cell>
          <cell r="IQ1008">
            <v>0</v>
          </cell>
          <cell r="IR1008">
            <v>0</v>
          </cell>
          <cell r="IS1008">
            <v>0</v>
          </cell>
          <cell r="IT1008">
            <v>0</v>
          </cell>
          <cell r="IU1008">
            <v>0</v>
          </cell>
          <cell r="IV1008">
            <v>0</v>
          </cell>
        </row>
        <row r="1009">
          <cell r="HM1009" t="str">
            <v>(date)</v>
          </cell>
          <cell r="HN1009" t="str">
            <v>(date)</v>
          </cell>
          <cell r="HO1009" t="str">
            <v>(date)</v>
          </cell>
          <cell r="HP1009" t="str">
            <v>(date)</v>
          </cell>
          <cell r="HQ1009" t="str">
            <v>(date)</v>
          </cell>
          <cell r="HR1009" t="str">
            <v>(date)</v>
          </cell>
          <cell r="HS1009" t="str">
            <v>(date)</v>
          </cell>
          <cell r="HT1009" t="str">
            <v>(date)</v>
          </cell>
          <cell r="HU1009" t="str">
            <v>(date)</v>
          </cell>
          <cell r="HV1009" t="str">
            <v>(date)</v>
          </cell>
          <cell r="HW1009" t="str">
            <v>(date)</v>
          </cell>
          <cell r="HX1009" t="str">
            <v>(date)</v>
          </cell>
          <cell r="HY1009" t="str">
            <v>(date)</v>
          </cell>
          <cell r="HZ1009" t="str">
            <v>(date)</v>
          </cell>
          <cell r="IA1009" t="str">
            <v>(date)</v>
          </cell>
          <cell r="IB1009" t="str">
            <v>(date)</v>
          </cell>
          <cell r="IC1009" t="str">
            <v>(date)</v>
          </cell>
          <cell r="ID1009" t="str">
            <v>(date)</v>
          </cell>
          <cell r="IE1009" t="str">
            <v>(date)</v>
          </cell>
          <cell r="IF1009" t="str">
            <v>(date)</v>
          </cell>
          <cell r="IG1009" t="str">
            <v>(date)</v>
          </cell>
          <cell r="IH1009" t="str">
            <v>(date)</v>
          </cell>
          <cell r="II1009" t="str">
            <v>(date)</v>
          </cell>
          <cell r="IJ1009" t="str">
            <v>(date)</v>
          </cell>
          <cell r="IK1009" t="str">
            <v>(date)</v>
          </cell>
          <cell r="IL1009" t="str">
            <v>(date)</v>
          </cell>
          <cell r="IM1009" t="str">
            <v>(date)</v>
          </cell>
          <cell r="IN1009" t="str">
            <v>(date)</v>
          </cell>
          <cell r="IO1009" t="str">
            <v>(date)</v>
          </cell>
          <cell r="IP1009" t="str">
            <v>(date)</v>
          </cell>
          <cell r="IQ1009" t="str">
            <v>(date)</v>
          </cell>
          <cell r="IR1009" t="str">
            <v>(date)</v>
          </cell>
          <cell r="IS1009" t="str">
            <v>(date)</v>
          </cell>
          <cell r="IT1009" t="str">
            <v>(date)</v>
          </cell>
          <cell r="IU1009" t="str">
            <v>(date)</v>
          </cell>
          <cell r="IV1009">
            <v>0</v>
          </cell>
        </row>
        <row r="1010">
          <cell r="HM1010">
            <v>0</v>
          </cell>
          <cell r="HN1010">
            <v>0</v>
          </cell>
          <cell r="HO1010">
            <v>0</v>
          </cell>
          <cell r="HP1010">
            <v>0</v>
          </cell>
          <cell r="HQ1010">
            <v>0</v>
          </cell>
          <cell r="HR1010">
            <v>0</v>
          </cell>
          <cell r="HS1010">
            <v>0</v>
          </cell>
          <cell r="HT1010">
            <v>0</v>
          </cell>
          <cell r="HU1010">
            <v>0</v>
          </cell>
          <cell r="HV1010">
            <v>0</v>
          </cell>
          <cell r="HW1010">
            <v>0</v>
          </cell>
          <cell r="HX1010">
            <v>0</v>
          </cell>
          <cell r="HY1010">
            <v>0</v>
          </cell>
          <cell r="HZ1010">
            <v>0</v>
          </cell>
          <cell r="IA1010">
            <v>0</v>
          </cell>
          <cell r="IB1010">
            <v>0</v>
          </cell>
          <cell r="IC1010">
            <v>0</v>
          </cell>
          <cell r="ID1010">
            <v>0</v>
          </cell>
          <cell r="IE1010">
            <v>0</v>
          </cell>
          <cell r="IF1010">
            <v>0</v>
          </cell>
          <cell r="IG1010">
            <v>0</v>
          </cell>
          <cell r="IH1010">
            <v>0</v>
          </cell>
          <cell r="II1010">
            <v>0</v>
          </cell>
          <cell r="IJ1010">
            <v>0</v>
          </cell>
          <cell r="IK1010">
            <v>0</v>
          </cell>
          <cell r="IL1010">
            <v>0</v>
          </cell>
          <cell r="IM1010">
            <v>0</v>
          </cell>
          <cell r="IN1010">
            <v>0</v>
          </cell>
          <cell r="IO1010">
            <v>0</v>
          </cell>
          <cell r="IP1010">
            <v>0</v>
          </cell>
          <cell r="IQ1010">
            <v>0</v>
          </cell>
          <cell r="IR1010">
            <v>0</v>
          </cell>
          <cell r="IS1010">
            <v>0</v>
          </cell>
          <cell r="IT1010">
            <v>0</v>
          </cell>
          <cell r="IU1010">
            <v>0</v>
          </cell>
          <cell r="IV1010">
            <v>0</v>
          </cell>
        </row>
        <row r="1011">
          <cell r="HM1011">
            <v>0</v>
          </cell>
          <cell r="HN1011">
            <v>0</v>
          </cell>
          <cell r="HO1011">
            <v>0</v>
          </cell>
          <cell r="HP1011">
            <v>0</v>
          </cell>
          <cell r="HQ1011">
            <v>0</v>
          </cell>
          <cell r="HR1011">
            <v>0</v>
          </cell>
          <cell r="HS1011">
            <v>0</v>
          </cell>
          <cell r="HT1011">
            <v>0</v>
          </cell>
          <cell r="HU1011">
            <v>0</v>
          </cell>
          <cell r="HV1011">
            <v>0</v>
          </cell>
          <cell r="HW1011">
            <v>0</v>
          </cell>
          <cell r="HX1011">
            <v>0</v>
          </cell>
          <cell r="HY1011">
            <v>0</v>
          </cell>
          <cell r="HZ1011">
            <v>0</v>
          </cell>
          <cell r="IA1011">
            <v>0</v>
          </cell>
          <cell r="IB1011">
            <v>0</v>
          </cell>
          <cell r="IC1011">
            <v>0</v>
          </cell>
          <cell r="ID1011">
            <v>0</v>
          </cell>
          <cell r="IE1011">
            <v>0</v>
          </cell>
          <cell r="IF1011">
            <v>0</v>
          </cell>
          <cell r="IG1011">
            <v>0</v>
          </cell>
          <cell r="IH1011">
            <v>0</v>
          </cell>
          <cell r="II1011">
            <v>0</v>
          </cell>
          <cell r="IJ1011">
            <v>0</v>
          </cell>
          <cell r="IK1011">
            <v>0</v>
          </cell>
          <cell r="IL1011">
            <v>0</v>
          </cell>
          <cell r="IM1011">
            <v>0</v>
          </cell>
          <cell r="IN1011">
            <v>0</v>
          </cell>
          <cell r="IO1011">
            <v>0</v>
          </cell>
          <cell r="IP1011">
            <v>0</v>
          </cell>
          <cell r="IQ1011">
            <v>0</v>
          </cell>
          <cell r="IR1011">
            <v>0</v>
          </cell>
          <cell r="IS1011">
            <v>0</v>
          </cell>
          <cell r="IT1011">
            <v>0</v>
          </cell>
          <cell r="IU1011">
            <v>0</v>
          </cell>
          <cell r="IV101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Drivers"/>
      <sheetName val="Sheet8"/>
      <sheetName val="DevelopmentBudget1"/>
      <sheetName val="Actual Cash Flow"/>
      <sheetName val="Contingency Log"/>
      <sheetName val="DevelopmentBudget2"/>
      <sheetName val="DevelopmentBudget3"/>
      <sheetName val="Cost variations"/>
      <sheetName val="Factor contribution Per Unit"/>
      <sheetName val="Factor contribution calc"/>
      <sheetName val="BI P4 Construction Costs (2)"/>
      <sheetName val="P4 Construction Costs"/>
      <sheetName val="Cost Driver Model (V2)"/>
      <sheetName val="Cost Driver Model (V2)dataviz"/>
      <sheetName val="Cost Driver Model"/>
      <sheetName val="Summary Budget1"/>
      <sheetName val="Display summaries"/>
      <sheetName val="Sheet1"/>
      <sheetName val="Projected Cash Flow"/>
      <sheetName val="Moc Timeline"/>
      <sheetName val="Closing Draw Summary"/>
      <sheetName val="Settlement Statement"/>
      <sheetName val="Projected Cash Flow Quarterly"/>
      <sheetName val="Closing Budget"/>
      <sheetName val="Invoice Detail"/>
    </sheetNames>
    <sheetDataSet>
      <sheetData sheetId="0"/>
      <sheetData sheetId="1"/>
      <sheetData sheetId="2"/>
      <sheetData sheetId="3"/>
      <sheetData sheetId="4"/>
      <sheetData sheetId="5">
        <row r="10">
          <cell r="C10" t="str">
            <v>Pre Development/Construction Loans</v>
          </cell>
        </row>
        <row r="11">
          <cell r="D11" t="str">
            <v>PSH Development Org Predevelopment Loan</v>
          </cell>
          <cell r="F11">
            <v>4.8601018243179764E-2</v>
          </cell>
        </row>
        <row r="12">
          <cell r="D12" t="str">
            <v>Repayment</v>
          </cell>
          <cell r="F12">
            <v>-4.8601018243179764E-2</v>
          </cell>
        </row>
        <row r="13">
          <cell r="D13" t="str">
            <v>Other Bridge/Acq Loan</v>
          </cell>
          <cell r="F13">
            <v>0</v>
          </cell>
        </row>
        <row r="14">
          <cell r="D14" t="str">
            <v>Repayment</v>
          </cell>
          <cell r="F14">
            <v>0</v>
          </cell>
        </row>
        <row r="15">
          <cell r="D15" t="str">
            <v>Construction Loan</v>
          </cell>
          <cell r="F15">
            <v>0.55729167585512795</v>
          </cell>
        </row>
        <row r="16">
          <cell r="D16" t="str">
            <v>Repayment</v>
          </cell>
          <cell r="F16">
            <v>-0.55729167585512795</v>
          </cell>
        </row>
        <row r="17">
          <cell r="C17" t="str">
            <v>Permanent Financing</v>
          </cell>
          <cell r="F17">
            <v>0</v>
          </cell>
        </row>
        <row r="18">
          <cell r="D18" t="str">
            <v>LIHTC Equity</v>
          </cell>
          <cell r="F18">
            <v>0.67289383114080548</v>
          </cell>
        </row>
        <row r="19">
          <cell r="D19" t="str">
            <v xml:space="preserve">City of Seattle </v>
          </cell>
          <cell r="F19">
            <v>0.24062000888187943</v>
          </cell>
        </row>
        <row r="20">
          <cell r="D20" t="str">
            <v>State Housing Trust Fund</v>
          </cell>
          <cell r="F20">
            <v>0</v>
          </cell>
        </row>
        <row r="21">
          <cell r="D21" t="str">
            <v>King County</v>
          </cell>
          <cell r="F21">
            <v>0</v>
          </cell>
        </row>
        <row r="22">
          <cell r="D22" t="str">
            <v>FHLB DM</v>
          </cell>
          <cell r="F22">
            <v>0</v>
          </cell>
        </row>
        <row r="23">
          <cell r="D23" t="str">
            <v>Deferred Developer Fee</v>
          </cell>
          <cell r="F23">
            <v>1.6563486222706293E-2</v>
          </cell>
        </row>
        <row r="24">
          <cell r="D24" t="str">
            <v>PSH Development Org Sponsor Loan</v>
          </cell>
          <cell r="F24">
            <v>6.830263981316935E-2</v>
          </cell>
        </row>
        <row r="25">
          <cell r="D25" t="str">
            <v>Other: City Cultural Space Funding</v>
          </cell>
          <cell r="F25">
            <v>1.6200339414393255E-3</v>
          </cell>
        </row>
        <row r="26">
          <cell r="C26" t="str">
            <v>Total Sources</v>
          </cell>
          <cell r="F26">
            <v>0.99999999999999989</v>
          </cell>
        </row>
        <row r="27">
          <cell r="F27">
            <v>0</v>
          </cell>
        </row>
        <row r="28">
          <cell r="C28" t="str">
            <v>GAP/Surplus</v>
          </cell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C31" t="str">
            <v xml:space="preserve">Acquisition </v>
          </cell>
          <cell r="F31">
            <v>0</v>
          </cell>
        </row>
        <row r="32">
          <cell r="C32" t="str">
            <v>Property Purchase Price</v>
          </cell>
          <cell r="E32" t="str">
            <v>Price</v>
          </cell>
          <cell r="F32">
            <v>0</v>
          </cell>
        </row>
        <row r="33">
          <cell r="D33" t="str">
            <v>Land</v>
          </cell>
          <cell r="E33">
            <v>0</v>
          </cell>
          <cell r="F33">
            <v>0</v>
          </cell>
        </row>
        <row r="34">
          <cell r="D34" t="str">
            <v>Existing Structure</v>
          </cell>
          <cell r="F34">
            <v>0</v>
          </cell>
        </row>
        <row r="35">
          <cell r="C35" t="str">
            <v>Closing, Title &amp; Recording Costs</v>
          </cell>
          <cell r="F35">
            <v>3.2400678828786511E-4</v>
          </cell>
        </row>
        <row r="36">
          <cell r="C36" t="str">
            <v xml:space="preserve">Other Acquisition: </v>
          </cell>
          <cell r="F36">
            <v>0</v>
          </cell>
        </row>
        <row r="37">
          <cell r="D37" t="str">
            <v>SUBTOTAL</v>
          </cell>
          <cell r="F37">
            <v>3.2400678828786511E-4</v>
          </cell>
        </row>
        <row r="38">
          <cell r="F38">
            <v>0</v>
          </cell>
        </row>
        <row r="39">
          <cell r="F39">
            <v>0</v>
          </cell>
        </row>
        <row r="40">
          <cell r="C40" t="str">
            <v>Construction</v>
          </cell>
          <cell r="F40">
            <v>0</v>
          </cell>
        </row>
        <row r="41">
          <cell r="C41" t="str">
            <v>Pre Construction Services</v>
          </cell>
          <cell r="F41">
            <v>0</v>
          </cell>
        </row>
        <row r="42">
          <cell r="C42" t="str">
            <v>Demo</v>
          </cell>
          <cell r="F42">
            <v>0</v>
          </cell>
        </row>
        <row r="43">
          <cell r="C43" t="str">
            <v>General Contractor Costs:</v>
          </cell>
          <cell r="F43">
            <v>0.60824057688895694</v>
          </cell>
        </row>
        <row r="44">
          <cell r="D44" t="str">
            <v>New Building</v>
          </cell>
          <cell r="E44">
            <v>18181026</v>
          </cell>
          <cell r="F44">
            <v>0.58907758420381706</v>
          </cell>
        </row>
        <row r="45">
          <cell r="D45" t="str">
            <v>Rehab</v>
          </cell>
          <cell r="F45">
            <v>0</v>
          </cell>
        </row>
        <row r="46">
          <cell r="D46" t="str">
            <v>Furnishings</v>
          </cell>
          <cell r="F46">
            <v>0</v>
          </cell>
        </row>
        <row r="47">
          <cell r="D47" t="str">
            <v>Appliances</v>
          </cell>
          <cell r="F47">
            <v>0</v>
          </cell>
        </row>
        <row r="48">
          <cell r="D48" t="str">
            <v>Site Work/Infrastructure</v>
          </cell>
          <cell r="F48">
            <v>0</v>
          </cell>
        </row>
        <row r="49">
          <cell r="D49" t="str">
            <v>Off site infrastructure</v>
          </cell>
          <cell r="F49">
            <v>0</v>
          </cell>
        </row>
        <row r="50">
          <cell r="D50" t="str">
            <v>Environmental Abatement (Building)</v>
          </cell>
          <cell r="F50">
            <v>0</v>
          </cell>
        </row>
        <row r="51">
          <cell r="D51" t="str">
            <v>Environmental Abatement (Land)</v>
          </cell>
          <cell r="F51">
            <v>0</v>
          </cell>
        </row>
        <row r="52">
          <cell r="C52">
            <v>3.2530507354205422E-2</v>
          </cell>
          <cell r="D52" t="str">
            <v>Contractor Profit</v>
          </cell>
          <cell r="E52">
            <v>591438</v>
          </cell>
          <cell r="F52">
            <v>1.9162992685139834E-2</v>
          </cell>
        </row>
        <row r="53">
          <cell r="D53" t="str">
            <v>Contractor Overhead</v>
          </cell>
          <cell r="F53">
            <v>0</v>
          </cell>
        </row>
        <row r="54">
          <cell r="C54" t="str">
            <v xml:space="preserve">Environmental Abatement by Owner: </v>
          </cell>
          <cell r="F54">
            <v>0</v>
          </cell>
        </row>
        <row r="55">
          <cell r="D55" t="str">
            <v>Building</v>
          </cell>
          <cell r="F55">
            <v>0</v>
          </cell>
        </row>
        <row r="56">
          <cell r="D56" t="str">
            <v>Land Abatement</v>
          </cell>
          <cell r="F56">
            <v>0</v>
          </cell>
        </row>
        <row r="57">
          <cell r="C57" t="str">
            <v>Construction Contingencies</v>
          </cell>
          <cell r="F57">
            <v>0</v>
          </cell>
        </row>
        <row r="58">
          <cell r="D58" t="str">
            <v>Construction Contingency</v>
          </cell>
          <cell r="E58">
            <v>1314072.4800000002</v>
          </cell>
          <cell r="F58">
            <v>4.2576840382226991E-2</v>
          </cell>
        </row>
        <row r="59">
          <cell r="D59" t="str">
            <v>Escalation</v>
          </cell>
          <cell r="E59">
            <v>909051.3</v>
          </cell>
          <cell r="F59">
            <v>2.9453869489987204E-2</v>
          </cell>
        </row>
        <row r="60">
          <cell r="D60" t="str">
            <v>Contractor Contingency</v>
          </cell>
          <cell r="E60">
            <v>0</v>
          </cell>
          <cell r="F60">
            <v>0</v>
          </cell>
        </row>
        <row r="61">
          <cell r="C61" t="str">
            <v>Sales Tax</v>
          </cell>
          <cell r="E61" t="str">
            <v>Sums to this line</v>
          </cell>
          <cell r="F61">
            <v>6.191282427691721E-2</v>
          </cell>
        </row>
        <row r="62">
          <cell r="D62" t="str">
            <v>Sales Tax on GC Contract Work</v>
          </cell>
          <cell r="E62">
            <v>1910849.6030000001</v>
          </cell>
          <cell r="F62">
            <v>0</v>
          </cell>
        </row>
        <row r="63">
          <cell r="D63" t="str">
            <v>Sales Tax on Contingency + Owner Direct Work</v>
          </cell>
          <cell r="E63">
            <v>0</v>
          </cell>
          <cell r="F63">
            <v>0</v>
          </cell>
        </row>
        <row r="64">
          <cell r="C64" t="str">
            <v>Bond Premium</v>
          </cell>
          <cell r="E64">
            <v>146839</v>
          </cell>
          <cell r="F64">
            <v>4.7576832785401818E-3</v>
          </cell>
        </row>
        <row r="65">
          <cell r="C65" t="str">
            <v>Owner Construction Costs:</v>
          </cell>
          <cell r="E65" t="str">
            <v>Sums to this line</v>
          </cell>
          <cell r="F65">
            <v>5.5599564870197644E-3</v>
          </cell>
        </row>
        <row r="66">
          <cell r="D66" t="str">
            <v>Common Area Furnishings</v>
          </cell>
          <cell r="E66">
            <v>75000</v>
          </cell>
          <cell r="F66">
            <v>2.4300509121589881E-3</v>
          </cell>
        </row>
        <row r="67">
          <cell r="D67" t="str">
            <v xml:space="preserve">Apartment Furnishings </v>
          </cell>
          <cell r="E67">
            <v>96600</v>
          </cell>
          <cell r="F67">
            <v>3.1299055748607767E-3</v>
          </cell>
        </row>
        <row r="68">
          <cell r="D68" t="str">
            <v>Low Voltage Contractor</v>
          </cell>
          <cell r="F68">
            <v>0</v>
          </cell>
        </row>
        <row r="69">
          <cell r="D69" t="str">
            <v>Other Owner Direct Contracts</v>
          </cell>
          <cell r="F69">
            <v>0</v>
          </cell>
        </row>
        <row r="70">
          <cell r="C70" t="str">
            <v>Commercial Space Tenant Improvement Allowance</v>
          </cell>
          <cell r="F70">
            <v>1.9440407297271905E-2</v>
          </cell>
        </row>
        <row r="71">
          <cell r="D71" t="str">
            <v>SUBTOTAL</v>
          </cell>
          <cell r="F71">
            <v>0.77194215810092015</v>
          </cell>
        </row>
        <row r="72">
          <cell r="F72">
            <v>0</v>
          </cell>
        </row>
        <row r="73">
          <cell r="C73" t="str">
            <v>Soft Costs</v>
          </cell>
          <cell r="F73">
            <v>0</v>
          </cell>
        </row>
        <row r="74">
          <cell r="C74" t="str">
            <v>Appraisal</v>
          </cell>
          <cell r="D74" t="str">
            <v>(include updates if needed)</v>
          </cell>
          <cell r="F74">
            <v>1.1340237590075278E-4</v>
          </cell>
        </row>
        <row r="75">
          <cell r="C75" t="str">
            <v>Market Study</v>
          </cell>
          <cell r="F75">
            <v>2.2680475180150556E-4</v>
          </cell>
        </row>
        <row r="76">
          <cell r="C76" t="str">
            <v>Architect:</v>
          </cell>
          <cell r="E76" t="str">
            <v>Sums to this line</v>
          </cell>
          <cell r="F76">
            <v>3.4841259961564855E-2</v>
          </cell>
        </row>
        <row r="77">
          <cell r="D77" t="str">
            <v>Site Analysis and Concept</v>
          </cell>
          <cell r="F77">
            <v>0</v>
          </cell>
        </row>
        <row r="78">
          <cell r="D78" t="str">
            <v>Base Contract</v>
          </cell>
          <cell r="E78">
            <v>1075325</v>
          </cell>
          <cell r="F78">
            <v>3.4841259961564855E-2</v>
          </cell>
        </row>
        <row r="79">
          <cell r="D79" t="str">
            <v>Capital Needs Assessment</v>
          </cell>
          <cell r="F79">
            <v>0</v>
          </cell>
        </row>
        <row r="80">
          <cell r="D80" t="str">
            <v>Reimbursables</v>
          </cell>
          <cell r="F80">
            <v>0</v>
          </cell>
        </row>
        <row r="81">
          <cell r="C81" t="str">
            <v>Engineering</v>
          </cell>
          <cell r="F81">
            <v>0</v>
          </cell>
        </row>
        <row r="82">
          <cell r="C82" t="str">
            <v>Environmental Assessment</v>
          </cell>
          <cell r="E82" t="str">
            <v>Phase I, Phase II,  hazmat survey</v>
          </cell>
          <cell r="F82">
            <v>3.2400678828786511E-4</v>
          </cell>
        </row>
        <row r="83">
          <cell r="C83" t="str">
            <v>Geotechnical Study</v>
          </cell>
          <cell r="F83">
            <v>3.2400678828786511E-4</v>
          </cell>
        </row>
        <row r="84">
          <cell r="C84" t="str">
            <v>Boundary &amp; Topographic Survey</v>
          </cell>
          <cell r="E84" t="str">
            <v>ALTA, As-Built, Condo</v>
          </cell>
          <cell r="F84">
            <v>1.2960271531514604E-3</v>
          </cell>
        </row>
        <row r="85">
          <cell r="C85" t="str">
            <v>Legal - Real Estate</v>
          </cell>
          <cell r="F85">
            <v>1.1340237590075277E-3</v>
          </cell>
        </row>
        <row r="86">
          <cell r="C86" t="str">
            <v>Developer Fee:</v>
          </cell>
          <cell r="F86">
            <v>8.2817431113531473E-2</v>
          </cell>
        </row>
        <row r="87">
          <cell r="D87" t="str">
            <v>Paid Fee</v>
          </cell>
          <cell r="E87">
            <v>2044832</v>
          </cell>
          <cell r="F87">
            <v>6.6253944890825173E-2</v>
          </cell>
        </row>
        <row r="88">
          <cell r="D88" t="str">
            <v>Deferred Fee</v>
          </cell>
          <cell r="E88">
            <v>511208</v>
          </cell>
          <cell r="F88">
            <v>1.6563486222706293E-2</v>
          </cell>
        </row>
        <row r="89">
          <cell r="C89" t="str">
            <v>Project Management/Dev Consultant Fees</v>
          </cell>
          <cell r="E89" t="str">
            <v>Reduce paid fee by this amount</v>
          </cell>
          <cell r="F89">
            <v>0</v>
          </cell>
        </row>
        <row r="90">
          <cell r="C90" t="str">
            <v>Other Construction Testing Consultants:</v>
          </cell>
          <cell r="E90" t="str">
            <v>Sum to this line</v>
          </cell>
          <cell r="F90">
            <v>5.6701187950376391E-3</v>
          </cell>
        </row>
        <row r="91">
          <cell r="D91" t="str">
            <v>Surveyor Monitoring</v>
          </cell>
          <cell r="F91">
            <v>0</v>
          </cell>
        </row>
        <row r="92">
          <cell r="D92" t="str">
            <v>Air Barrier &amp; Window Testing</v>
          </cell>
          <cell r="E92">
            <v>20000</v>
          </cell>
          <cell r="F92">
            <v>6.4801357657573021E-4</v>
          </cell>
        </row>
        <row r="93">
          <cell r="D93" t="str">
            <v>Geotech Monitoring</v>
          </cell>
          <cell r="E93">
            <v>50000</v>
          </cell>
          <cell r="F93">
            <v>1.6200339414393255E-3</v>
          </cell>
        </row>
        <row r="94">
          <cell r="D94" t="str">
            <v>Structural Testing (Special Inspections)</v>
          </cell>
          <cell r="E94">
            <v>70000</v>
          </cell>
          <cell r="F94">
            <v>2.2680475180150554E-3</v>
          </cell>
        </row>
        <row r="95">
          <cell r="D95" t="str">
            <v>HVAC &amp; Plumbing Commissioning</v>
          </cell>
          <cell r="E95">
            <v>35000</v>
          </cell>
          <cell r="F95">
            <v>1.1340237590075277E-3</v>
          </cell>
        </row>
        <row r="96">
          <cell r="C96" t="str">
            <v xml:space="preserve">Other Soft Costs: </v>
          </cell>
          <cell r="E96" t="str">
            <v>Sum to this line</v>
          </cell>
          <cell r="F96">
            <v>0</v>
          </cell>
        </row>
        <row r="97">
          <cell r="F97">
            <v>0</v>
          </cell>
        </row>
        <row r="98">
          <cell r="D98" t="str">
            <v>Construction Easements</v>
          </cell>
          <cell r="F98">
            <v>0</v>
          </cell>
        </row>
        <row r="99">
          <cell r="C99" t="str">
            <v xml:space="preserve">Soft Cost Contingency </v>
          </cell>
          <cell r="F99">
            <v>3.240067882878651E-3</v>
          </cell>
        </row>
        <row r="100">
          <cell r="D100" t="str">
            <v>SUBTOTAL</v>
          </cell>
          <cell r="F100">
            <v>0.12998714936944958</v>
          </cell>
        </row>
        <row r="101">
          <cell r="F101">
            <v>0</v>
          </cell>
        </row>
        <row r="102">
          <cell r="C102" t="str">
            <v>Pre-Development /Bridge Financing</v>
          </cell>
          <cell r="F102">
            <v>0</v>
          </cell>
        </row>
        <row r="103">
          <cell r="C103" t="str">
            <v>Bridge Loan Fees</v>
          </cell>
          <cell r="F103">
            <v>0</v>
          </cell>
        </row>
        <row r="104">
          <cell r="C104" t="str">
            <v>Bridge Loan Interest:</v>
          </cell>
          <cell r="E104" t="str">
            <v>sums to this line</v>
          </cell>
          <cell r="F104">
            <v>8.0191680101246606E-4</v>
          </cell>
        </row>
        <row r="105">
          <cell r="D105" t="str">
            <v>Bridge Loan</v>
          </cell>
          <cell r="E105">
            <v>0</v>
          </cell>
          <cell r="F105">
            <v>0</v>
          </cell>
        </row>
        <row r="106">
          <cell r="D106" t="str">
            <v xml:space="preserve">PSH Development Org Pre-Dev Loan </v>
          </cell>
          <cell r="E106">
            <v>67500</v>
          </cell>
          <cell r="F106">
            <v>8.0191680101246606E-4</v>
          </cell>
        </row>
        <row r="107">
          <cell r="D107" t="str">
            <v>SUBTOTAL</v>
          </cell>
          <cell r="F107">
            <v>8.0191680101246606E-4</v>
          </cell>
        </row>
        <row r="108">
          <cell r="F108">
            <v>0</v>
          </cell>
        </row>
        <row r="109">
          <cell r="C109" t="str">
            <v>Construction Financing</v>
          </cell>
          <cell r="F109">
            <v>0</v>
          </cell>
        </row>
        <row r="110">
          <cell r="C110" t="str">
            <v>Construction Loan Fees:</v>
          </cell>
          <cell r="F110">
            <v>0</v>
          </cell>
        </row>
        <row r="111">
          <cell r="D111" t="str">
            <v>Origination Fee</v>
          </cell>
          <cell r="E111">
            <v>172000</v>
          </cell>
          <cell r="F111">
            <v>5.5729167585512798E-3</v>
          </cell>
        </row>
        <row r="112">
          <cell r="D112" t="str">
            <v>Inspections</v>
          </cell>
          <cell r="E112">
            <v>20000</v>
          </cell>
          <cell r="F112">
            <v>6.4801357657573021E-4</v>
          </cell>
        </row>
        <row r="113">
          <cell r="D113" t="str">
            <v>Appraisal</v>
          </cell>
          <cell r="E113">
            <v>7000</v>
          </cell>
          <cell r="F113">
            <v>2.2680475180150556E-4</v>
          </cell>
        </row>
        <row r="114">
          <cell r="D114" t="str">
            <v>Bank Legal</v>
          </cell>
          <cell r="E114">
            <v>40000</v>
          </cell>
          <cell r="F114">
            <v>8.1001697071966274E-4</v>
          </cell>
        </row>
        <row r="115">
          <cell r="D115" t="str">
            <v>PSH DEV Org Legal</v>
          </cell>
          <cell r="E115">
            <v>50000</v>
          </cell>
          <cell r="F115">
            <v>1.2960271531514604E-3</v>
          </cell>
        </row>
        <row r="116">
          <cell r="C116" t="str">
            <v>Construction Loan Interest</v>
          </cell>
          <cell r="F116">
            <v>0</v>
          </cell>
        </row>
        <row r="117">
          <cell r="D117" t="str">
            <v>Const Period Interest (Eligible)</v>
          </cell>
          <cell r="E117">
            <v>350000</v>
          </cell>
          <cell r="F117">
            <v>1.1340237590075278E-2</v>
          </cell>
        </row>
        <row r="118">
          <cell r="D118" t="str">
            <v>Lease-up Period Interest (Ineligible)</v>
          </cell>
          <cell r="E118">
            <v>325000</v>
          </cell>
          <cell r="F118">
            <v>1.0530220619355615E-2</v>
          </cell>
        </row>
        <row r="119">
          <cell r="D119" t="str">
            <v>SUBTOTAL</v>
          </cell>
          <cell r="F119">
            <v>3.0424237420230531E-2</v>
          </cell>
        </row>
        <row r="120">
          <cell r="F120">
            <v>0</v>
          </cell>
        </row>
        <row r="121">
          <cell r="C121" t="str">
            <v xml:space="preserve">Permanent Financing </v>
          </cell>
          <cell r="F121">
            <v>0</v>
          </cell>
        </row>
        <row r="122">
          <cell r="C122" t="str">
            <v>Perm Loan Fees</v>
          </cell>
          <cell r="F122">
            <v>0</v>
          </cell>
        </row>
        <row r="123">
          <cell r="C123" t="str">
            <v xml:space="preserve">Perm Loan Expenses </v>
          </cell>
          <cell r="F123">
            <v>3.2400678828786511E-4</v>
          </cell>
        </row>
        <row r="124">
          <cell r="C124" t="str">
            <v>Perm Loan Legal</v>
          </cell>
          <cell r="F124">
            <v>3.8880814594543812E-4</v>
          </cell>
        </row>
        <row r="125">
          <cell r="C125" t="str">
            <v>LIHTC Fees</v>
          </cell>
          <cell r="D125" t="str">
            <v xml:space="preserve">WSHFC </v>
          </cell>
          <cell r="E125">
            <v>199680.715</v>
          </cell>
          <cell r="F125">
            <v>6.4697907150174528E-3</v>
          </cell>
        </row>
        <row r="126">
          <cell r="C126" t="str">
            <v>LIHTC Legal:</v>
          </cell>
          <cell r="F126">
            <v>0</v>
          </cell>
        </row>
        <row r="127">
          <cell r="D127" t="str">
            <v>Investor Legal</v>
          </cell>
          <cell r="E127">
            <v>40000</v>
          </cell>
          <cell r="F127">
            <v>1.2960271531514604E-3</v>
          </cell>
        </row>
        <row r="128">
          <cell r="D128" t="str">
            <v>PSH Dev. Org Legal</v>
          </cell>
          <cell r="E128">
            <v>25000</v>
          </cell>
          <cell r="F128">
            <v>8.1001697071966274E-4</v>
          </cell>
        </row>
        <row r="129">
          <cell r="C129" t="str">
            <v>State HTF Fees</v>
          </cell>
          <cell r="E129">
            <v>0</v>
          </cell>
          <cell r="F129">
            <v>0</v>
          </cell>
        </row>
        <row r="130">
          <cell r="D130" t="str">
            <v>SUBTOTAL</v>
          </cell>
          <cell r="F130">
            <v>9.1369914297177949E-3</v>
          </cell>
        </row>
        <row r="131">
          <cell r="F131">
            <v>0</v>
          </cell>
        </row>
        <row r="132">
          <cell r="C132" t="str">
            <v>Capitalized Reserves</v>
          </cell>
          <cell r="F132">
            <v>0</v>
          </cell>
        </row>
        <row r="133">
          <cell r="C133" t="str">
            <v>Operating Reserves</v>
          </cell>
          <cell r="E133" t="str">
            <v>6 months debt + expenses</v>
          </cell>
          <cell r="F133">
            <v>1.6321868204551053E-2</v>
          </cell>
        </row>
        <row r="134">
          <cell r="C134" t="str">
            <v>Subsidy Reserves</v>
          </cell>
          <cell r="F134">
            <v>0</v>
          </cell>
        </row>
        <row r="135">
          <cell r="C135" t="str">
            <v>Replacement Reserves</v>
          </cell>
          <cell r="E135">
            <v>32200</v>
          </cell>
          <cell r="F135">
            <v>1.0546420958770007E-3</v>
          </cell>
        </row>
        <row r="136">
          <cell r="D136" t="str">
            <v>SUBTOTAL</v>
          </cell>
          <cell r="F136">
            <v>1.7376510300428059E-2</v>
          </cell>
        </row>
        <row r="137">
          <cell r="F137">
            <v>0</v>
          </cell>
        </row>
        <row r="138">
          <cell r="C138" t="str">
            <v>Other Development Costs</v>
          </cell>
          <cell r="F138">
            <v>0</v>
          </cell>
        </row>
        <row r="139">
          <cell r="C139" t="str">
            <v>Real Estate &amp; Property Tax</v>
          </cell>
          <cell r="E139">
            <v>0</v>
          </cell>
          <cell r="F139">
            <v>0</v>
          </cell>
        </row>
        <row r="140">
          <cell r="C140" t="str">
            <v>Insurance:</v>
          </cell>
          <cell r="E140" t="str">
            <v>Sum to this line</v>
          </cell>
          <cell r="F140">
            <v>6.4272578579087219E-3</v>
          </cell>
        </row>
        <row r="141">
          <cell r="D141" t="str">
            <v>Builders Risk</v>
          </cell>
          <cell r="E141">
            <v>133368</v>
          </cell>
          <cell r="F141">
            <v>4.3212137340375989E-3</v>
          </cell>
        </row>
        <row r="142">
          <cell r="D142" t="str">
            <v>Liability for PSH Development Org</v>
          </cell>
          <cell r="E142">
            <v>65000</v>
          </cell>
          <cell r="F142">
            <v>0</v>
          </cell>
        </row>
        <row r="143">
          <cell r="D143" t="str">
            <v>Other</v>
          </cell>
          <cell r="F143">
            <v>0</v>
          </cell>
        </row>
        <row r="144">
          <cell r="C144" t="str">
            <v>Relocation</v>
          </cell>
          <cell r="E144">
            <v>0</v>
          </cell>
          <cell r="F144">
            <v>0</v>
          </cell>
        </row>
        <row r="145">
          <cell r="C145" t="str">
            <v>Permits, Fees &amp; Hookups</v>
          </cell>
          <cell r="E145" t="str">
            <v>Sum to this line</v>
          </cell>
          <cell r="F145">
            <v>2.5317598830704318E-2</v>
          </cell>
        </row>
        <row r="146">
          <cell r="D146" t="str">
            <v>SDCI (Building &amp; Land Use)</v>
          </cell>
          <cell r="E146">
            <v>98341</v>
          </cell>
          <cell r="F146">
            <v>3.186315156701694E-3</v>
          </cell>
        </row>
        <row r="147">
          <cell r="D147" t="str">
            <v xml:space="preserve">Seattle City Light </v>
          </cell>
          <cell r="E147">
            <v>225000</v>
          </cell>
          <cell r="F147">
            <v>7.2901527364769647E-3</v>
          </cell>
        </row>
        <row r="148">
          <cell r="D148" t="str">
            <v xml:space="preserve">SDOT </v>
          </cell>
          <cell r="E148">
            <v>35000</v>
          </cell>
          <cell r="F148">
            <v>1.1340237590075277E-3</v>
          </cell>
        </row>
        <row r="149">
          <cell r="D149" t="str">
            <v>SPU</v>
          </cell>
          <cell r="E149">
            <v>97000</v>
          </cell>
          <cell r="F149">
            <v>3.1428658463922912E-3</v>
          </cell>
        </row>
        <row r="150">
          <cell r="D150" t="str">
            <v>KC Wastewater Treatment</v>
          </cell>
          <cell r="E150">
            <v>316050</v>
          </cell>
          <cell r="F150">
            <v>1.0240234543837975E-2</v>
          </cell>
        </row>
        <row r="151">
          <cell r="D151" t="str">
            <v>Phone/Cable/Internet</v>
          </cell>
          <cell r="E151">
            <v>10000</v>
          </cell>
          <cell r="F151">
            <v>3.2400678828786511E-4</v>
          </cell>
        </row>
        <row r="152">
          <cell r="C152" t="str">
            <v>Development Period Utilities</v>
          </cell>
          <cell r="F152">
            <v>0</v>
          </cell>
        </row>
        <row r="153">
          <cell r="C153" t="str">
            <v xml:space="preserve">LIHTC Nonprofit Donation </v>
          </cell>
          <cell r="F153">
            <v>8.1001697071966274E-4</v>
          </cell>
        </row>
        <row r="154">
          <cell r="C154" t="str">
            <v>Accounting/Audit</v>
          </cell>
          <cell r="F154">
            <v>6.4801357657573021E-4</v>
          </cell>
        </row>
        <row r="155">
          <cell r="C155" t="str">
            <v>Marketing/Leasing Expenses</v>
          </cell>
          <cell r="F155">
            <v>3.2400678828786511E-4</v>
          </cell>
        </row>
        <row r="156">
          <cell r="C156" t="str">
            <v>Carrying Costs at Rent Up</v>
          </cell>
          <cell r="E156" t="str">
            <v>.</v>
          </cell>
          <cell r="F156">
            <v>6.4801357657573019E-3</v>
          </cell>
        </row>
        <row r="157">
          <cell r="C157" t="str">
            <v>SUBTOTAL</v>
          </cell>
          <cell r="F157">
            <v>4.0007029789953602E-2</v>
          </cell>
        </row>
        <row r="158">
          <cell r="E158">
            <v>0.6099560219971244</v>
          </cell>
          <cell r="F158">
            <v>0</v>
          </cell>
        </row>
      </sheetData>
      <sheetData sheetId="6">
        <row r="31">
          <cell r="C31" t="str">
            <v xml:space="preserve">Acquisition </v>
          </cell>
        </row>
        <row r="32">
          <cell r="C32" t="str">
            <v>Property Purchase Price</v>
          </cell>
          <cell r="E32" t="str">
            <v>Price</v>
          </cell>
          <cell r="F32" t="str">
            <v>Per sq. ft</v>
          </cell>
        </row>
        <row r="33">
          <cell r="D33" t="str">
            <v>Land</v>
          </cell>
          <cell r="E33">
            <v>2970274</v>
          </cell>
          <cell r="F33">
            <v>211.09189112358752</v>
          </cell>
          <cell r="G33">
            <v>8.1567602444454726E-2</v>
          </cell>
        </row>
        <row r="34">
          <cell r="D34" t="str">
            <v>Existing Structure</v>
          </cell>
          <cell r="G34">
            <v>0</v>
          </cell>
        </row>
        <row r="35">
          <cell r="C35" t="str">
            <v>Closing, Title &amp; Recording Costs</v>
          </cell>
          <cell r="G35">
            <v>0</v>
          </cell>
        </row>
        <row r="36">
          <cell r="C36" t="str">
            <v xml:space="preserve">Other Acquisition: </v>
          </cell>
          <cell r="G36">
            <v>0</v>
          </cell>
        </row>
        <row r="37">
          <cell r="C37" t="str">
            <v>SUBTOTAL</v>
          </cell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C40" t="str">
            <v>Construction</v>
          </cell>
          <cell r="G40">
            <v>0</v>
          </cell>
        </row>
        <row r="41">
          <cell r="C41" t="str">
            <v>Pre Construction Services</v>
          </cell>
          <cell r="F41" t="str">
            <v>Note if included below</v>
          </cell>
          <cell r="G41">
            <v>0</v>
          </cell>
        </row>
        <row r="42">
          <cell r="C42" t="str">
            <v>Demo</v>
          </cell>
          <cell r="F42" t="str">
            <v>Note if included below</v>
          </cell>
          <cell r="G42">
            <v>0</v>
          </cell>
        </row>
        <row r="43">
          <cell r="C43" t="str">
            <v>General Contractor Costs:</v>
          </cell>
          <cell r="F43" t="str">
            <v>Per sq ft</v>
          </cell>
          <cell r="G43">
            <v>0.54775001468635565</v>
          </cell>
        </row>
        <row r="44">
          <cell r="D44" t="str">
            <v>New Building</v>
          </cell>
          <cell r="E44">
            <v>19281823</v>
          </cell>
          <cell r="F44">
            <v>315.30976909994769</v>
          </cell>
          <cell r="G44">
            <v>0.52950403662030621</v>
          </cell>
        </row>
        <row r="45">
          <cell r="D45" t="str">
            <v>Rehab</v>
          </cell>
          <cell r="G45">
            <v>0</v>
          </cell>
        </row>
        <row r="46">
          <cell r="D46" t="str">
            <v>Furnishings</v>
          </cell>
          <cell r="G46">
            <v>0</v>
          </cell>
        </row>
        <row r="47">
          <cell r="D47" t="str">
            <v>Appliances</v>
          </cell>
          <cell r="G47">
            <v>0</v>
          </cell>
        </row>
        <row r="48">
          <cell r="D48" t="str">
            <v>Site Work/Infrastructure</v>
          </cell>
          <cell r="G48">
            <v>0</v>
          </cell>
        </row>
        <row r="49">
          <cell r="D49" t="str">
            <v>Off site infrastructure</v>
          </cell>
          <cell r="G49">
            <v>0</v>
          </cell>
        </row>
        <row r="50">
          <cell r="D50" t="str">
            <v>Environmental Abatement (Building)</v>
          </cell>
          <cell r="F50" t="str">
            <v>GC costs only</v>
          </cell>
          <cell r="G50">
            <v>0</v>
          </cell>
        </row>
        <row r="51">
          <cell r="D51" t="str">
            <v>Environmental Abatement (Land)</v>
          </cell>
          <cell r="F51" t="str">
            <v>GC costs only</v>
          </cell>
          <cell r="G51">
            <v>0</v>
          </cell>
        </row>
        <row r="52">
          <cell r="C52">
            <v>1.7229309697532232E-2</v>
          </cell>
          <cell r="D52" t="str">
            <v>Contractor Profit</v>
          </cell>
          <cell r="E52">
            <v>332212.5</v>
          </cell>
          <cell r="G52">
            <v>9.1229890330247025E-3</v>
          </cell>
        </row>
        <row r="53">
          <cell r="D53" t="str">
            <v>Contractor Overhead</v>
          </cell>
          <cell r="E53">
            <v>332212.5</v>
          </cell>
          <cell r="G53">
            <v>9.1229890330247025E-3</v>
          </cell>
        </row>
        <row r="54">
          <cell r="C54" t="str">
            <v xml:space="preserve">Environmental Abatement by Owner: </v>
          </cell>
          <cell r="G54">
            <v>0</v>
          </cell>
        </row>
        <row r="55">
          <cell r="D55" t="str">
            <v>Building</v>
          </cell>
          <cell r="E55">
            <v>60000</v>
          </cell>
          <cell r="F55" t="str">
            <v>PLY cost estimate</v>
          </cell>
          <cell r="G55">
            <v>1.6476783443774155E-3</v>
          </cell>
        </row>
        <row r="56">
          <cell r="D56" t="str">
            <v>Land Abatement</v>
          </cell>
          <cell r="E56">
            <v>0</v>
          </cell>
          <cell r="F56" t="str">
            <v>PLY cost estimate</v>
          </cell>
          <cell r="G56">
            <v>0</v>
          </cell>
        </row>
        <row r="57">
          <cell r="C57" t="str">
            <v>Construction Contingencies</v>
          </cell>
          <cell r="F57" t="str">
            <v>% of GC costs</v>
          </cell>
          <cell r="G57">
            <v>0</v>
          </cell>
        </row>
        <row r="58">
          <cell r="D58" t="str">
            <v>Construction Contingency</v>
          </cell>
          <cell r="E58">
            <v>1396237.36</v>
          </cell>
          <cell r="F58">
            <v>7.0000000000000007E-2</v>
          </cell>
          <cell r="G58">
            <v>3.8342501028044894E-2</v>
          </cell>
        </row>
        <row r="59">
          <cell r="D59" t="str">
            <v>Escalation</v>
          </cell>
          <cell r="E59">
            <v>997312.4</v>
          </cell>
          <cell r="F59">
            <v>0.05</v>
          </cell>
          <cell r="G59">
            <v>2.7387500734317779E-2</v>
          </cell>
        </row>
        <row r="60">
          <cell r="D60" t="str">
            <v>Contractor Contingency</v>
          </cell>
          <cell r="E60">
            <v>0</v>
          </cell>
          <cell r="F60">
            <v>0</v>
          </cell>
          <cell r="G60">
            <v>0</v>
          </cell>
        </row>
        <row r="61">
          <cell r="C61" t="str">
            <v>Sales Tax</v>
          </cell>
          <cell r="E61" t="str">
            <v>Sums to this line</v>
          </cell>
          <cell r="F61" t="str">
            <v>Rate</v>
          </cell>
          <cell r="G61">
            <v>6.2127897174102664E-2</v>
          </cell>
        </row>
        <row r="62">
          <cell r="D62" t="str">
            <v>Sales Tax on GC Contract Work</v>
          </cell>
          <cell r="E62">
            <v>2014571.0480000002</v>
          </cell>
          <cell r="F62">
            <v>0.10100000000000001</v>
          </cell>
          <cell r="G62">
            <v>5.5322751483321921E-2</v>
          </cell>
        </row>
        <row r="63">
          <cell r="D63" t="str">
            <v>Sales Tax on Contingency + Owner Direct Work</v>
          </cell>
          <cell r="E63">
            <v>247808.52576000005</v>
          </cell>
          <cell r="F63">
            <v>0.10100000000000001</v>
          </cell>
          <cell r="G63">
            <v>6.8051456907807497E-3</v>
          </cell>
        </row>
        <row r="64">
          <cell r="C64" t="str">
            <v>Bond Premium</v>
          </cell>
          <cell r="E64">
            <v>146714</v>
          </cell>
          <cell r="F64">
            <v>7.6089278487827625E-3</v>
          </cell>
          <cell r="G64">
            <v>4.0289580102831355E-3</v>
          </cell>
        </row>
        <row r="65">
          <cell r="C65" t="str">
            <v>Owner Construction Costs:</v>
          </cell>
          <cell r="E65" t="str">
            <v>Sums to this line</v>
          </cell>
          <cell r="F65" t="str">
            <v>Per Unit</v>
          </cell>
          <cell r="G65">
            <v>4.3141711316948663E-3</v>
          </cell>
        </row>
        <row r="66">
          <cell r="D66" t="str">
            <v>Common Area Furnishings</v>
          </cell>
          <cell r="E66">
            <v>85000</v>
          </cell>
          <cell r="F66">
            <v>0</v>
          </cell>
          <cell r="G66">
            <v>2.3342109878680055E-3</v>
          </cell>
        </row>
        <row r="67">
          <cell r="D67" t="str">
            <v xml:space="preserve">Apartment Furnishings </v>
          </cell>
          <cell r="E67">
            <v>72100</v>
          </cell>
          <cell r="F67">
            <v>700</v>
          </cell>
          <cell r="G67">
            <v>1.9799601438268608E-3</v>
          </cell>
        </row>
        <row r="68">
          <cell r="D68" t="str">
            <v>Low Voltage Contractor</v>
          </cell>
          <cell r="E68">
            <v>0</v>
          </cell>
          <cell r="G68">
            <v>0</v>
          </cell>
        </row>
        <row r="69">
          <cell r="D69" t="str">
            <v>Other Owner Direct Contracts</v>
          </cell>
          <cell r="G69">
            <v>0</v>
          </cell>
        </row>
        <row r="70">
          <cell r="C70" t="str">
            <v>Commercial Space Tenant Improvement Allowance</v>
          </cell>
          <cell r="G70">
            <v>0</v>
          </cell>
        </row>
        <row r="71">
          <cell r="C71" t="str">
            <v>SUBTOTAL</v>
          </cell>
          <cell r="G71">
            <v>0</v>
          </cell>
        </row>
        <row r="72">
          <cell r="G72">
            <v>0</v>
          </cell>
        </row>
        <row r="73">
          <cell r="C73" t="str">
            <v>Soft Costs</v>
          </cell>
          <cell r="G73">
            <v>0</v>
          </cell>
        </row>
        <row r="74">
          <cell r="C74" t="str">
            <v>Appraisal</v>
          </cell>
          <cell r="D74" t="str">
            <v>(include updates if needed)</v>
          </cell>
          <cell r="G74">
            <v>0</v>
          </cell>
        </row>
        <row r="75">
          <cell r="C75" t="str">
            <v>Market Study</v>
          </cell>
          <cell r="G75">
            <v>0</v>
          </cell>
        </row>
        <row r="76">
          <cell r="C76" t="str">
            <v>Architect:</v>
          </cell>
          <cell r="E76" t="str">
            <v>Sums to this line</v>
          </cell>
          <cell r="F76">
            <v>6.5000000000000002E-2</v>
          </cell>
          <cell r="G76">
            <v>3.8392073353326887E-2</v>
          </cell>
        </row>
        <row r="77">
          <cell r="D77" t="str">
            <v>Site Analysis and Concept</v>
          </cell>
          <cell r="E77">
            <v>55000</v>
          </cell>
          <cell r="G77">
            <v>1.5103718156792975E-3</v>
          </cell>
        </row>
        <row r="78">
          <cell r="D78" t="str">
            <v>Base Contract</v>
          </cell>
          <cell r="E78">
            <v>1306042.53</v>
          </cell>
          <cell r="G78">
            <v>3.5865633225281517E-2</v>
          </cell>
        </row>
        <row r="79">
          <cell r="D79" t="str">
            <v>Capital Needs Assessment</v>
          </cell>
          <cell r="E79">
            <v>7000</v>
          </cell>
          <cell r="G79">
            <v>1.9222914017736514E-4</v>
          </cell>
        </row>
        <row r="80">
          <cell r="D80" t="str">
            <v>Reimbursables</v>
          </cell>
          <cell r="E80">
            <v>30000</v>
          </cell>
          <cell r="G80">
            <v>8.2383917218870777E-4</v>
          </cell>
        </row>
        <row r="81">
          <cell r="C81" t="str">
            <v>Engineering</v>
          </cell>
          <cell r="G81">
            <v>0</v>
          </cell>
        </row>
        <row r="82">
          <cell r="C82" t="str">
            <v>Environmental Assessment</v>
          </cell>
          <cell r="E82" t="str">
            <v>Phase I, Phase II,  hazmat survey</v>
          </cell>
          <cell r="G82">
            <v>2.7461305739623592E-4</v>
          </cell>
        </row>
        <row r="83">
          <cell r="C83" t="str">
            <v>Geotechnical Study</v>
          </cell>
          <cell r="G83">
            <v>0</v>
          </cell>
        </row>
        <row r="84">
          <cell r="C84" t="str">
            <v>Boundary &amp; Topographic Survey</v>
          </cell>
          <cell r="E84" t="str">
            <v>ALTA, As-Built, Condo</v>
          </cell>
          <cell r="G84">
            <v>1.3730652869811796E-3</v>
          </cell>
        </row>
        <row r="85">
          <cell r="C85" t="str">
            <v>Legal - Real Estate</v>
          </cell>
          <cell r="E85">
            <v>0</v>
          </cell>
          <cell r="G85">
            <v>0</v>
          </cell>
        </row>
        <row r="86">
          <cell r="C86" t="str">
            <v>Developer Fee:</v>
          </cell>
          <cell r="G86">
            <v>8.2249029829662965E-2</v>
          </cell>
        </row>
        <row r="87">
          <cell r="D87" t="str">
            <v>Paid Fee</v>
          </cell>
          <cell r="E87">
            <v>2396070.4741286007</v>
          </cell>
          <cell r="G87">
            <v>6.5799223863730369E-2</v>
          </cell>
        </row>
        <row r="88">
          <cell r="D88" t="str">
            <v>Deferred Fee</v>
          </cell>
          <cell r="E88">
            <v>599017.61853215052</v>
          </cell>
          <cell r="G88">
            <v>1.6449805965932599E-2</v>
          </cell>
        </row>
        <row r="89">
          <cell r="C89" t="str">
            <v>Project Management/Dev Consultant Fees</v>
          </cell>
          <cell r="E89" t="str">
            <v>Reduce paid fee by this amount</v>
          </cell>
          <cell r="G89">
            <v>0</v>
          </cell>
        </row>
        <row r="90">
          <cell r="C90" t="str">
            <v>Other Construction Testing Consultants:</v>
          </cell>
          <cell r="E90" t="str">
            <v>Sum to this line</v>
          </cell>
          <cell r="G90">
            <v>4.9430350331322462E-3</v>
          </cell>
        </row>
        <row r="91">
          <cell r="D91" t="str">
            <v>Surveyor Monitoring</v>
          </cell>
          <cell r="E91">
            <v>40000</v>
          </cell>
          <cell r="G91">
            <v>1.0984522295849437E-3</v>
          </cell>
        </row>
        <row r="92">
          <cell r="D92" t="str">
            <v>Air Barrier &amp; Window Testing</v>
          </cell>
          <cell r="E92">
            <v>15000</v>
          </cell>
          <cell r="G92">
            <v>4.1191958609435389E-4</v>
          </cell>
        </row>
        <row r="93">
          <cell r="D93" t="str">
            <v>Geotech Monitoring</v>
          </cell>
          <cell r="E93">
            <v>50000</v>
          </cell>
          <cell r="G93">
            <v>1.3730652869811796E-3</v>
          </cell>
        </row>
        <row r="94">
          <cell r="D94" t="str">
            <v>Structural Testing (Special Inspections)</v>
          </cell>
          <cell r="E94">
            <v>40000</v>
          </cell>
          <cell r="G94">
            <v>1.0984522295849437E-3</v>
          </cell>
        </row>
        <row r="95">
          <cell r="D95" t="str">
            <v>HVAC &amp; Plumbing Commissioning</v>
          </cell>
          <cell r="E95">
            <v>35000</v>
          </cell>
          <cell r="G95">
            <v>9.6114570088682574E-4</v>
          </cell>
        </row>
        <row r="96">
          <cell r="C96" t="str">
            <v xml:space="preserve">Other Soft Costs: </v>
          </cell>
          <cell r="E96" t="str">
            <v>Sum to this line</v>
          </cell>
          <cell r="G96">
            <v>9.0622308940757851E-4</v>
          </cell>
        </row>
        <row r="97">
          <cell r="D97" t="str">
            <v>Construction Easements</v>
          </cell>
          <cell r="E97">
            <v>25000</v>
          </cell>
          <cell r="G97">
            <v>6.8653264349058981E-4</v>
          </cell>
        </row>
        <row r="98">
          <cell r="D98" t="str">
            <v>SCL Transformer Trucking</v>
          </cell>
          <cell r="E98">
            <v>8000</v>
          </cell>
          <cell r="G98">
            <v>2.1969044591698872E-4</v>
          </cell>
        </row>
        <row r="99">
          <cell r="C99" t="str">
            <v xml:space="preserve">Soft Cost Contingency </v>
          </cell>
          <cell r="G99">
            <v>0</v>
          </cell>
        </row>
        <row r="100">
          <cell r="C100" t="str">
            <v>SUBTOTAL</v>
          </cell>
          <cell r="G100">
            <v>0</v>
          </cell>
        </row>
        <row r="101">
          <cell r="G101">
            <v>0</v>
          </cell>
        </row>
        <row r="102">
          <cell r="C102" t="str">
            <v>Pre-Development /Bridge Financing</v>
          </cell>
          <cell r="G102">
            <v>0</v>
          </cell>
        </row>
        <row r="103">
          <cell r="C103" t="str">
            <v>Bridge Loan Fees</v>
          </cell>
          <cell r="G103">
            <v>0</v>
          </cell>
        </row>
        <row r="104">
          <cell r="C104" t="str">
            <v>Bridge Loan Interest:</v>
          </cell>
          <cell r="E104" t="str">
            <v>sums to this line</v>
          </cell>
          <cell r="G104">
            <v>9.2681906871229622E-4</v>
          </cell>
        </row>
        <row r="105">
          <cell r="D105" t="str">
            <v>Bridge Loan</v>
          </cell>
          <cell r="G105">
            <v>0</v>
          </cell>
        </row>
        <row r="106">
          <cell r="D106" t="str">
            <v xml:space="preserve">PSH Development Org Pre-Dev Loan </v>
          </cell>
          <cell r="E106">
            <v>33750</v>
          </cell>
          <cell r="G106">
            <v>9.2681906871229622E-4</v>
          </cell>
        </row>
        <row r="107">
          <cell r="C107" t="str">
            <v>SUBTOTAL</v>
          </cell>
          <cell r="G107">
            <v>0</v>
          </cell>
        </row>
        <row r="108">
          <cell r="G108">
            <v>0</v>
          </cell>
        </row>
        <row r="109">
          <cell r="C109" t="str">
            <v>Construction Financing</v>
          </cell>
          <cell r="G109">
            <v>0</v>
          </cell>
        </row>
        <row r="110">
          <cell r="C110" t="str">
            <v>Construction Loan Fees:</v>
          </cell>
          <cell r="G110">
            <v>0</v>
          </cell>
        </row>
        <row r="111">
          <cell r="D111" t="str">
            <v>Origination Fee</v>
          </cell>
          <cell r="E111">
            <v>136000</v>
          </cell>
          <cell r="F111">
            <v>0.01</v>
          </cell>
          <cell r="G111">
            <v>3.7347375805888085E-3</v>
          </cell>
        </row>
        <row r="112">
          <cell r="D112" t="str">
            <v>Inspections</v>
          </cell>
          <cell r="E112">
            <v>20000</v>
          </cell>
          <cell r="G112">
            <v>5.4922611479247185E-4</v>
          </cell>
        </row>
        <row r="113">
          <cell r="D113" t="str">
            <v>Appraisal</v>
          </cell>
          <cell r="E113">
            <v>8000</v>
          </cell>
          <cell r="G113">
            <v>2.1969044591698872E-4</v>
          </cell>
        </row>
        <row r="114">
          <cell r="D114" t="str">
            <v>Bank Legal</v>
          </cell>
          <cell r="E114">
            <v>40000</v>
          </cell>
          <cell r="G114">
            <v>1.0984522295849437E-3</v>
          </cell>
        </row>
        <row r="115">
          <cell r="D115" t="str">
            <v>PSH DEV Org Legal</v>
          </cell>
          <cell r="E115">
            <v>15000</v>
          </cell>
          <cell r="G115">
            <v>4.1191958609435389E-4</v>
          </cell>
        </row>
        <row r="116">
          <cell r="C116" t="str">
            <v>Construction Loan Interest</v>
          </cell>
          <cell r="F116" t="str">
            <v>Check</v>
          </cell>
          <cell r="G116">
            <v>0</v>
          </cell>
        </row>
        <row r="117">
          <cell r="D117" t="str">
            <v>Const Period Interest (Eligible)</v>
          </cell>
          <cell r="E117">
            <v>247473.76526573085</v>
          </cell>
          <cell r="F117" t="str">
            <v>ok</v>
          </cell>
          <cell r="G117">
            <v>6.7959527304980762E-3</v>
          </cell>
        </row>
        <row r="118">
          <cell r="D118" t="str">
            <v>Lease-up Period Interest (Ineligible)</v>
          </cell>
          <cell r="E118">
            <v>284149.98926086142</v>
          </cell>
          <cell r="F118" t="str">
            <v>ok</v>
          </cell>
          <cell r="G118">
            <v>7.8031297310032759E-3</v>
          </cell>
        </row>
        <row r="119">
          <cell r="C119" t="str">
            <v>SUBTOTAL</v>
          </cell>
          <cell r="G119">
            <v>0</v>
          </cell>
        </row>
        <row r="120">
          <cell r="G120">
            <v>0</v>
          </cell>
        </row>
        <row r="121">
          <cell r="C121" t="str">
            <v xml:space="preserve">Permanent Financing </v>
          </cell>
          <cell r="G121">
            <v>0</v>
          </cell>
        </row>
        <row r="122">
          <cell r="C122" t="str">
            <v>Perm Loan Fees</v>
          </cell>
          <cell r="G122">
            <v>0</v>
          </cell>
        </row>
        <row r="123">
          <cell r="C123" t="str">
            <v xml:space="preserve">Perm Loan Expenses </v>
          </cell>
          <cell r="G123">
            <v>9.6114570088682574E-4</v>
          </cell>
        </row>
        <row r="124">
          <cell r="C124" t="str">
            <v>Perm Loan Legal</v>
          </cell>
          <cell r="G124">
            <v>0</v>
          </cell>
        </row>
        <row r="125">
          <cell r="C125" t="str">
            <v>LIHTC Fees</v>
          </cell>
          <cell r="D125" t="str">
            <v xml:space="preserve">WSHFC </v>
          </cell>
          <cell r="E125">
            <v>120118.562672222</v>
          </cell>
          <cell r="G125">
            <v>3.2986125745460265E-3</v>
          </cell>
        </row>
        <row r="126">
          <cell r="C126" t="str">
            <v>LIHTC Legal:</v>
          </cell>
          <cell r="G126">
            <v>0</v>
          </cell>
        </row>
        <row r="127">
          <cell r="D127" t="str">
            <v>Investor Legal</v>
          </cell>
          <cell r="E127">
            <v>40000</v>
          </cell>
          <cell r="G127">
            <v>1.0984522295849437E-3</v>
          </cell>
        </row>
        <row r="128">
          <cell r="D128" t="str">
            <v>PSH Dev. Org Legal</v>
          </cell>
          <cell r="E128">
            <v>30000</v>
          </cell>
          <cell r="G128">
            <v>8.2383917218870777E-4</v>
          </cell>
        </row>
        <row r="129">
          <cell r="C129" t="str">
            <v>State HTF Fees</v>
          </cell>
          <cell r="E129">
            <v>60000</v>
          </cell>
          <cell r="F129">
            <v>0.02</v>
          </cell>
          <cell r="G129">
            <v>1.6476783443774155E-3</v>
          </cell>
        </row>
        <row r="130">
          <cell r="C130" t="str">
            <v>SUBTOTAL</v>
          </cell>
          <cell r="G130">
            <v>0</v>
          </cell>
        </row>
        <row r="131">
          <cell r="G131">
            <v>0</v>
          </cell>
        </row>
        <row r="132">
          <cell r="C132" t="str">
            <v>Capitalized Reserves</v>
          </cell>
          <cell r="G132">
            <v>0</v>
          </cell>
        </row>
        <row r="133">
          <cell r="C133" t="str">
            <v>Operating Reserves</v>
          </cell>
          <cell r="E133">
            <v>827827.64500000002</v>
          </cell>
          <cell r="G133">
            <v>2.2733228059057583E-2</v>
          </cell>
        </row>
        <row r="134">
          <cell r="C134" t="str">
            <v>Subsidy Reserves</v>
          </cell>
          <cell r="G134">
            <v>0</v>
          </cell>
        </row>
        <row r="135">
          <cell r="C135" t="str">
            <v>Replacement Reserves</v>
          </cell>
          <cell r="E135">
            <v>36050</v>
          </cell>
          <cell r="G135">
            <v>9.899800719134304E-4</v>
          </cell>
        </row>
        <row r="136">
          <cell r="C136" t="str">
            <v>SUBTOTAL</v>
          </cell>
          <cell r="G136">
            <v>0</v>
          </cell>
        </row>
        <row r="137">
          <cell r="G137">
            <v>0</v>
          </cell>
        </row>
        <row r="138">
          <cell r="C138" t="str">
            <v>Other Development Costs</v>
          </cell>
          <cell r="G138">
            <v>0</v>
          </cell>
        </row>
        <row r="139">
          <cell r="C139" t="str">
            <v>Real Estate &amp; Property Tax</v>
          </cell>
          <cell r="E139">
            <v>6800</v>
          </cell>
          <cell r="G139">
            <v>1.8673687902944042E-4</v>
          </cell>
        </row>
        <row r="140">
          <cell r="C140" t="str">
            <v>Insurance:</v>
          </cell>
          <cell r="G140">
            <v>0</v>
          </cell>
        </row>
        <row r="141">
          <cell r="D141" t="str">
            <v>Builders Risk</v>
          </cell>
          <cell r="E141">
            <v>100000</v>
          </cell>
          <cell r="G141">
            <v>2.7461305739623592E-3</v>
          </cell>
        </row>
        <row r="142">
          <cell r="D142" t="str">
            <v>Liability for PSH Development Org</v>
          </cell>
          <cell r="E142">
            <v>65000</v>
          </cell>
          <cell r="G142">
            <v>1.7849848730755334E-3</v>
          </cell>
        </row>
        <row r="143">
          <cell r="D143" t="str">
            <v>Other</v>
          </cell>
          <cell r="E143">
            <v>0</v>
          </cell>
          <cell r="G143">
            <v>0</v>
          </cell>
        </row>
        <row r="144">
          <cell r="C144" t="str">
            <v>Relocation</v>
          </cell>
          <cell r="E144">
            <v>0</v>
          </cell>
          <cell r="G144">
            <v>0</v>
          </cell>
        </row>
        <row r="145">
          <cell r="C145" t="str">
            <v>Permits, Fees &amp; Hookups</v>
          </cell>
          <cell r="G145">
            <v>0</v>
          </cell>
        </row>
        <row r="146">
          <cell r="D146" t="str">
            <v>SDCI (Building &amp; Land Use)</v>
          </cell>
          <cell r="E146">
            <v>98341</v>
          </cell>
          <cell r="G146">
            <v>2.7005722677403239E-3</v>
          </cell>
        </row>
        <row r="147">
          <cell r="D147" t="str">
            <v xml:space="preserve">Seattle City Light </v>
          </cell>
          <cell r="E147">
            <v>225000</v>
          </cell>
          <cell r="G147">
            <v>6.1787937914153084E-3</v>
          </cell>
        </row>
        <row r="148">
          <cell r="D148" t="str">
            <v xml:space="preserve">SDOT </v>
          </cell>
          <cell r="E148">
            <v>35000</v>
          </cell>
          <cell r="G148">
            <v>9.6114570088682574E-4</v>
          </cell>
        </row>
        <row r="149">
          <cell r="D149" t="str">
            <v>SPU</v>
          </cell>
          <cell r="E149">
            <v>97000</v>
          </cell>
          <cell r="G149">
            <v>2.6637466567434884E-3</v>
          </cell>
        </row>
        <row r="150">
          <cell r="D150" t="str">
            <v>KC Wastewater Treatment</v>
          </cell>
          <cell r="E150">
            <v>392170</v>
          </cell>
          <cell r="G150">
            <v>1.0769500271908185E-2</v>
          </cell>
        </row>
        <row r="151">
          <cell r="D151" t="str">
            <v>Phone/Cable/Internet</v>
          </cell>
          <cell r="E151">
            <v>10000</v>
          </cell>
          <cell r="G151">
            <v>2.7461305739623592E-4</v>
          </cell>
        </row>
        <row r="152">
          <cell r="C152" t="str">
            <v>Development Period Utilities</v>
          </cell>
          <cell r="G152">
            <v>0</v>
          </cell>
        </row>
        <row r="153">
          <cell r="C153" t="str">
            <v xml:space="preserve">LIHTC Nonprofit Donation </v>
          </cell>
          <cell r="G153">
            <v>0</v>
          </cell>
        </row>
        <row r="154">
          <cell r="C154" t="str">
            <v>Accounting/Audit</v>
          </cell>
          <cell r="G154">
            <v>5.4922611479247185E-4</v>
          </cell>
        </row>
        <row r="155">
          <cell r="C155" t="str">
            <v>Marketing/Leasing Expenses</v>
          </cell>
          <cell r="G155">
            <v>5.4922611479247185E-4</v>
          </cell>
        </row>
        <row r="156">
          <cell r="C156" t="str">
            <v>Carrying Costs at Rent Up</v>
          </cell>
          <cell r="G156">
            <v>5.4922611479247185E-3</v>
          </cell>
        </row>
        <row r="157">
          <cell r="C157" t="str">
            <v>SUBTOTAL</v>
          </cell>
          <cell r="G157">
            <v>3.4856937449667363E-2</v>
          </cell>
        </row>
        <row r="158">
          <cell r="G158">
            <v>0</v>
          </cell>
        </row>
        <row r="159">
          <cell r="C159" t="str">
            <v>Bond Related Cost of Issuance (4% Tax/Bond Projects Only)</v>
          </cell>
          <cell r="G159">
            <v>0</v>
          </cell>
        </row>
        <row r="160">
          <cell r="C160" t="str">
            <v>Issuer Fees &amp; Related Expenses</v>
          </cell>
          <cell r="G160">
            <v>6.3746222039958575E-3</v>
          </cell>
        </row>
        <row r="161">
          <cell r="C161" t="str">
            <v>Bond Counsel</v>
          </cell>
          <cell r="G161">
            <v>1.0984522295849437E-3</v>
          </cell>
        </row>
        <row r="162">
          <cell r="C162" t="str">
            <v>Trustee Fees &amp; Expenses</v>
          </cell>
          <cell r="G162">
            <v>5.4922611479247185E-4</v>
          </cell>
        </row>
        <row r="163">
          <cell r="C163" t="str">
            <v>Underwriter Fees &amp; Counsel</v>
          </cell>
          <cell r="G163">
            <v>5.4922611479247185E-4</v>
          </cell>
        </row>
        <row r="164">
          <cell r="C164" t="str">
            <v>Placement Agent Fees &amp; Counsel</v>
          </cell>
          <cell r="G164">
            <v>0</v>
          </cell>
        </row>
        <row r="165">
          <cell r="C165" t="str">
            <v>Borrower's Counsel - Bond Related</v>
          </cell>
          <cell r="G165">
            <v>1.0984522295849437E-3</v>
          </cell>
        </row>
        <row r="166">
          <cell r="C166" t="str">
            <v>Rating Agency</v>
          </cell>
          <cell r="G166">
            <v>0</v>
          </cell>
        </row>
        <row r="167">
          <cell r="C167" t="str">
            <v>SUBTOTAL</v>
          </cell>
          <cell r="G167">
            <v>9.6699788927506886E-3</v>
          </cell>
        </row>
        <row r="169">
          <cell r="D169">
            <v>0.54775001468635565</v>
          </cell>
          <cell r="E169">
            <v>0.6855987211091763</v>
          </cell>
        </row>
      </sheetData>
      <sheetData sheetId="7">
        <row r="10">
          <cell r="C10" t="str">
            <v>Pre Development/Construction Loans</v>
          </cell>
        </row>
        <row r="11">
          <cell r="D11" t="str">
            <v>Predevelopment Loan</v>
          </cell>
          <cell r="F11">
            <v>6.7342546744336845E-2</v>
          </cell>
        </row>
        <row r="12">
          <cell r="D12" t="str">
            <v>Repayment</v>
          </cell>
          <cell r="F12">
            <v>-6.7342546744336845E-2</v>
          </cell>
        </row>
        <row r="13">
          <cell r="D13" t="str">
            <v>Other Bridge/Acq Loan</v>
          </cell>
          <cell r="F13">
            <v>8.3617598359065001E-2</v>
          </cell>
        </row>
        <row r="14">
          <cell r="D14" t="str">
            <v>Repayment</v>
          </cell>
          <cell r="F14">
            <v>-8.3617598359065001E-2</v>
          </cell>
        </row>
        <row r="15">
          <cell r="D15" t="str">
            <v>Construction Loan</v>
          </cell>
          <cell r="F15">
            <v>0.36790560686240381</v>
          </cell>
        </row>
        <row r="16">
          <cell r="D16" t="str">
            <v>Repayment</v>
          </cell>
          <cell r="F16">
            <v>-0.36790560686240381</v>
          </cell>
        </row>
        <row r="17">
          <cell r="C17" t="str">
            <v>Permanent Financing</v>
          </cell>
        </row>
        <row r="18">
          <cell r="D18" t="str">
            <v>LIHTC Equity</v>
          </cell>
        </row>
        <row r="19">
          <cell r="D19" t="str">
            <v xml:space="preserve">City of Seattle </v>
          </cell>
        </row>
        <row r="20">
          <cell r="D20" t="str">
            <v>State Housing Trust Fund</v>
          </cell>
        </row>
        <row r="21">
          <cell r="D21" t="str">
            <v>King County</v>
          </cell>
        </row>
        <row r="22">
          <cell r="D22" t="str">
            <v>Deferred Developer Fee</v>
          </cell>
        </row>
        <row r="23">
          <cell r="D23" t="str">
            <v>FHLB Sponsor Loan</v>
          </cell>
        </row>
        <row r="24">
          <cell r="D24" t="str">
            <v>PSH operator Sponsor Loan</v>
          </cell>
        </row>
        <row r="25">
          <cell r="C25" t="str">
            <v>Total Sources</v>
          </cell>
        </row>
        <row r="27">
          <cell r="C27" t="str">
            <v>GAP/Surplus</v>
          </cell>
        </row>
        <row r="30">
          <cell r="C30" t="str">
            <v xml:space="preserve">Acquisition </v>
          </cell>
        </row>
        <row r="31">
          <cell r="C31" t="str">
            <v>Property Purchase Price</v>
          </cell>
          <cell r="E31" t="str">
            <v>Price</v>
          </cell>
        </row>
        <row r="32">
          <cell r="D32" t="str">
            <v>Land</v>
          </cell>
          <cell r="E32">
            <v>3500000</v>
          </cell>
          <cell r="F32">
            <v>0.10452199794883126</v>
          </cell>
        </row>
        <row r="33">
          <cell r="D33" t="str">
            <v>Existing Structure</v>
          </cell>
          <cell r="F33">
            <v>0</v>
          </cell>
        </row>
        <row r="34">
          <cell r="C34" t="str">
            <v>Closing, Title &amp; Recording Costs</v>
          </cell>
          <cell r="F34">
            <v>0</v>
          </cell>
        </row>
        <row r="35">
          <cell r="C35" t="str">
            <v xml:space="preserve">Other Acquisition: </v>
          </cell>
          <cell r="F35">
            <v>0</v>
          </cell>
        </row>
        <row r="36">
          <cell r="C36" t="str">
            <v>SUBTOTAL</v>
          </cell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C39" t="str">
            <v>Construction</v>
          </cell>
          <cell r="F39">
            <v>0</v>
          </cell>
        </row>
        <row r="40">
          <cell r="C40" t="str">
            <v>Pre Construction Services</v>
          </cell>
          <cell r="E40">
            <v>150012</v>
          </cell>
          <cell r="F40">
            <v>4.4798725589428783E-3</v>
          </cell>
        </row>
        <row r="41">
          <cell r="C41" t="str">
            <v>Demo</v>
          </cell>
          <cell r="E41">
            <v>46490</v>
          </cell>
          <cell r="F41">
            <v>1.3883507670403327E-3</v>
          </cell>
        </row>
        <row r="42">
          <cell r="C42" t="str">
            <v>General Contractor Costs:</v>
          </cell>
          <cell r="F42">
            <v>0.5407281016394585</v>
          </cell>
        </row>
        <row r="43">
          <cell r="D43" t="str">
            <v>New Building</v>
          </cell>
          <cell r="E43">
            <v>15358283</v>
          </cell>
          <cell r="F43">
            <v>0.4586509783495914</v>
          </cell>
        </row>
        <row r="44">
          <cell r="D44" t="str">
            <v>Rehab</v>
          </cell>
          <cell r="F44">
            <v>0</v>
          </cell>
        </row>
        <row r="45">
          <cell r="D45" t="str">
            <v>Furnishings</v>
          </cell>
          <cell r="E45">
            <v>231284</v>
          </cell>
          <cell r="F45">
            <v>6.9069330781707109E-3</v>
          </cell>
        </row>
        <row r="46">
          <cell r="D46" t="str">
            <v>Appliances</v>
          </cell>
          <cell r="E46">
            <v>241357</v>
          </cell>
          <cell r="F46">
            <v>7.2077473882674473E-3</v>
          </cell>
        </row>
        <row r="47">
          <cell r="D47" t="str">
            <v>Site Work/Infrastructure</v>
          </cell>
          <cell r="F47">
            <v>0</v>
          </cell>
        </row>
        <row r="48">
          <cell r="D48" t="str">
            <v>Flooring</v>
          </cell>
          <cell r="E48">
            <v>371203</v>
          </cell>
          <cell r="F48">
            <v>1.1085394058457146E-2</v>
          </cell>
        </row>
        <row r="49">
          <cell r="D49" t="str">
            <v>Land Improvements</v>
          </cell>
          <cell r="E49">
            <v>1367211</v>
          </cell>
          <cell r="F49">
            <v>4.0829607239319866E-2</v>
          </cell>
        </row>
        <row r="50">
          <cell r="D50" t="str">
            <v>Off site infrastructure</v>
          </cell>
          <cell r="F50">
            <v>0</v>
          </cell>
        </row>
        <row r="51">
          <cell r="D51" t="str">
            <v>Environmental Abatement (Building)</v>
          </cell>
          <cell r="E51">
            <v>0</v>
          </cell>
          <cell r="F51">
            <v>0</v>
          </cell>
        </row>
        <row r="52">
          <cell r="D52" t="str">
            <v>Environmental Abatement (Land)</v>
          </cell>
          <cell r="E52">
            <v>10000</v>
          </cell>
          <cell r="F52">
            <v>2.9863427985380358E-4</v>
          </cell>
        </row>
        <row r="53">
          <cell r="D53" t="str">
            <v>Contractor Profit</v>
          </cell>
          <cell r="F53">
            <v>0</v>
          </cell>
        </row>
        <row r="54">
          <cell r="D54" t="str">
            <v>Contractor Overhead</v>
          </cell>
          <cell r="E54">
            <v>527361</v>
          </cell>
          <cell r="F54">
            <v>1.574880724579817E-2</v>
          </cell>
        </row>
        <row r="55">
          <cell r="C55" t="str">
            <v xml:space="preserve">Environmental Abatement by Owner: </v>
          </cell>
          <cell r="F55">
            <v>0</v>
          </cell>
        </row>
        <row r="56">
          <cell r="D56" t="str">
            <v>Building</v>
          </cell>
          <cell r="E56">
            <v>9837.41</v>
          </cell>
          <cell r="F56">
            <v>2.9377878509766057E-4</v>
          </cell>
        </row>
        <row r="57">
          <cell r="D57" t="str">
            <v>Land Abatement</v>
          </cell>
          <cell r="E57">
            <v>12292.56</v>
          </cell>
          <cell r="F57">
            <v>3.6709798031596717E-4</v>
          </cell>
        </row>
        <row r="58">
          <cell r="C58" t="str">
            <v>Construction Contingencies</v>
          </cell>
          <cell r="F58">
            <v>0</v>
          </cell>
        </row>
        <row r="59">
          <cell r="D59" t="str">
            <v>Construction Contingency</v>
          </cell>
          <cell r="E59">
            <v>1233107.9600000002</v>
          </cell>
          <cell r="F59">
            <v>3.6824830761659287E-2</v>
          </cell>
        </row>
        <row r="60">
          <cell r="D60" t="str">
            <v>Escalation</v>
          </cell>
          <cell r="E60">
            <v>0</v>
          </cell>
          <cell r="F60">
            <v>0</v>
          </cell>
        </row>
        <row r="61">
          <cell r="D61" t="str">
            <v>Contractor Contingency</v>
          </cell>
          <cell r="E61">
            <v>174047</v>
          </cell>
          <cell r="F61">
            <v>5.1976400505714948E-3</v>
          </cell>
        </row>
        <row r="62">
          <cell r="C62" t="str">
            <v>Sales Tax</v>
          </cell>
          <cell r="E62" t="str">
            <v>Sums to this line</v>
          </cell>
          <cell r="F62">
            <v>6.0904683989403324E-2</v>
          </cell>
        </row>
        <row r="63">
          <cell r="D63" t="str">
            <v>Sales Tax on GC Contract Work</v>
          </cell>
          <cell r="E63">
            <v>1866202.0480000002</v>
          </cell>
          <cell r="F63">
            <v>5.5731190466617342E-2</v>
          </cell>
        </row>
        <row r="64">
          <cell r="D64" t="str">
            <v>Sales Tax on Contingency + Owner Direct Work</v>
          </cell>
          <cell r="E64">
            <v>173238.434828</v>
          </cell>
          <cell r="F64">
            <v>5.1734935227859867E-3</v>
          </cell>
        </row>
        <row r="65">
          <cell r="C65" t="str">
            <v>Bond Premium</v>
          </cell>
          <cell r="E65">
            <v>120917</v>
          </cell>
          <cell r="F65">
            <v>3.6109961217082368E-3</v>
          </cell>
        </row>
        <row r="66">
          <cell r="C66" t="str">
            <v>Owner Construction Costs:</v>
          </cell>
          <cell r="E66" t="str">
            <v>Sums to this line</v>
          </cell>
          <cell r="F66">
            <v>2.0698612439597815E-2</v>
          </cell>
        </row>
        <row r="67">
          <cell r="D67" t="str">
            <v>Common Area Furnishings</v>
          </cell>
          <cell r="E67">
            <v>85000</v>
          </cell>
          <cell r="F67">
            <v>2.5383913787573303E-3</v>
          </cell>
        </row>
        <row r="68">
          <cell r="D68" t="str">
            <v xml:space="preserve">Apartment Furnishings </v>
          </cell>
          <cell r="E68">
            <v>73500</v>
          </cell>
          <cell r="F68">
            <v>2.1949619569254565E-3</v>
          </cell>
        </row>
        <row r="69">
          <cell r="D69" t="str">
            <v>Low Voltage Contractor</v>
          </cell>
          <cell r="E69">
            <v>301584.96000000002</v>
          </cell>
          <cell r="F69">
            <v>9.0063607344338156E-3</v>
          </cell>
        </row>
        <row r="70">
          <cell r="D70" t="str">
            <v>Other Owner Direct Contracts</v>
          </cell>
          <cell r="E70">
            <v>233024.098</v>
          </cell>
          <cell r="F70">
            <v>6.9588983694812145E-3</v>
          </cell>
        </row>
        <row r="71">
          <cell r="C71" t="str">
            <v>Commercial Space Tenant Improvement Allowance</v>
          </cell>
          <cell r="F71">
            <v>0</v>
          </cell>
        </row>
        <row r="72">
          <cell r="C72" t="str">
            <v>SUBTOTAL</v>
          </cell>
          <cell r="F72">
            <v>0</v>
          </cell>
        </row>
        <row r="73">
          <cell r="F73">
            <v>0</v>
          </cell>
        </row>
        <row r="74">
          <cell r="C74" t="str">
            <v>Soft Costs</v>
          </cell>
          <cell r="F74">
            <v>0</v>
          </cell>
        </row>
        <row r="75">
          <cell r="C75" t="str">
            <v>Appraisal</v>
          </cell>
          <cell r="D75" t="str">
            <v>(include updates if needed)</v>
          </cell>
          <cell r="F75">
            <v>0</v>
          </cell>
        </row>
        <row r="76">
          <cell r="C76" t="str">
            <v>Market Study</v>
          </cell>
          <cell r="F76">
            <v>0</v>
          </cell>
        </row>
        <row r="77">
          <cell r="C77" t="str">
            <v>Architect:</v>
          </cell>
          <cell r="E77" t="str">
            <v>Sums to this line</v>
          </cell>
          <cell r="F77">
            <v>3.3317730700449306E-2</v>
          </cell>
        </row>
        <row r="78">
          <cell r="D78" t="str">
            <v>Site Analysis and Concept</v>
          </cell>
          <cell r="E78">
            <v>0</v>
          </cell>
          <cell r="F78">
            <v>0</v>
          </cell>
        </row>
        <row r="79">
          <cell r="D79" t="str">
            <v>Base Contract</v>
          </cell>
          <cell r="E79">
            <v>1069670</v>
          </cell>
          <cell r="F79">
            <v>3.1944013013121809E-2</v>
          </cell>
        </row>
        <row r="80">
          <cell r="D80" t="str">
            <v>Capital Needs Assessment</v>
          </cell>
          <cell r="E80">
            <v>10000</v>
          </cell>
          <cell r="F80">
            <v>2.9863427985380358E-4</v>
          </cell>
        </row>
        <row r="81">
          <cell r="D81" t="str">
            <v>Reimbursables</v>
          </cell>
          <cell r="E81">
            <v>36000</v>
          </cell>
          <cell r="F81">
            <v>1.0750834074736929E-3</v>
          </cell>
        </row>
        <row r="82">
          <cell r="C82" t="str">
            <v>Engineering</v>
          </cell>
          <cell r="F82">
            <v>5.9726855970760717E-4</v>
          </cell>
        </row>
        <row r="83">
          <cell r="C83" t="str">
            <v>Environmental Assessment</v>
          </cell>
          <cell r="E83" t="str">
            <v>Phase I, Phase II,  hazmat survey</v>
          </cell>
          <cell r="F83">
            <v>4.6721333083127569E-4</v>
          </cell>
        </row>
        <row r="84">
          <cell r="C84" t="str">
            <v>Geotechnical Study</v>
          </cell>
          <cell r="F84">
            <v>3.7171008813402929E-4</v>
          </cell>
        </row>
        <row r="85">
          <cell r="C85" t="str">
            <v>Boundary &amp; Topographic Survey</v>
          </cell>
          <cell r="E85" t="str">
            <v>ALTA, As-Built, Condo</v>
          </cell>
          <cell r="F85">
            <v>8.8652572317400125E-4</v>
          </cell>
        </row>
        <row r="86">
          <cell r="C86" t="str">
            <v>Legal - Real Estate</v>
          </cell>
          <cell r="E86">
            <v>0</v>
          </cell>
          <cell r="F86">
            <v>5.2048968635719423E-4</v>
          </cell>
        </row>
        <row r="87">
          <cell r="C87" t="str">
            <v>Developer Fee:</v>
          </cell>
          <cell r="F87">
            <v>6.234423611653938E-2</v>
          </cell>
        </row>
        <row r="88">
          <cell r="D88" t="str">
            <v>Paid Fee</v>
          </cell>
          <cell r="E88">
            <v>1674292</v>
          </cell>
          <cell r="F88">
            <v>5.0000098568498449E-2</v>
          </cell>
        </row>
        <row r="89">
          <cell r="D89" t="str">
            <v>Deferred Fee</v>
          </cell>
          <cell r="E89">
            <v>413353</v>
          </cell>
          <cell r="F89">
            <v>1.2344137548040927E-2</v>
          </cell>
        </row>
        <row r="90">
          <cell r="C90" t="str">
            <v>Project Management/Dev Consultant Fees</v>
          </cell>
          <cell r="E90" t="str">
            <v>Reduce paid fee by this amount</v>
          </cell>
          <cell r="F90">
            <v>2.418937666815809E-4</v>
          </cell>
        </row>
        <row r="91">
          <cell r="C91" t="str">
            <v>Other Construction Testing Consultants:</v>
          </cell>
          <cell r="E91" t="str">
            <v>Sum to this line</v>
          </cell>
          <cell r="F91">
            <v>5.2398893353138116E-3</v>
          </cell>
        </row>
        <row r="92">
          <cell r="D92" t="str">
            <v>Surveyor Monitoring</v>
          </cell>
          <cell r="E92">
            <v>60000</v>
          </cell>
          <cell r="F92">
            <v>1.7918056791228214E-3</v>
          </cell>
        </row>
        <row r="93">
          <cell r="D93" t="str">
            <v>Air Barrier &amp; Window Testing</v>
          </cell>
          <cell r="E93">
            <v>0</v>
          </cell>
          <cell r="F93">
            <v>0</v>
          </cell>
        </row>
        <row r="94">
          <cell r="D94" t="str">
            <v>Geotech Monitoring</v>
          </cell>
          <cell r="E94">
            <v>24000</v>
          </cell>
          <cell r="F94">
            <v>7.1672227164912858E-4</v>
          </cell>
        </row>
        <row r="95">
          <cell r="D95" t="str">
            <v>Structural Testing (Special Inspections)</v>
          </cell>
          <cell r="E95">
            <v>31473.75</v>
          </cell>
          <cell r="F95">
            <v>9.3991406655486505E-4</v>
          </cell>
        </row>
        <row r="96">
          <cell r="D96" t="str">
            <v>HVAC &amp; Plumbing Commissioning</v>
          </cell>
          <cell r="E96">
            <v>59988</v>
          </cell>
          <cell r="F96">
            <v>1.7914473179869968E-3</v>
          </cell>
        </row>
        <row r="97">
          <cell r="C97" t="str">
            <v xml:space="preserve">Other Soft Costs: </v>
          </cell>
          <cell r="E97" t="str">
            <v>Sum to this line</v>
          </cell>
          <cell r="F97">
            <v>1.2290974673541352E-3</v>
          </cell>
        </row>
        <row r="98">
          <cell r="D98" t="str">
            <v>Construction Easements</v>
          </cell>
          <cell r="E98">
            <v>36157.279999999999</v>
          </cell>
          <cell r="F98">
            <v>1.0797803274272333E-3</v>
          </cell>
        </row>
        <row r="99">
          <cell r="D99" t="str">
            <v>SCL Transformer Trucking</v>
          </cell>
          <cell r="E99">
            <v>5000</v>
          </cell>
          <cell r="F99">
            <v>1.4931713992690179E-4</v>
          </cell>
        </row>
        <row r="100">
          <cell r="C100" t="str">
            <v xml:space="preserve">Soft Cost Contingency </v>
          </cell>
          <cell r="F100">
            <v>3.6983681502336238E-3</v>
          </cell>
        </row>
        <row r="101">
          <cell r="C101" t="str">
            <v>SUBTOTAL</v>
          </cell>
          <cell r="F101">
            <v>0.1092194778416466</v>
          </cell>
        </row>
        <row r="102">
          <cell r="F102">
            <v>0</v>
          </cell>
        </row>
        <row r="103">
          <cell r="C103" t="str">
            <v>Pre-Development /Bridge Financing</v>
          </cell>
          <cell r="F103">
            <v>0</v>
          </cell>
        </row>
        <row r="104">
          <cell r="C104" t="str">
            <v>Bridge Loan Fees</v>
          </cell>
          <cell r="F104">
            <v>8.3617598359064999E-4</v>
          </cell>
        </row>
        <row r="105">
          <cell r="C105" t="str">
            <v>Bridge Loan Interest:</v>
          </cell>
          <cell r="E105" t="str">
            <v>sums to this line</v>
          </cell>
          <cell r="F105">
            <v>8.5223483294579235E-3</v>
          </cell>
        </row>
        <row r="106">
          <cell r="D106" t="str">
            <v>Bridge Loan</v>
          </cell>
          <cell r="E106">
            <v>260558</v>
          </cell>
          <cell r="F106">
            <v>7.7811550690147354E-3</v>
          </cell>
        </row>
        <row r="107">
          <cell r="D107" t="str">
            <v xml:space="preserve">PSH Development Org Pre-Dev Loan </v>
          </cell>
          <cell r="E107">
            <v>22800</v>
          </cell>
          <cell r="F107">
            <v>6.8088615806667218E-4</v>
          </cell>
        </row>
        <row r="108">
          <cell r="C108" t="str">
            <v>SUBTOTAL</v>
          </cell>
          <cell r="F108">
            <v>0</v>
          </cell>
        </row>
        <row r="109">
          <cell r="F109">
            <v>0</v>
          </cell>
        </row>
        <row r="110">
          <cell r="C110" t="str">
            <v>Construction Financing</v>
          </cell>
          <cell r="F110">
            <v>0</v>
          </cell>
        </row>
        <row r="111">
          <cell r="E111">
            <v>931777.94632277952</v>
          </cell>
          <cell r="F111">
            <v>2.782608359837593E-2</v>
          </cell>
        </row>
        <row r="112">
          <cell r="D112" t="str">
            <v>Origination Fee</v>
          </cell>
          <cell r="E112">
            <v>98352</v>
          </cell>
          <cell r="F112">
            <v>2.9371278692181288E-3</v>
          </cell>
        </row>
        <row r="113">
          <cell r="D113" t="str">
            <v>Inspections</v>
          </cell>
          <cell r="E113">
            <v>15000</v>
          </cell>
          <cell r="F113">
            <v>4.4795141978070535E-4</v>
          </cell>
        </row>
        <row r="114">
          <cell r="D114" t="str">
            <v>Appraisal</v>
          </cell>
          <cell r="E114">
            <v>8970</v>
          </cell>
          <cell r="F114">
            <v>2.6787494902886182E-4</v>
          </cell>
        </row>
        <row r="115">
          <cell r="D115" t="str">
            <v>Bank Legal</v>
          </cell>
          <cell r="E115">
            <v>60000</v>
          </cell>
          <cell r="F115">
            <v>1.7918056791228214E-3</v>
          </cell>
        </row>
        <row r="116">
          <cell r="D116" t="str">
            <v>PSH DEV org Legal</v>
          </cell>
          <cell r="E116">
            <v>11429</v>
          </cell>
          <cell r="F116">
            <v>3.4130911844491212E-4</v>
          </cell>
        </row>
        <row r="117">
          <cell r="C117" t="str">
            <v>Construction Loan Interest</v>
          </cell>
          <cell r="F117">
            <v>0</v>
          </cell>
        </row>
        <row r="118">
          <cell r="D118" t="str">
            <v>Const Period Interest (Eligible)</v>
          </cell>
          <cell r="E118">
            <v>175747.380324233</v>
          </cell>
          <cell r="F118">
            <v>5.2484192359319847E-3</v>
          </cell>
        </row>
        <row r="119">
          <cell r="D119" t="str">
            <v>Lease-up Period Interest (Ineligible)</v>
          </cell>
          <cell r="E119">
            <v>562279.56599854655</v>
          </cell>
          <cell r="F119">
            <v>1.6791595326848516E-2</v>
          </cell>
        </row>
        <row r="120">
          <cell r="D120" t="str">
            <v>Interest Reserve</v>
          </cell>
          <cell r="F120">
            <v>0</v>
          </cell>
        </row>
        <row r="121">
          <cell r="C121" t="str">
            <v>SUBTOTAL</v>
          </cell>
          <cell r="F121">
            <v>0</v>
          </cell>
        </row>
        <row r="122">
          <cell r="F122">
            <v>0</v>
          </cell>
        </row>
        <row r="123">
          <cell r="C123" t="str">
            <v xml:space="preserve">Permanent Financing </v>
          </cell>
          <cell r="F123">
            <v>0</v>
          </cell>
        </row>
        <row r="124">
          <cell r="C124" t="str">
            <v>Perm Loan Fees</v>
          </cell>
          <cell r="F124">
            <v>0</v>
          </cell>
        </row>
        <row r="125">
          <cell r="C125" t="str">
            <v xml:space="preserve">Perm Loan Expenses </v>
          </cell>
          <cell r="E125" t="str">
            <v>Title &amp; Recording</v>
          </cell>
          <cell r="F125">
            <v>1.2933253391908526E-3</v>
          </cell>
        </row>
        <row r="126">
          <cell r="C126" t="str">
            <v>Perm Loan Legal</v>
          </cell>
          <cell r="F126">
            <v>0</v>
          </cell>
        </row>
        <row r="127">
          <cell r="C127" t="str">
            <v>LIHTC Fees</v>
          </cell>
          <cell r="D127" t="str">
            <v xml:space="preserve">WSHFC </v>
          </cell>
          <cell r="F127">
            <v>4.9618085597709465E-3</v>
          </cell>
        </row>
        <row r="128">
          <cell r="C128" t="str">
            <v>LIHTC Legal:</v>
          </cell>
          <cell r="F128">
            <v>0</v>
          </cell>
        </row>
        <row r="129">
          <cell r="D129" t="str">
            <v>Investor Legal</v>
          </cell>
          <cell r="E129">
            <v>40000</v>
          </cell>
          <cell r="F129">
            <v>1.1945371194152143E-3</v>
          </cell>
        </row>
        <row r="130">
          <cell r="D130" t="str">
            <v>PSH Dev. Org Legal</v>
          </cell>
          <cell r="E130">
            <v>40000</v>
          </cell>
          <cell r="F130">
            <v>1.1945371194152143E-3</v>
          </cell>
        </row>
        <row r="131">
          <cell r="C131" t="str">
            <v>State HTF Fees</v>
          </cell>
          <cell r="E131">
            <v>55000</v>
          </cell>
          <cell r="F131">
            <v>1.6424885391959196E-3</v>
          </cell>
        </row>
        <row r="132">
          <cell r="C132" t="str">
            <v>SUBTOTAL</v>
          </cell>
          <cell r="F132">
            <v>0</v>
          </cell>
        </row>
        <row r="133">
          <cell r="F133">
            <v>0</v>
          </cell>
        </row>
        <row r="134">
          <cell r="C134" t="str">
            <v>Capitalized Reserves</v>
          </cell>
          <cell r="F134">
            <v>0</v>
          </cell>
        </row>
        <row r="135">
          <cell r="C135" t="str">
            <v>Operating Reserves</v>
          </cell>
          <cell r="E135" t="str">
            <v>6 months debt + expenses</v>
          </cell>
          <cell r="F135">
            <v>1.7613151191497482E-2</v>
          </cell>
        </row>
        <row r="136">
          <cell r="C136" t="str">
            <v>Investor Service Fee Reserve</v>
          </cell>
          <cell r="F136">
            <v>2.2397570989035266E-3</v>
          </cell>
        </row>
        <row r="137">
          <cell r="C137" t="str">
            <v>Replacement Reserves</v>
          </cell>
          <cell r="E137">
            <v>36750</v>
          </cell>
          <cell r="F137">
            <v>1.0974809784627282E-3</v>
          </cell>
        </row>
        <row r="138">
          <cell r="C138" t="str">
            <v>SUBTOTAL</v>
          </cell>
          <cell r="F138">
            <v>0</v>
          </cell>
        </row>
        <row r="139">
          <cell r="F139">
            <v>0</v>
          </cell>
        </row>
        <row r="140">
          <cell r="C140" t="str">
            <v>Other Development Costs</v>
          </cell>
          <cell r="F140">
            <v>0</v>
          </cell>
        </row>
        <row r="141">
          <cell r="C141" t="str">
            <v>Real Estate &amp; Property Tax</v>
          </cell>
          <cell r="E141">
            <v>16131.78</v>
          </cell>
          <cell r="F141">
            <v>4.8175025030599915E-4</v>
          </cell>
        </row>
        <row r="142">
          <cell r="C142" t="str">
            <v>Insurance:</v>
          </cell>
          <cell r="E142" t="str">
            <v>Sum to this line</v>
          </cell>
          <cell r="F142">
            <v>4.2777141736358047E-3</v>
          </cell>
        </row>
        <row r="143">
          <cell r="D143" t="str">
            <v>Builders Risk</v>
          </cell>
          <cell r="E143">
            <v>103639</v>
          </cell>
          <cell r="F143">
            <v>3.0950158129768347E-3</v>
          </cell>
        </row>
        <row r="144">
          <cell r="D144" t="str">
            <v>Liability for PSH Development org</v>
          </cell>
          <cell r="E144">
            <v>39603.57</v>
          </cell>
          <cell r="F144">
            <v>1.18269836065897E-3</v>
          </cell>
        </row>
        <row r="145">
          <cell r="D145" t="str">
            <v>Other</v>
          </cell>
          <cell r="F145">
            <v>0</v>
          </cell>
        </row>
        <row r="146">
          <cell r="C146" t="str">
            <v>Relocation</v>
          </cell>
          <cell r="E146">
            <v>50000</v>
          </cell>
          <cell r="F146">
            <v>1.493171399269018E-3</v>
          </cell>
        </row>
        <row r="147">
          <cell r="C147" t="str">
            <v>Permits, Fees &amp; Hookups</v>
          </cell>
          <cell r="E147" t="str">
            <v>Sum to this line</v>
          </cell>
          <cell r="F147">
            <v>2.1181621791754535E-2</v>
          </cell>
        </row>
        <row r="148">
          <cell r="D148" t="str">
            <v>SDCI (Building &amp; Land Use)</v>
          </cell>
          <cell r="E148">
            <v>85772</v>
          </cell>
          <cell r="F148">
            <v>2.561445945162044E-3</v>
          </cell>
        </row>
        <row r="149">
          <cell r="D149" t="str">
            <v xml:space="preserve">Seattle City Light </v>
          </cell>
          <cell r="E149">
            <v>130755</v>
          </cell>
          <cell r="F149">
            <v>3.9047925262284087E-3</v>
          </cell>
        </row>
        <row r="150">
          <cell r="D150" t="str">
            <v xml:space="preserve">SDOT </v>
          </cell>
          <cell r="E150">
            <v>35000</v>
          </cell>
          <cell r="F150">
            <v>1.0452199794883125E-3</v>
          </cell>
        </row>
        <row r="151">
          <cell r="D151" t="str">
            <v>SPU</v>
          </cell>
          <cell r="E151">
            <v>95000</v>
          </cell>
          <cell r="F151">
            <v>2.8370256586111339E-3</v>
          </cell>
        </row>
        <row r="152">
          <cell r="D152" t="str">
            <v>KC Wastewater Treatment</v>
          </cell>
          <cell r="E152">
            <v>352756</v>
          </cell>
          <cell r="F152">
            <v>1.0534503402410833E-2</v>
          </cell>
        </row>
        <row r="153">
          <cell r="D153" t="str">
            <v>Phone/Cable/Internet</v>
          </cell>
          <cell r="E153">
            <v>10000</v>
          </cell>
          <cell r="F153">
            <v>2.9863427985380358E-4</v>
          </cell>
        </row>
        <row r="154">
          <cell r="C154" t="str">
            <v>Development Period Utilities</v>
          </cell>
          <cell r="F154">
            <v>0</v>
          </cell>
        </row>
        <row r="155">
          <cell r="C155" t="str">
            <v xml:space="preserve">LIHTC Nonprofit Donation </v>
          </cell>
          <cell r="F155">
            <v>7.4658569963450899E-4</v>
          </cell>
        </row>
        <row r="156">
          <cell r="C156" t="str">
            <v>Accounting/Audit</v>
          </cell>
          <cell r="F156">
            <v>5.9726855970760717E-4</v>
          </cell>
        </row>
        <row r="157">
          <cell r="C157" t="str">
            <v>Marketing/Leasing Expenses</v>
          </cell>
          <cell r="F157">
            <v>0</v>
          </cell>
        </row>
        <row r="158">
          <cell r="C158" t="str">
            <v>Carrying Costs at Rent Up</v>
          </cell>
          <cell r="F158">
            <v>7.4658569963450896E-3</v>
          </cell>
        </row>
      </sheetData>
      <sheetData sheetId="8"/>
      <sheetData sheetId="9">
        <row r="4">
          <cell r="B4" t="str">
            <v>total sqft</v>
          </cell>
          <cell r="F4">
            <v>62632</v>
          </cell>
          <cell r="I4">
            <v>52934</v>
          </cell>
          <cell r="L4">
            <v>61152</v>
          </cell>
          <cell r="O4">
            <v>83236</v>
          </cell>
        </row>
        <row r="5">
          <cell r="B5" t="str">
            <v>Common Area/Manager Units</v>
          </cell>
          <cell r="O5">
            <v>4400</v>
          </cell>
        </row>
        <row r="6">
          <cell r="B6" t="str">
            <v xml:space="preserve">Common Area for Residential Services </v>
          </cell>
          <cell r="O6">
            <v>2907</v>
          </cell>
        </row>
        <row r="7">
          <cell r="B7" t="str">
            <v>Other Common Area</v>
          </cell>
          <cell r="O7">
            <v>21826</v>
          </cell>
        </row>
        <row r="8">
          <cell r="B8" t="str">
            <v>Residential sqft</v>
          </cell>
          <cell r="F8">
            <v>58587</v>
          </cell>
          <cell r="I8">
            <v>49233</v>
          </cell>
          <cell r="L8">
            <v>53711.05</v>
          </cell>
        </row>
        <row r="9">
          <cell r="B9" t="str">
            <v>non-residential sqft</v>
          </cell>
          <cell r="F9">
            <v>4045</v>
          </cell>
          <cell r="I9">
            <v>3701</v>
          </cell>
          <cell r="L9">
            <v>10192</v>
          </cell>
        </row>
        <row r="10">
          <cell r="B10" t="str">
            <v>Land sqft</v>
          </cell>
          <cell r="E10" t="str">
            <v>(total sqft/floors)+5%</v>
          </cell>
          <cell r="F10">
            <v>10961</v>
          </cell>
          <cell r="I10">
            <v>9263.4500000000007</v>
          </cell>
          <cell r="L10">
            <v>10701.6</v>
          </cell>
        </row>
        <row r="11">
          <cell r="B11" t="str">
            <v># of Floors</v>
          </cell>
          <cell r="F11">
            <v>6</v>
          </cell>
          <cell r="I11">
            <v>6</v>
          </cell>
          <cell r="L11">
            <v>6</v>
          </cell>
          <cell r="O11">
            <v>7</v>
          </cell>
        </row>
        <row r="12">
          <cell r="B12" t="str">
            <v>LI Units</v>
          </cell>
          <cell r="F12">
            <v>102</v>
          </cell>
          <cell r="I12">
            <v>91</v>
          </cell>
          <cell r="L12">
            <v>100</v>
          </cell>
          <cell r="O12">
            <v>156</v>
          </cell>
        </row>
        <row r="13">
          <cell r="B13" t="str">
            <v>CA Units</v>
          </cell>
          <cell r="C13">
            <v>300</v>
          </cell>
          <cell r="F13">
            <v>3</v>
          </cell>
          <cell r="I13">
            <v>1</v>
          </cell>
          <cell r="L13">
            <v>3</v>
          </cell>
        </row>
        <row r="14">
          <cell r="B14" t="str">
            <v>Unit Count</v>
          </cell>
          <cell r="F14">
            <v>105</v>
          </cell>
          <cell r="I14">
            <v>92</v>
          </cell>
          <cell r="L14">
            <v>103</v>
          </cell>
          <cell r="O14">
            <v>156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Budget"/>
      <sheetName val="Int Reserve Calc"/>
      <sheetName val="Draw Details"/>
      <sheetName val="Constr Status Update"/>
      <sheetName val="Disb Guidelines"/>
      <sheetName val="Disb Guid Addendum"/>
      <sheetName val="Work Order"/>
      <sheetName val="Member Addendum"/>
      <sheetName val="Module1"/>
      <sheetName val="Module2"/>
      <sheetName val="JobCost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s"/>
      <sheetName val="ESDS-Reference Table"/>
      <sheetName val="ESDS-Lookup Table"/>
      <sheetName val="5 Default Check"/>
      <sheetName val="Definitions"/>
      <sheetName val="Sheet1"/>
      <sheetName val="Validations Checklist"/>
      <sheetName val="1"/>
      <sheetName val="2A"/>
      <sheetName val="2B"/>
      <sheetName val="2C"/>
      <sheetName val="3"/>
      <sheetName val="4"/>
      <sheetName val="5"/>
      <sheetName val="6A"/>
      <sheetName val="6B"/>
      <sheetName val="6C"/>
      <sheetName val="LIHTC Insert"/>
      <sheetName val="6D"/>
      <sheetName val="Calc Sheet Insert"/>
      <sheetName val="6E"/>
      <sheetName val="7A"/>
      <sheetName val="Res Sources Insert"/>
      <sheetName val="7B"/>
      <sheetName val="8A"/>
      <sheetName val="8B"/>
      <sheetName val="8C"/>
      <sheetName val="8D"/>
      <sheetName val="8E"/>
      <sheetName val="9A"/>
      <sheetName val="9B"/>
      <sheetName val="9C"/>
      <sheetName val="9D"/>
      <sheetName val="9E"/>
      <sheetName val="11A"/>
      <sheetName val="ScoringLists (9%)"/>
      <sheetName val="11B"/>
      <sheetName val="ScoringLists (4%)"/>
    </sheetNames>
    <sheetDataSet>
      <sheetData sheetId="0">
        <row r="3">
          <cell r="B3" t="str">
            <v>Select…</v>
          </cell>
        </row>
        <row r="30">
          <cell r="B30" t="str">
            <v>Select…</v>
          </cell>
        </row>
        <row r="31">
          <cell r="B31" t="str">
            <v>Yes</v>
          </cell>
        </row>
        <row r="32">
          <cell r="B32" t="str">
            <v>No</v>
          </cell>
        </row>
        <row r="33">
          <cell r="B33" t="str">
            <v>Either</v>
          </cell>
        </row>
        <row r="40">
          <cell r="B40" t="str">
            <v>Select…</v>
          </cell>
        </row>
        <row r="41">
          <cell r="B41" t="str">
            <v>Shelter</v>
          </cell>
        </row>
        <row r="42">
          <cell r="B42" t="str">
            <v>Transitional</v>
          </cell>
        </row>
        <row r="43">
          <cell r="B43" t="str">
            <v>Permanent Supportive</v>
          </cell>
        </row>
        <row r="44">
          <cell r="B44" t="str">
            <v>Multifamily Rental</v>
          </cell>
        </row>
        <row r="46">
          <cell r="B46" t="str">
            <v>Select…</v>
          </cell>
        </row>
        <row r="47">
          <cell r="B47" t="str">
            <v>Units</v>
          </cell>
        </row>
        <row r="48">
          <cell r="B48" t="str">
            <v>Beds</v>
          </cell>
        </row>
        <row r="68">
          <cell r="E68" t="str">
            <v>Select…</v>
          </cell>
        </row>
        <row r="69">
          <cell r="E69" t="str">
            <v>Studio</v>
          </cell>
        </row>
        <row r="70">
          <cell r="E70" t="str">
            <v>SRO</v>
          </cell>
        </row>
        <row r="71">
          <cell r="E71" t="str">
            <v>1 BR</v>
          </cell>
        </row>
        <row r="72">
          <cell r="E72" t="str">
            <v>2 BR</v>
          </cell>
        </row>
        <row r="73">
          <cell r="E73" t="str">
            <v>3 BR</v>
          </cell>
        </row>
        <row r="74">
          <cell r="E74" t="str">
            <v>4 BR</v>
          </cell>
        </row>
        <row r="75">
          <cell r="E75" t="str">
            <v>Other</v>
          </cell>
        </row>
        <row r="110">
          <cell r="B110" t="str">
            <v>X</v>
          </cell>
        </row>
        <row r="116">
          <cell r="B116" t="str">
            <v>Select…</v>
          </cell>
        </row>
        <row r="117">
          <cell r="B117" t="str">
            <v>Single-Family Detached</v>
          </cell>
        </row>
        <row r="118">
          <cell r="B118" t="str">
            <v>Townhouse/Duplex</v>
          </cell>
        </row>
        <row r="119">
          <cell r="B119" t="str">
            <v>Walk-Up (≤3 Floors no elevator)</v>
          </cell>
        </row>
        <row r="120">
          <cell r="B120" t="str">
            <v>Low-Rise (2-3 floors w elevator)</v>
          </cell>
        </row>
        <row r="121">
          <cell r="B121" t="str">
            <v>Mid-Rise (4-6 floors w elevator)</v>
          </cell>
        </row>
        <row r="122">
          <cell r="B122" t="str">
            <v>High Rise (7+ floors)</v>
          </cell>
        </row>
        <row r="123">
          <cell r="B123" t="str">
            <v>Mobile Home Pad</v>
          </cell>
        </row>
        <row r="124">
          <cell r="B124" t="str">
            <v>Shelter/Open-floor</v>
          </cell>
        </row>
        <row r="127">
          <cell r="B127" t="str">
            <v>Select…</v>
          </cell>
        </row>
        <row r="128">
          <cell r="B128" t="str">
            <v>New Construction</v>
          </cell>
        </row>
        <row r="129">
          <cell r="B129" t="str">
            <v>Rehab</v>
          </cell>
        </row>
        <row r="130">
          <cell r="B130" t="str">
            <v>Acquisition</v>
          </cell>
        </row>
        <row r="132">
          <cell r="B132" t="str">
            <v>Select…</v>
          </cell>
        </row>
        <row r="133">
          <cell r="B133" t="str">
            <v>Predevelopment</v>
          </cell>
        </row>
        <row r="134">
          <cell r="B134" t="str">
            <v>Under Construction</v>
          </cell>
        </row>
        <row r="135">
          <cell r="B135" t="str">
            <v>Stalled</v>
          </cell>
        </row>
        <row r="136">
          <cell r="B136" t="str">
            <v>Lease Up</v>
          </cell>
        </row>
        <row r="138">
          <cell r="B138" t="str">
            <v>Select..</v>
          </cell>
        </row>
        <row r="139">
          <cell r="B139" t="str">
            <v>MF</v>
          </cell>
        </row>
        <row r="140">
          <cell r="B140" t="str">
            <v>SF</v>
          </cell>
        </row>
        <row r="142">
          <cell r="B142" t="str">
            <v>Select…</v>
          </cell>
        </row>
        <row r="143">
          <cell r="B143" t="str">
            <v>NC</v>
          </cell>
        </row>
        <row r="144">
          <cell r="B144" t="str">
            <v>R</v>
          </cell>
        </row>
        <row r="145">
          <cell r="B145" t="str">
            <v>A</v>
          </cell>
        </row>
        <row r="147">
          <cell r="B147" t="str">
            <v>Select…</v>
          </cell>
        </row>
        <row r="148">
          <cell r="B148" t="str">
            <v>Yes, Yes</v>
          </cell>
        </row>
        <row r="149">
          <cell r="B149" t="str">
            <v>Yes, No</v>
          </cell>
        </row>
        <row r="150">
          <cell r="B150" t="str">
            <v>No, Yes</v>
          </cell>
        </row>
        <row r="151">
          <cell r="B151" t="str">
            <v>No, No</v>
          </cell>
        </row>
      </sheetData>
      <sheetData sheetId="1"/>
      <sheetData sheetId="2">
        <row r="2">
          <cell r="A2" t="str">
            <v>Select…</v>
          </cell>
          <cell r="B2" t="str">
            <v>Select…</v>
          </cell>
        </row>
        <row r="3">
          <cell r="A3" t="str">
            <v>Urban</v>
          </cell>
          <cell r="B3" t="str">
            <v>New Construction</v>
          </cell>
        </row>
        <row r="4">
          <cell r="A4" t="str">
            <v>Rural</v>
          </cell>
          <cell r="B4" t="str">
            <v>Rehab Moderate</v>
          </cell>
        </row>
        <row r="5">
          <cell r="B5" t="str">
            <v>Rehab Substantial</v>
          </cell>
        </row>
      </sheetData>
      <sheetData sheetId="3"/>
      <sheetData sheetId="4"/>
      <sheetData sheetId="5"/>
      <sheetData sheetId="6"/>
      <sheetData sheetId="7">
        <row r="5">
          <cell r="G5" t="str">
            <v>Second and Mercer Housing</v>
          </cell>
        </row>
      </sheetData>
      <sheetData sheetId="8">
        <row r="22">
          <cell r="L22">
            <v>93</v>
          </cell>
        </row>
      </sheetData>
      <sheetData sheetId="9">
        <row r="34">
          <cell r="E34">
            <v>32629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1">
          <cell r="F21">
            <v>0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2">
          <cell r="B22" t="str">
            <v>None</v>
          </cell>
        </row>
        <row r="85">
          <cell r="B85">
            <v>0</v>
          </cell>
        </row>
        <row r="86">
          <cell r="B86">
            <v>0.1</v>
          </cell>
        </row>
        <row r="87">
          <cell r="B87">
            <v>0.2</v>
          </cell>
        </row>
        <row r="88">
          <cell r="B88">
            <v>0.25</v>
          </cell>
        </row>
        <row r="89">
          <cell r="B89">
            <v>0.3</v>
          </cell>
        </row>
        <row r="90">
          <cell r="B90">
            <v>0.4</v>
          </cell>
        </row>
        <row r="91">
          <cell r="B91">
            <v>0.5</v>
          </cell>
        </row>
        <row r="92">
          <cell r="B92">
            <v>0.6</v>
          </cell>
        </row>
        <row r="93">
          <cell r="B93">
            <v>0.75</v>
          </cell>
        </row>
        <row r="94">
          <cell r="B94">
            <v>1</v>
          </cell>
        </row>
        <row r="147">
          <cell r="B147" t="str">
            <v>Select Applicable Points</v>
          </cell>
        </row>
        <row r="148">
          <cell r="B148" t="str">
            <v>King County 5-10% - 2 Points</v>
          </cell>
        </row>
        <row r="149">
          <cell r="B149" t="str">
            <v>King County 11-20% - 4 Points</v>
          </cell>
        </row>
        <row r="150">
          <cell r="B150" t="str">
            <v>King County 21-25% - 7 Points</v>
          </cell>
        </row>
        <row r="151">
          <cell r="B151" t="str">
            <v>King County 26% and above - 10 Points</v>
          </cell>
        </row>
        <row r="152">
          <cell r="B152" t="str">
            <v>Metro 2-7% - 2 Points</v>
          </cell>
        </row>
        <row r="153">
          <cell r="B153" t="str">
            <v>Metro 8-12% - 4 Points</v>
          </cell>
        </row>
        <row r="154">
          <cell r="B154" t="str">
            <v>Metro 13-17% - 7 Points</v>
          </cell>
        </row>
        <row r="155">
          <cell r="B155" t="str">
            <v>Metro 18% and above - 10 points</v>
          </cell>
        </row>
        <row r="156">
          <cell r="B156" t="str">
            <v>Non-Metro 2-7% - 2 points</v>
          </cell>
        </row>
        <row r="157">
          <cell r="B157" t="str">
            <v>Non-Metro 8-15% - 4 Points</v>
          </cell>
        </row>
        <row r="158">
          <cell r="B158" t="str">
            <v>Non-Metro 16-22% - 7 Points</v>
          </cell>
        </row>
        <row r="159">
          <cell r="B159" t="str">
            <v>Non-Metro 23% and above - 10 Points</v>
          </cell>
        </row>
        <row r="237">
          <cell r="B237" t="str">
            <v>Select Location</v>
          </cell>
        </row>
        <row r="238">
          <cell r="B238" t="str">
            <v>King County and in a High or Very High Opportunity Area Census tract.</v>
          </cell>
        </row>
        <row r="239">
          <cell r="B239" t="str">
            <v>a Metro County.  This project is not eligible for these points.</v>
          </cell>
        </row>
        <row r="240">
          <cell r="B240" t="str">
            <v>a Non-Metro County.  This project is not eligible for these points.</v>
          </cell>
        </row>
        <row r="309">
          <cell r="B309" t="str">
            <v>Select from list</v>
          </cell>
        </row>
        <row r="310">
          <cell r="B310" t="str">
            <v>King County</v>
          </cell>
        </row>
        <row r="311">
          <cell r="B311" t="str">
            <v>Pierce/Snohomish</v>
          </cell>
        </row>
        <row r="312">
          <cell r="B312" t="str">
            <v>Metro Counties</v>
          </cell>
        </row>
        <row r="313">
          <cell r="B313" t="str">
            <v>Balance of State</v>
          </cell>
        </row>
      </sheetData>
      <sheetData sheetId="36"/>
      <sheetData sheetId="37">
        <row r="74">
          <cell r="B74" t="str">
            <v>No Points Taken</v>
          </cell>
        </row>
        <row r="75">
          <cell r="B75" t="str">
            <v>Urban:  within 1/4 mile of 3 services and 1/2 mile of a grocery store or within 1/2 mile of 5 facilities and a grocery store - 3 points</v>
          </cell>
        </row>
        <row r="76">
          <cell r="B76" t="str">
            <v>Rural:  within 2 miles of 4 services, one of which is a grocery store - 3 points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s"/>
      <sheetName val="6E"/>
      <sheetName val="2B"/>
      <sheetName val="8B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Order"/>
      <sheetName val="Member Addendum"/>
      <sheetName val="Instructions"/>
      <sheetName val="#'s Instructions"/>
    </sheetNames>
    <sheetDataSet>
      <sheetData sheetId="0"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 Detail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1A Population"/>
      <sheetName val="Form 1B Special Needs"/>
      <sheetName val="Form 1C Units"/>
      <sheetName val="Form 1D Square Footage Summary"/>
      <sheetName val="Form 2a- ESDS Checklist (RURAL)"/>
      <sheetName val="Form 2b- ESDS Checklist (URBAN)"/>
      <sheetName val="ESDS-UnderTheHood"/>
      <sheetName val="Form 4 Relocation Budget"/>
      <sheetName val="Form 5 Project Schedule"/>
      <sheetName val="Form 6A Residential Budget"/>
      <sheetName val="Form 6B Nonres Budget"/>
      <sheetName val="Form 6C Budget Narrative"/>
      <sheetName val="Form 6D LIHTC Budget"/>
      <sheetName val="Form 6E LIHTC Calculation"/>
      <sheetName val="Form 7 Financing"/>
      <sheetName val="Form 8A Rents"/>
      <sheetName val="Form 8B Operating Sources"/>
      <sheetName val="Form 8C Operating Pro Forma"/>
      <sheetName val="Form 8D Op Budget Details"/>
      <sheetName val="Form 8E Operating Personnel"/>
      <sheetName val="Form 9A Contact List"/>
      <sheetName val="Form 9B ID of Interest"/>
      <sheetName val="Form 9C Sponsor Experience"/>
      <sheetName val="Form 9D Dev Consultant Exp "/>
      <sheetName val="Form 9E Prop.Manager Experience"/>
      <sheetName val="Form 10 Service Budget"/>
      <sheetName val="Form 11 LIHTC Scoring Synopsis"/>
      <sheetName val="Form 11 LIHTC Scoring"/>
      <sheetName val="Under the LIHTC Hood"/>
      <sheetName val="Under the Hood"/>
    </sheetNames>
    <sheetDataSet>
      <sheetData sheetId="0">
        <row r="3">
          <cell r="D3" t="str">
            <v>Plymouth Housing Group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X</v>
          </cell>
          <cell r="D3">
            <v>1</v>
          </cell>
          <cell r="F3">
            <v>1</v>
          </cell>
          <cell r="H3">
            <v>2</v>
          </cell>
          <cell r="J3">
            <v>5</v>
          </cell>
          <cell r="L3" t="str">
            <v>X</v>
          </cell>
          <cell r="N3">
            <v>2</v>
          </cell>
          <cell r="P3">
            <v>17</v>
          </cell>
          <cell r="R3">
            <v>4</v>
          </cell>
        </row>
        <row r="4">
          <cell r="B4" t="str">
            <v>n/a</v>
          </cell>
          <cell r="D4">
            <v>2</v>
          </cell>
          <cell r="F4">
            <v>2</v>
          </cell>
          <cell r="L4">
            <v>5</v>
          </cell>
          <cell r="N4">
            <v>5</v>
          </cell>
        </row>
        <row r="5">
          <cell r="D5">
            <v>3</v>
          </cell>
          <cell r="F5">
            <v>3</v>
          </cell>
          <cell r="L5" t="str">
            <v>n/a</v>
          </cell>
          <cell r="N5">
            <v>7</v>
          </cell>
        </row>
        <row r="6">
          <cell r="F6">
            <v>4</v>
          </cell>
        </row>
        <row r="7">
          <cell r="F7">
            <v>5</v>
          </cell>
        </row>
        <row r="10">
          <cell r="B10">
            <v>3</v>
          </cell>
          <cell r="D10">
            <v>2</v>
          </cell>
          <cell r="F10">
            <v>10</v>
          </cell>
          <cell r="H10">
            <v>3</v>
          </cell>
          <cell r="J10">
            <v>1</v>
          </cell>
          <cell r="L10">
            <v>1</v>
          </cell>
          <cell r="N10">
            <v>4</v>
          </cell>
          <cell r="P10">
            <v>3</v>
          </cell>
        </row>
        <row r="11">
          <cell r="B11">
            <v>5</v>
          </cell>
          <cell r="D11">
            <v>4</v>
          </cell>
          <cell r="J11">
            <v>2</v>
          </cell>
          <cell r="L11">
            <v>2</v>
          </cell>
          <cell r="N11">
            <v>6</v>
          </cell>
          <cell r="P11">
            <v>7</v>
          </cell>
        </row>
        <row r="12">
          <cell r="D12">
            <v>6</v>
          </cell>
          <cell r="J12">
            <v>4</v>
          </cell>
          <cell r="L12">
            <v>3</v>
          </cell>
          <cell r="N12">
            <v>8</v>
          </cell>
        </row>
        <row r="13">
          <cell r="D13">
            <v>7</v>
          </cell>
          <cell r="J13">
            <v>6</v>
          </cell>
          <cell r="L13">
            <v>4</v>
          </cell>
        </row>
        <row r="14">
          <cell r="L14">
            <v>5</v>
          </cell>
        </row>
        <row r="15">
          <cell r="L15">
            <v>6</v>
          </cell>
        </row>
        <row r="17">
          <cell r="B17">
            <v>0.5</v>
          </cell>
          <cell r="D17">
            <v>1</v>
          </cell>
          <cell r="F17">
            <v>1</v>
          </cell>
          <cell r="H17">
            <v>2</v>
          </cell>
        </row>
        <row r="18">
          <cell r="B18">
            <v>1</v>
          </cell>
          <cell r="F18">
            <v>2</v>
          </cell>
          <cell r="H18">
            <v>3</v>
          </cell>
        </row>
        <row r="19">
          <cell r="B19">
            <v>1.5</v>
          </cell>
          <cell r="F19">
            <v>3</v>
          </cell>
          <cell r="H19">
            <v>5</v>
          </cell>
        </row>
        <row r="20">
          <cell r="B20">
            <v>2</v>
          </cell>
          <cell r="F20">
            <v>4</v>
          </cell>
        </row>
        <row r="21">
          <cell r="B21">
            <v>2.5</v>
          </cell>
          <cell r="F21">
            <v>5</v>
          </cell>
        </row>
        <row r="22">
          <cell r="B22">
            <v>3</v>
          </cell>
          <cell r="F22">
            <v>6</v>
          </cell>
        </row>
        <row r="23">
          <cell r="B23">
            <v>3.5</v>
          </cell>
          <cell r="F23">
            <v>7</v>
          </cell>
        </row>
        <row r="24">
          <cell r="B24">
            <v>4</v>
          </cell>
          <cell r="F24">
            <v>8</v>
          </cell>
        </row>
        <row r="25">
          <cell r="B25">
            <v>4.5</v>
          </cell>
          <cell r="F25">
            <v>9</v>
          </cell>
        </row>
        <row r="26">
          <cell r="B26">
            <v>5</v>
          </cell>
          <cell r="F26">
            <v>10</v>
          </cell>
        </row>
        <row r="30">
          <cell r="B30">
            <v>0.5</v>
          </cell>
          <cell r="D30">
            <v>2</v>
          </cell>
          <cell r="F30">
            <v>7</v>
          </cell>
        </row>
        <row r="31">
          <cell r="B31">
            <v>1</v>
          </cell>
          <cell r="D31">
            <v>4</v>
          </cell>
        </row>
        <row r="32">
          <cell r="B32">
            <v>1.5</v>
          </cell>
          <cell r="D32">
            <v>6</v>
          </cell>
        </row>
        <row r="33">
          <cell r="B33">
            <v>2</v>
          </cell>
          <cell r="D33">
            <v>8</v>
          </cell>
        </row>
        <row r="34">
          <cell r="B34">
            <v>2.5</v>
          </cell>
        </row>
        <row r="35">
          <cell r="B35">
            <v>3</v>
          </cell>
        </row>
        <row r="36">
          <cell r="B36">
            <v>3.5</v>
          </cell>
        </row>
        <row r="37">
          <cell r="B37">
            <v>4</v>
          </cell>
        </row>
        <row r="38">
          <cell r="B38">
            <v>4.5</v>
          </cell>
        </row>
        <row r="39">
          <cell r="B39">
            <v>5</v>
          </cell>
        </row>
        <row r="40">
          <cell r="B40">
            <v>5.5</v>
          </cell>
        </row>
        <row r="41">
          <cell r="B41">
            <v>6</v>
          </cell>
        </row>
        <row r="42">
          <cell r="B42">
            <v>6.5</v>
          </cell>
        </row>
        <row r="43">
          <cell r="B43">
            <v>7</v>
          </cell>
        </row>
        <row r="44">
          <cell r="B44">
            <v>7.5</v>
          </cell>
        </row>
        <row r="45">
          <cell r="B45">
            <v>8</v>
          </cell>
        </row>
        <row r="46">
          <cell r="B46">
            <v>8.5</v>
          </cell>
        </row>
        <row r="47">
          <cell r="B47">
            <v>9</v>
          </cell>
        </row>
        <row r="48">
          <cell r="B48">
            <v>9.5</v>
          </cell>
        </row>
        <row r="49">
          <cell r="B49">
            <v>10</v>
          </cell>
        </row>
      </sheetData>
      <sheetData sheetId="7"/>
      <sheetData sheetId="8"/>
      <sheetData sheetId="9"/>
      <sheetData sheetId="10">
        <row r="16">
          <cell r="F16">
            <v>46650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D2" t="str">
            <v>• Adams - 1 Point</v>
          </cell>
        </row>
        <row r="3">
          <cell r="D3" t="str">
            <v>• Asotin  - 1 Point</v>
          </cell>
        </row>
        <row r="4">
          <cell r="D4" t="str">
            <v>• Benton - 3 Points</v>
          </cell>
        </row>
        <row r="5">
          <cell r="D5" t="str">
            <v>• Chelan - 5 Points</v>
          </cell>
        </row>
        <row r="6">
          <cell r="D6" t="str">
            <v>• Clallam - 1 Point</v>
          </cell>
        </row>
        <row r="7">
          <cell r="D7" t="str">
            <v>• Clark - 5 Points</v>
          </cell>
        </row>
        <row r="8">
          <cell r="D8" t="str">
            <v>• Columbia - 1 Point</v>
          </cell>
        </row>
        <row r="9">
          <cell r="D9" t="str">
            <v>• Cowlitz - 5 Points</v>
          </cell>
        </row>
        <row r="10">
          <cell r="D10" t="str">
            <v>• Douglas - 1 Point</v>
          </cell>
        </row>
        <row r="11">
          <cell r="D11" t="str">
            <v>• Ferry - 1 Point</v>
          </cell>
        </row>
        <row r="12">
          <cell r="D12" t="str">
            <v>• Franklin - 3 Points</v>
          </cell>
        </row>
        <row r="13">
          <cell r="D13" t="str">
            <v>• Garfield - 1 Point</v>
          </cell>
        </row>
        <row r="14">
          <cell r="D14" t="str">
            <v>• Grant - 3 Points</v>
          </cell>
        </row>
        <row r="15">
          <cell r="D15" t="str">
            <v>• Grays Harbor - 3 Points</v>
          </cell>
        </row>
        <row r="16">
          <cell r="D16" t="str">
            <v>• Island - 1 Point</v>
          </cell>
        </row>
        <row r="17">
          <cell r="D17" t="str">
            <v>• Jefferson - 1 Point</v>
          </cell>
        </row>
        <row r="18">
          <cell r="D18" t="str">
            <v>• King - 10 Points</v>
          </cell>
        </row>
        <row r="19">
          <cell r="D19" t="str">
            <v>• Kitsap - 5 Points</v>
          </cell>
        </row>
        <row r="20">
          <cell r="D20" t="str">
            <v>• Kittitas - 5 Points</v>
          </cell>
        </row>
        <row r="21">
          <cell r="D21" t="str">
            <v>• Klickitat - 1 Point</v>
          </cell>
        </row>
        <row r="22">
          <cell r="D22" t="str">
            <v>• Lewis - 3 Points</v>
          </cell>
        </row>
        <row r="23">
          <cell r="D23" t="str">
            <v>• Lincoln - 1 Point</v>
          </cell>
        </row>
        <row r="24">
          <cell r="D24" t="str">
            <v>• Mason - 1 Point</v>
          </cell>
        </row>
        <row r="25">
          <cell r="D25" t="str">
            <v>• Okanogan - 3 Points</v>
          </cell>
        </row>
        <row r="26">
          <cell r="D26" t="str">
            <v>• Pacific - 1 Point</v>
          </cell>
        </row>
        <row r="27">
          <cell r="D27" t="str">
            <v>• Pend Oreille - 1 Point</v>
          </cell>
        </row>
        <row r="28">
          <cell r="D28" t="str">
            <v>• Pierce - 7 Points</v>
          </cell>
        </row>
        <row r="29">
          <cell r="D29" t="str">
            <v>• San Juan - 1 Point</v>
          </cell>
        </row>
        <row r="30">
          <cell r="D30" t="str">
            <v>• Skagit - 3 Points</v>
          </cell>
        </row>
        <row r="31">
          <cell r="D31" t="str">
            <v>• Skamania - 1 Point</v>
          </cell>
        </row>
        <row r="32">
          <cell r="D32" t="str">
            <v>• Snohomish - 5 Points</v>
          </cell>
        </row>
        <row r="33">
          <cell r="D33" t="str">
            <v>• Spokane - 7 Points</v>
          </cell>
        </row>
        <row r="34">
          <cell r="D34" t="str">
            <v>• Stevens - 1 Point</v>
          </cell>
        </row>
        <row r="35">
          <cell r="D35" t="str">
            <v>• Thurston - 5 Points</v>
          </cell>
        </row>
        <row r="36">
          <cell r="D36" t="str">
            <v>• Wahkiakum - 1 Point</v>
          </cell>
        </row>
        <row r="37">
          <cell r="D37" t="str">
            <v>• Walla Walla - 5 Points</v>
          </cell>
        </row>
        <row r="38">
          <cell r="D38" t="str">
            <v>• Whatcom - 5 Points</v>
          </cell>
        </row>
        <row r="39">
          <cell r="D39" t="str">
            <v>• Whitman - 5 Points</v>
          </cell>
        </row>
        <row r="40">
          <cell r="D40" t="str">
            <v>• Yakima - 5 Points</v>
          </cell>
        </row>
        <row r="50">
          <cell r="D50" t="str">
            <v>No points Taken</v>
          </cell>
        </row>
        <row r="51">
          <cell r="D51" t="str">
            <v>• 75% of the Total Housing Units as Housing for the Homeless (Homeless Option C)</v>
          </cell>
        </row>
        <row r="52">
          <cell r="D52" t="str">
            <v xml:space="preserve">• 75% of the Total Housing Units as Low-Income Housing Units for Farmworkers </v>
          </cell>
        </row>
        <row r="55">
          <cell r="D55" t="str">
            <v>No points Taken</v>
          </cell>
        </row>
        <row r="56">
          <cell r="D56" t="str">
            <v>• 20% of the Total Housing Units for Large Households</v>
          </cell>
        </row>
        <row r="57">
          <cell r="D57" t="str">
            <v>• 20% of the Total Housing Units as Housing for Persons with Disabilities</v>
          </cell>
        </row>
        <row r="58">
          <cell r="D58" t="str">
            <v>• Elderly Housing Project</v>
          </cell>
        </row>
        <row r="59">
          <cell r="D59" t="str">
            <v>• 20% of the Total Housing Units as Housing for the Homeless (Homeless Option A)</v>
          </cell>
        </row>
        <row r="60">
          <cell r="D60" t="str">
            <v>• 20% of the Total Housing Units as Transitional Housing (Homeless Option B)</v>
          </cell>
        </row>
        <row r="62">
          <cell r="D62" t="str">
            <v>No Points Taken</v>
          </cell>
        </row>
        <row r="63">
          <cell r="D63" t="str">
            <v>• 10% of the Total Housing Units for Large Households</v>
          </cell>
        </row>
        <row r="64">
          <cell r="D64" t="str">
            <v>• 10% of the Total Housing Units as Housing for Persons with Disabilities</v>
          </cell>
        </row>
        <row r="65">
          <cell r="D65" t="str">
            <v>• 10% of the Total Housing Units as Housing for the Homeless (Homeless Option A)</v>
          </cell>
        </row>
        <row r="66">
          <cell r="D66" t="str">
            <v>• 10% of the Total Housing Units as Transitional Housing (Homeless Option B)</v>
          </cell>
        </row>
        <row r="70">
          <cell r="D70" t="str">
            <v>• 10% - 10 Points</v>
          </cell>
        </row>
        <row r="71">
          <cell r="D71" t="str">
            <v>• 11 % - 8 Points</v>
          </cell>
        </row>
        <row r="72">
          <cell r="D72" t="str">
            <v>• 12 % - 6 Points</v>
          </cell>
        </row>
        <row r="73">
          <cell r="D73" t="str">
            <v>• 13 % - 4 Points</v>
          </cell>
        </row>
        <row r="74">
          <cell r="D74" t="str">
            <v>• 14 % - 2 Points</v>
          </cell>
        </row>
        <row r="75">
          <cell r="D75" t="str">
            <v>• ≥ 15 % - 0 Points</v>
          </cell>
        </row>
        <row r="83">
          <cell r="D83" t="str">
            <v>• Not a Targeted Area</v>
          </cell>
        </row>
        <row r="84">
          <cell r="D84" t="str">
            <v>• Difficult to Develop Area (DDA) - Five Points</v>
          </cell>
        </row>
        <row r="85">
          <cell r="D85" t="str">
            <v>• Qualified Census Tract (QCT) - Five Points</v>
          </cell>
        </row>
        <row r="86">
          <cell r="D86" t="str">
            <v>• Approved by goverining body or CEO of jurisdiction and approved by WSHFC - Five Points</v>
          </cell>
        </row>
        <row r="87">
          <cell r="D87" t="str">
            <v>• Yes - 2 Points</v>
          </cell>
        </row>
        <row r="88">
          <cell r="D88" t="str">
            <v>• No</v>
          </cell>
        </row>
        <row r="90">
          <cell r="D90" t="str">
            <v>• 30%</v>
          </cell>
        </row>
        <row r="91">
          <cell r="D91" t="str">
            <v>• 40%</v>
          </cell>
        </row>
        <row r="92">
          <cell r="D92" t="str">
            <v>• 50%</v>
          </cell>
        </row>
        <row r="93">
          <cell r="D93" t="str">
            <v>• 60%</v>
          </cell>
        </row>
      </sheetData>
      <sheetData sheetId="29">
        <row r="10">
          <cell r="C10" t="str">
            <v xml:space="preserve">Grant </v>
          </cell>
        </row>
        <row r="11">
          <cell r="C11" t="str">
            <v>Loan</v>
          </cell>
        </row>
        <row r="16">
          <cell r="C16" t="str">
            <v>Public</v>
          </cell>
        </row>
        <row r="17">
          <cell r="C17" t="str">
            <v>Private</v>
          </cell>
        </row>
        <row r="36">
          <cell r="C36" t="str">
            <v>30%</v>
          </cell>
        </row>
        <row r="37">
          <cell r="C37" t="str">
            <v>40%</v>
          </cell>
        </row>
        <row r="38">
          <cell r="C38" t="str">
            <v>50%</v>
          </cell>
        </row>
        <row r="39">
          <cell r="C39" t="str">
            <v>60%</v>
          </cell>
        </row>
        <row r="40">
          <cell r="C40" t="str">
            <v>80%</v>
          </cell>
        </row>
        <row r="42">
          <cell r="C42" t="str">
            <v>Yes or No</v>
          </cell>
        </row>
        <row r="43">
          <cell r="C43" t="str">
            <v>Yes</v>
          </cell>
        </row>
        <row r="44">
          <cell r="C44" t="str">
            <v>No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1A"/>
      <sheetName val="Form 1B"/>
      <sheetName val="Under_the_Hood"/>
      <sheetName val="Form 1C"/>
      <sheetName val="Form 1D"/>
      <sheetName val="Form 2A (Rural-NC)"/>
      <sheetName val="Form 2A (Rural-Rehab)"/>
      <sheetName val="Form 2B (Urban-NC)"/>
      <sheetName val="Form 2B (Urban-Rehab)"/>
      <sheetName val="Form 4"/>
      <sheetName val="Form 5"/>
      <sheetName val="Form 6A"/>
      <sheetName val="Form 6B"/>
      <sheetName val="Form 6C"/>
      <sheetName val="Form 6D"/>
      <sheetName val="Form 6E"/>
      <sheetName val="Form 7"/>
      <sheetName val="Form 8A "/>
      <sheetName val="Form 8B"/>
      <sheetName val="Form 8C"/>
      <sheetName val="ProForma At-A-Glance"/>
      <sheetName val="Form 8D"/>
      <sheetName val="Form 8E"/>
      <sheetName val="Form 9A"/>
      <sheetName val="Form 9B"/>
      <sheetName val="Form 9C"/>
      <sheetName val="Form 9D"/>
      <sheetName val="Form 9E"/>
      <sheetName val="Form 10"/>
      <sheetName val="Form 11"/>
      <sheetName val="LIHTC_ScoringLists"/>
      <sheetName val="HTF Rollup"/>
    </sheetNames>
    <sheetDataSet>
      <sheetData sheetId="0">
        <row r="10">
          <cell r="C10" t="str">
            <v>Enter Sponsor Name by Overtyping Here</v>
          </cell>
        </row>
      </sheetData>
      <sheetData sheetId="1">
        <row r="36">
          <cell r="I36">
            <v>0</v>
          </cell>
        </row>
      </sheetData>
      <sheetData sheetId="2">
        <row r="10">
          <cell r="C10" t="str">
            <v xml:space="preserve">Grant </v>
          </cell>
        </row>
        <row r="54">
          <cell r="C54" t="str">
            <v>General (no Special Needs)</v>
          </cell>
        </row>
        <row r="55">
          <cell r="C55" t="str">
            <v>Developmentally disabled</v>
          </cell>
        </row>
        <row r="56">
          <cell r="C56" t="str">
            <v>HIV/AIDS</v>
          </cell>
        </row>
        <row r="57">
          <cell r="C57" t="str">
            <v>Domestic violence</v>
          </cell>
        </row>
        <row r="58">
          <cell r="C58" t="str">
            <v>Substance abuse</v>
          </cell>
        </row>
        <row r="59">
          <cell r="C59" t="str">
            <v>Chronically mentally ill</v>
          </cell>
        </row>
        <row r="60">
          <cell r="C60" t="str">
            <v xml:space="preserve">Multiple special needs </v>
          </cell>
        </row>
        <row r="61">
          <cell r="C61" t="str">
            <v>Physically disabled</v>
          </cell>
        </row>
        <row r="62">
          <cell r="C62" t="str">
            <v>Youth under 18</v>
          </cell>
        </row>
        <row r="63">
          <cell r="C63" t="str">
            <v>Youth 18–24</v>
          </cell>
        </row>
        <row r="64">
          <cell r="C64" t="str">
            <v>Veteran</v>
          </cell>
        </row>
        <row r="65">
          <cell r="C65" t="str">
            <v xml:space="preserve">Other </v>
          </cell>
        </row>
        <row r="74">
          <cell r="C74" t="str">
            <v>X</v>
          </cell>
        </row>
        <row r="81">
          <cell r="C81" t="str">
            <v>Yes</v>
          </cell>
        </row>
        <row r="82">
          <cell r="C82" t="str">
            <v>Yes, ADA-Compliant</v>
          </cell>
        </row>
        <row r="83">
          <cell r="C83" t="str">
            <v>No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G20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 t="str">
            <v>Select Higher Income County</v>
          </cell>
        </row>
        <row r="3">
          <cell r="B3" t="str">
            <v>Not located in a Higher Income County</v>
          </cell>
        </row>
        <row r="4">
          <cell r="B4" t="str">
            <v>Benton</v>
          </cell>
        </row>
        <row r="5">
          <cell r="B5" t="str">
            <v>Clark</v>
          </cell>
        </row>
        <row r="6">
          <cell r="B6" t="str">
            <v>Franklin</v>
          </cell>
        </row>
        <row r="7">
          <cell r="B7" t="str">
            <v>Island</v>
          </cell>
        </row>
        <row r="8">
          <cell r="B8" t="str">
            <v>King</v>
          </cell>
        </row>
        <row r="9">
          <cell r="B9" t="str">
            <v>Kitsap</v>
          </cell>
        </row>
        <row r="10">
          <cell r="B10" t="str">
            <v xml:space="preserve">Pierce </v>
          </cell>
        </row>
        <row r="11">
          <cell r="B11" t="str">
            <v>San Juan</v>
          </cell>
        </row>
        <row r="12">
          <cell r="B12" t="str">
            <v>Skagit</v>
          </cell>
        </row>
        <row r="13">
          <cell r="B13" t="str">
            <v>Skamania</v>
          </cell>
        </row>
        <row r="14">
          <cell r="B14" t="str">
            <v>Snohomish</v>
          </cell>
        </row>
        <row r="15">
          <cell r="B15" t="str">
            <v>Thurston</v>
          </cell>
        </row>
        <row r="16">
          <cell r="B16" t="str">
            <v>Whatcom</v>
          </cell>
        </row>
        <row r="18">
          <cell r="B18" t="str">
            <v>None</v>
          </cell>
        </row>
        <row r="19">
          <cell r="B19" t="str">
            <v>Option 1:  50% @ 30% AMI, 25% @ 40% AMI, 25% @ 60% AMI (60 Points)</v>
          </cell>
        </row>
        <row r="20">
          <cell r="B20" t="str">
            <v>Option 2:  50% @ 30% AMI, 50% @ 50% AMI (60 Points)</v>
          </cell>
        </row>
        <row r="21">
          <cell r="B21" t="str">
            <v>Option 3:  50% @ 30% AMI, 30% @ 50% AMI, 20% @ 60% AMI (58 Points)</v>
          </cell>
        </row>
        <row r="22">
          <cell r="B22" t="str">
            <v>Option 4:  40% @ 30% AMI, 60% @ 50% AMI (58 Points)</v>
          </cell>
        </row>
        <row r="23">
          <cell r="B23" t="str">
            <v>Option 5:  40% @ 30%, 30% @ 40% AMI, 30% @ 60% AMI (58 Points)</v>
          </cell>
        </row>
        <row r="24">
          <cell r="B24" t="str">
            <v>Option 6:  Not Available in Higher Income Counties</v>
          </cell>
        </row>
        <row r="25">
          <cell r="B25" t="str">
            <v>Option 7:  25% @ 30% AMI, 25% @ 40% AMI, 50% @ 50% AMI (56 Points)</v>
          </cell>
        </row>
        <row r="26">
          <cell r="B26" t="str">
            <v>Option 8:  25% @ 30% AMI, 50% @ 40% AMI, 25% @ 60% AMI (56 Points)</v>
          </cell>
        </row>
        <row r="27">
          <cell r="B27" t="str">
            <v>Option 9:  50% @ 30% AMI, 25% @ 50% AMI, 25% @ 60% AMI (56 Points)</v>
          </cell>
        </row>
        <row r="28">
          <cell r="B28" t="str">
            <v>Option 10:  50% @ 30% AMI, 10% @ 40% AMI, 40% @ 60% AMI (54 Points)</v>
          </cell>
        </row>
        <row r="29">
          <cell r="B29" t="str">
            <v>Option 11:  40% @ 30a5 ami, 50% @ 50% AMI, 10% @ 60% AMI (54 Points)</v>
          </cell>
        </row>
        <row r="30">
          <cell r="B30" t="str">
            <v>Option 12:  Not Available in Higher Income Counties</v>
          </cell>
        </row>
        <row r="31">
          <cell r="B31" t="str">
            <v>Option 13:  40% @ 30% AMI, 40% @ 50% AMI, 20% @ 60% AMI (52 Points)</v>
          </cell>
        </row>
        <row r="32">
          <cell r="B32" t="str">
            <v>Option 14:  40% @ 30% AMI, 20% @ 40% AMI, 40% @ 60% AMI (52 Points)</v>
          </cell>
        </row>
        <row r="33">
          <cell r="B33" t="str">
            <v>Option 15:  50% @ 30% AMI, 50% @ 60% AMI (50 Points)</v>
          </cell>
        </row>
        <row r="34">
          <cell r="B34" t="str">
            <v>Option 16:  25% @ 30% AMI, 75% @ 50% AMI (50 Points)</v>
          </cell>
        </row>
        <row r="35">
          <cell r="B35" t="str">
            <v>Option 17:  40% @ 30% AMI, 30@ 50% AMI, 30% @ 60% AMI (50 Points)</v>
          </cell>
        </row>
        <row r="36">
          <cell r="B36" t="str">
            <v>Option 18:  Not Available in Higher Income Counties</v>
          </cell>
        </row>
        <row r="37">
          <cell r="B37" t="str">
            <v>Option 19:  Not Available in Higher Income Counties</v>
          </cell>
        </row>
        <row r="38">
          <cell r="B38" t="str">
            <v>Option 20:  Not Available in Higher Income Counties</v>
          </cell>
        </row>
        <row r="40">
          <cell r="B40" t="str">
            <v>Select Lower Income County</v>
          </cell>
        </row>
        <row r="41">
          <cell r="B41" t="str">
            <v>Not located in a Lower Income County</v>
          </cell>
        </row>
        <row r="42">
          <cell r="B42" t="str">
            <v>Adams</v>
          </cell>
        </row>
        <row r="43">
          <cell r="B43" t="str">
            <v>Asotin</v>
          </cell>
        </row>
        <row r="44">
          <cell r="B44" t="str">
            <v>Chelan</v>
          </cell>
        </row>
        <row r="45">
          <cell r="B45" t="str">
            <v>Clallam</v>
          </cell>
        </row>
        <row r="46">
          <cell r="B46" t="str">
            <v>Columbia</v>
          </cell>
        </row>
        <row r="47">
          <cell r="B47" t="str">
            <v>Cowlitz</v>
          </cell>
        </row>
        <row r="48">
          <cell r="B48" t="str">
            <v>Douglas</v>
          </cell>
        </row>
        <row r="49">
          <cell r="B49" t="str">
            <v>Ferry</v>
          </cell>
        </row>
        <row r="50">
          <cell r="B50" t="str">
            <v>Garfield</v>
          </cell>
        </row>
        <row r="51">
          <cell r="B51" t="str">
            <v>Grant</v>
          </cell>
        </row>
        <row r="52">
          <cell r="B52" t="str">
            <v>Grays Harbor</v>
          </cell>
        </row>
        <row r="53">
          <cell r="B53" t="str">
            <v>Jefferson</v>
          </cell>
        </row>
        <row r="54">
          <cell r="B54" t="str">
            <v>Kittitas</v>
          </cell>
        </row>
        <row r="55">
          <cell r="B55" t="str">
            <v>Klickitat</v>
          </cell>
        </row>
        <row r="56">
          <cell r="B56" t="str">
            <v>Lewis</v>
          </cell>
        </row>
        <row r="57">
          <cell r="B57" t="str">
            <v>Lincoln</v>
          </cell>
        </row>
        <row r="58">
          <cell r="B58" t="str">
            <v>Mason</v>
          </cell>
        </row>
        <row r="59">
          <cell r="B59" t="str">
            <v>Okanogan</v>
          </cell>
        </row>
        <row r="60">
          <cell r="B60" t="str">
            <v>Pacific</v>
          </cell>
        </row>
        <row r="61">
          <cell r="B61" t="str">
            <v>Pend Oreille</v>
          </cell>
        </row>
        <row r="62">
          <cell r="B62" t="str">
            <v>Spokane</v>
          </cell>
        </row>
        <row r="63">
          <cell r="B63" t="str">
            <v>Stevens</v>
          </cell>
        </row>
        <row r="64">
          <cell r="B64" t="str">
            <v>Wahkiakum</v>
          </cell>
        </row>
        <row r="65">
          <cell r="B65" t="str">
            <v>Walla Walla</v>
          </cell>
        </row>
        <row r="66">
          <cell r="B66" t="str">
            <v>Whitman</v>
          </cell>
        </row>
        <row r="67">
          <cell r="B67" t="str">
            <v>Yakima</v>
          </cell>
        </row>
        <row r="69">
          <cell r="B69" t="str">
            <v>None</v>
          </cell>
        </row>
        <row r="70">
          <cell r="B70" t="str">
            <v>Option 1:  Not Available in Lower Income Counties</v>
          </cell>
        </row>
        <row r="71">
          <cell r="B71" t="str">
            <v>Option 2:  Not Available in Lower Income Counties</v>
          </cell>
        </row>
        <row r="72">
          <cell r="B72" t="str">
            <v>Option 3:  Not Available in Lower Income Counties</v>
          </cell>
        </row>
        <row r="73">
          <cell r="B73" t="str">
            <v>Option 4:  40% @ 30% AMI, 60% @ 50% AMI (60 Points)</v>
          </cell>
        </row>
        <row r="74">
          <cell r="B74" t="str">
            <v>Option 5:  40% @ 30%, 30% @ 40% AMI, 30% @ 60% AMI (60 Points)</v>
          </cell>
        </row>
        <row r="75">
          <cell r="B75" t="str">
            <v>Option 6:  10% @ 30% AMI, 60% @ 40% AMI, 30% @ 50% AMI (60 Points)</v>
          </cell>
        </row>
        <row r="76">
          <cell r="B76" t="str">
            <v>Option 7:  25% @ 30% AMI, 25% @ 40% AMI, 50% @ 50% AMI (58 Points)</v>
          </cell>
        </row>
        <row r="77">
          <cell r="B77" t="str">
            <v>Option 8:  25% @ 30% AMI, 50% @ 40% AMI, 25% @ 60% AMI (58 Points)</v>
          </cell>
        </row>
        <row r="78">
          <cell r="B78" t="str">
            <v>Option 9:  Not Available in Lower Income Counties</v>
          </cell>
        </row>
        <row r="79">
          <cell r="B79" t="str">
            <v>Option 10:  Not Available in Lower Income Counties</v>
          </cell>
        </row>
        <row r="80">
          <cell r="B80" t="str">
            <v>Option 11:  40% @ 30% AMI, 50% @ 50% AMI, 10% @ 60% AMI (56 Points)</v>
          </cell>
        </row>
        <row r="81">
          <cell r="B81" t="str">
            <v>Option 12:  10% @ 30% AMI, 50% @ 40% AMI, 40% @ 50% AMI (56 Points)</v>
          </cell>
        </row>
        <row r="82">
          <cell r="B82" t="str">
            <v>Option 13:  40% @ 30% AMI, 40% @ 50% AMI, 20% @ 60% AMI (54 Points)</v>
          </cell>
        </row>
        <row r="83">
          <cell r="B83" t="str">
            <v>Option 14:  40% @ 30% AMI, 20% @ 40% AMI, 40% @ 60% AMI (54 Points)</v>
          </cell>
        </row>
        <row r="84">
          <cell r="B84" t="str">
            <v>Option 15:  Not Available in Lower Income Counties</v>
          </cell>
        </row>
        <row r="85">
          <cell r="B85" t="str">
            <v>Option 16:  25% @ 30% AMI, 75% @ 50% AMI (52 Points)</v>
          </cell>
        </row>
        <row r="86">
          <cell r="B86" t="str">
            <v>Option 17:  40% @ 30% AMI, 30@ 50% AMI, 30% @ 60% AMI (52 Points)</v>
          </cell>
        </row>
        <row r="87">
          <cell r="B87" t="str">
            <v>Option 18:  10% @ 30% AMI, 60% @ 40% AMI, 30% @ 60% AMI (52 Points)</v>
          </cell>
        </row>
        <row r="88">
          <cell r="B88" t="str">
            <v>Option 19:  50% @ 40% AMI, 50% @ 50% AMI (52 Points)</v>
          </cell>
        </row>
        <row r="89">
          <cell r="B89" t="str">
            <v>Option 20:  40% @ 40% AMI, 60% @ 50% AMI (50 Points)</v>
          </cell>
        </row>
        <row r="102">
          <cell r="B102" t="str">
            <v>No Points Taken</v>
          </cell>
        </row>
        <row r="103">
          <cell r="B103" t="str">
            <v>• 1 year - 2 points</v>
          </cell>
        </row>
        <row r="104">
          <cell r="B104" t="str">
            <v>• 2 years - 4 points</v>
          </cell>
        </row>
        <row r="105">
          <cell r="B105" t="str">
            <v>• 3 years - 6 points</v>
          </cell>
        </row>
        <row r="106">
          <cell r="B106" t="str">
            <v>• 4 years - 8 points</v>
          </cell>
        </row>
        <row r="107">
          <cell r="B107" t="str">
            <v>• 5 years - 10 points</v>
          </cell>
        </row>
        <row r="108">
          <cell r="B108" t="str">
            <v>• 6 years - 12 points</v>
          </cell>
        </row>
        <row r="109">
          <cell r="B109" t="str">
            <v>• 7 years - 14 points</v>
          </cell>
        </row>
        <row r="110">
          <cell r="B110" t="str">
            <v>• 8 years - 16 points</v>
          </cell>
        </row>
        <row r="111">
          <cell r="B111" t="str">
            <v>• 9 years - 18 points</v>
          </cell>
        </row>
        <row r="112">
          <cell r="B112" t="str">
            <v>• 10 years - 20 points</v>
          </cell>
        </row>
        <row r="113">
          <cell r="B113" t="str">
            <v>• 11 years - 22 points</v>
          </cell>
        </row>
        <row r="114">
          <cell r="B114" t="str">
            <v>• 12 years - 24 points</v>
          </cell>
        </row>
        <row r="115">
          <cell r="B115" t="str">
            <v>• 13 years -  26 points</v>
          </cell>
        </row>
        <row r="116">
          <cell r="B116" t="str">
            <v>• 14 years - 28 points</v>
          </cell>
        </row>
        <row r="117">
          <cell r="B117" t="str">
            <v>• 15 years - 30 points</v>
          </cell>
        </row>
        <row r="118">
          <cell r="B118" t="str">
            <v>• 16 years - 32 points</v>
          </cell>
        </row>
        <row r="119">
          <cell r="B119" t="str">
            <v>• 17 years - 34 points</v>
          </cell>
        </row>
        <row r="120">
          <cell r="B120" t="str">
            <v>• 18 years - 36 points</v>
          </cell>
        </row>
        <row r="121">
          <cell r="B121" t="str">
            <v>• 19 years - 38 points</v>
          </cell>
        </row>
        <row r="122">
          <cell r="B122" t="str">
            <v>• 20 years - 40 points</v>
          </cell>
        </row>
        <row r="123">
          <cell r="B123" t="str">
            <v>• 21 years - 42 points</v>
          </cell>
        </row>
        <row r="124">
          <cell r="B124" t="str">
            <v>• 22 years - 44 points</v>
          </cell>
        </row>
        <row r="126">
          <cell r="B126" t="str">
            <v>No Points Taken</v>
          </cell>
        </row>
        <row r="127">
          <cell r="B127" t="str">
            <v>75% of Total Housing Units as Supportive Housing for the Homeless - 35 Points</v>
          </cell>
        </row>
        <row r="130">
          <cell r="B130" t="str">
            <v>No Points Taken</v>
          </cell>
        </row>
        <row r="131">
          <cell r="B131" t="str">
            <v>• 20% of the Total Housing Units for Farmworkers - 10 Points</v>
          </cell>
        </row>
        <row r="132">
          <cell r="B132" t="str">
            <v>• 20% of the Total Housing Units for Large Households - 10 Points</v>
          </cell>
        </row>
        <row r="133">
          <cell r="B133" t="str">
            <v>• 20% of the Total Housing Units as Housing for Persons with Disabilities - 10 Points</v>
          </cell>
        </row>
        <row r="134">
          <cell r="B134" t="str">
            <v>• 20% of the Total Housing Units as Permanent Housing for the Homeless - 10 Points</v>
          </cell>
        </row>
        <row r="135">
          <cell r="B135" t="str">
            <v>• 20% of the Total Housing Units as Transitional Housing for the Homeless - 10 Points</v>
          </cell>
        </row>
        <row r="136">
          <cell r="B136" t="str">
            <v>• Elderly Housing Project:  Residents 62 or older - 10 Points</v>
          </cell>
        </row>
        <row r="137">
          <cell r="B137" t="str">
            <v>• Elderly Housing Project:  Residents 55 or older - 10 Points</v>
          </cell>
        </row>
        <row r="138">
          <cell r="B138" t="str">
            <v>• Elderly Housing Project: RD Section 515 program or a HUD elderly program - 10 Points</v>
          </cell>
        </row>
        <row r="140">
          <cell r="B140" t="str">
            <v>Select location</v>
          </cell>
        </row>
        <row r="141">
          <cell r="B141" t="str">
            <v>King County</v>
          </cell>
        </row>
        <row r="142">
          <cell r="B142" t="str">
            <v>Clark County</v>
          </cell>
        </row>
        <row r="143">
          <cell r="B143" t="str">
            <v>Pierce County</v>
          </cell>
        </row>
        <row r="144">
          <cell r="B144" t="str">
            <v>Spokane County</v>
          </cell>
        </row>
        <row r="145">
          <cell r="B145" t="str">
            <v>Snohomish County</v>
          </cell>
        </row>
        <row r="146">
          <cell r="B146" t="str">
            <v>Whatcom County</v>
          </cell>
        </row>
        <row r="147">
          <cell r="B147" t="str">
            <v>a Non-Metro County.  This project is not eligible for these points.</v>
          </cell>
        </row>
        <row r="171">
          <cell r="B171" t="str">
            <v>None</v>
          </cell>
        </row>
        <row r="172">
          <cell r="B172" t="str">
            <v>HUD 202</v>
          </cell>
        </row>
        <row r="173">
          <cell r="B173" t="str">
            <v>HUD 811</v>
          </cell>
        </row>
        <row r="174">
          <cell r="B174" t="str">
            <v>USDA 514</v>
          </cell>
        </row>
        <row r="175">
          <cell r="B175" t="str">
            <v>USDA 515</v>
          </cell>
        </row>
        <row r="176">
          <cell r="B176" t="str">
            <v>Other federal source preapproved by the Commission</v>
          </cell>
        </row>
        <row r="177">
          <cell r="B177" t="str">
            <v>NAHASDA Indian Housing Block Grant - NON-METRO COUNTIES ONLY</v>
          </cell>
        </row>
        <row r="179">
          <cell r="B179" t="str">
            <v>King County and has selected #4 above.</v>
          </cell>
        </row>
        <row r="180">
          <cell r="B180" t="str">
            <v>a Metro or Non-Metro County.</v>
          </cell>
        </row>
        <row r="181">
          <cell r="B181" t="str">
            <v>King County, has not selected #4 and is not eligible for these points.</v>
          </cell>
        </row>
        <row r="197">
          <cell r="B197" t="str">
            <v>Not a Historic property</v>
          </cell>
        </row>
        <row r="198">
          <cell r="B198" t="str">
            <v>Listed, or determined eligible for listing, in the National Register of Historic Places</v>
          </cell>
        </row>
        <row r="199">
          <cell r="B199" t="str">
            <v xml:space="preserve">Located in a registered Historic District </v>
          </cell>
        </row>
        <row r="201">
          <cell r="B201" t="str">
            <v>Chehalis - Non-Metro (3 Points)</v>
          </cell>
        </row>
        <row r="202">
          <cell r="B202" t="str">
            <v>Colville - Non-Metro (3 Points)</v>
          </cell>
        </row>
        <row r="203">
          <cell r="B203" t="str">
            <v>Hoh - Non-Metro (3 Points)</v>
          </cell>
        </row>
        <row r="204">
          <cell r="B204" t="str">
            <v>Kalispel - Non-Metro (3 Points)</v>
          </cell>
        </row>
        <row r="205">
          <cell r="B205" t="str">
            <v>Lower Elwha - Non-Metro (3 Points)</v>
          </cell>
        </row>
        <row r="206">
          <cell r="B206" t="str">
            <v>Makah - Non-Metro (3 Points)</v>
          </cell>
        </row>
        <row r="207">
          <cell r="B207" t="str">
            <v>Nooksack - Metro (5 Points)</v>
          </cell>
        </row>
        <row r="208">
          <cell r="B208" t="str">
            <v>Quileute - Non-Metro (3 Points)</v>
          </cell>
        </row>
        <row r="209">
          <cell r="B209" t="str">
            <v>Quinault - Non-Metro (3 Points)</v>
          </cell>
        </row>
        <row r="210">
          <cell r="B210" t="str">
            <v>Skokomish - Non-Metro (3 Points)</v>
          </cell>
        </row>
        <row r="211">
          <cell r="B211" t="str">
            <v>Spokane - Non-Metro (3 Points)</v>
          </cell>
        </row>
        <row r="212">
          <cell r="B212" t="str">
            <v>Squaxin Island - Non-Metro (3 Points)</v>
          </cell>
        </row>
        <row r="213">
          <cell r="B213" t="str">
            <v>Upper Skagit - Non-Metro (3 Points)</v>
          </cell>
        </row>
        <row r="214">
          <cell r="B214" t="str">
            <v>Yakama - Non-Metro (3 Points)</v>
          </cell>
        </row>
        <row r="216">
          <cell r="B216" t="str">
            <v>No Points Taken</v>
          </cell>
        </row>
        <row r="217">
          <cell r="B217" t="str">
            <v>Urban:  with 1/4 mile of 3 services and within 1/2 mile of a grocery store</v>
          </cell>
        </row>
        <row r="218">
          <cell r="B218" t="str">
            <v>Urban:  with 1/2 mile of 5 services and with 1/2 mile of a grocery store</v>
          </cell>
        </row>
        <row r="219">
          <cell r="B219" t="str">
            <v>Rural:  with 2 miles of 4 services, one of which is a grocery store</v>
          </cell>
        </row>
        <row r="221">
          <cell r="B221" t="str">
            <v>King County and in a TOD location.</v>
          </cell>
        </row>
        <row r="222">
          <cell r="B222" t="str">
            <v>a Metro County.  This project is not eligible for these points.</v>
          </cell>
        </row>
        <row r="223">
          <cell r="B223" t="str">
            <v>a Non-Metro County.  This project is not eligible for these points.</v>
          </cell>
        </row>
        <row r="225">
          <cell r="B225" t="str">
            <v>Select Location</v>
          </cell>
        </row>
        <row r="226">
          <cell r="B226" t="str">
            <v>in</v>
          </cell>
        </row>
        <row r="227">
          <cell r="B227" t="str">
            <v>in a Metro County and within 5 miles of</v>
          </cell>
        </row>
        <row r="228">
          <cell r="B228" t="str">
            <v>in a Non-Metro County and within 10 miles of</v>
          </cell>
        </row>
        <row r="229">
          <cell r="B229" t="str">
            <v>in King County and is not eligible for these points.</v>
          </cell>
        </row>
        <row r="231">
          <cell r="B231" t="str">
            <v>Select Job Growth Place</v>
          </cell>
        </row>
        <row r="232">
          <cell r="B232" t="str">
            <v>Airway Heights</v>
          </cell>
        </row>
        <row r="233">
          <cell r="B233" t="str">
            <v>Bainbridge Island</v>
          </cell>
        </row>
        <row r="234">
          <cell r="B234" t="str">
            <v>Battle Ground</v>
          </cell>
        </row>
        <row r="235">
          <cell r="B235" t="str">
            <v>Blaine</v>
          </cell>
        </row>
        <row r="236">
          <cell r="B236" t="str">
            <v>Bonney Lake</v>
          </cell>
        </row>
        <row r="237">
          <cell r="B237" t="str">
            <v>Bothell</v>
          </cell>
        </row>
        <row r="238">
          <cell r="B238" t="str">
            <v>Chehalis</v>
          </cell>
        </row>
        <row r="239">
          <cell r="B239" t="str">
            <v>Cheney</v>
          </cell>
        </row>
        <row r="240">
          <cell r="B240" t="str">
            <v>Clarkston</v>
          </cell>
        </row>
        <row r="241">
          <cell r="B241" t="str">
            <v>East Port Orchard CDP</v>
          </cell>
        </row>
        <row r="242">
          <cell r="B242" t="str">
            <v>Ellensburg</v>
          </cell>
        </row>
        <row r="243">
          <cell r="B243" t="str">
            <v>Ephrata</v>
          </cell>
        </row>
        <row r="244">
          <cell r="B244" t="str">
            <v>Everett</v>
          </cell>
        </row>
        <row r="245">
          <cell r="B245" t="str">
            <v>Fairwood</v>
          </cell>
        </row>
        <row r="246">
          <cell r="B246" t="str">
            <v>Ferndale</v>
          </cell>
        </row>
        <row r="247">
          <cell r="B247" t="str">
            <v>Fife</v>
          </cell>
        </row>
        <row r="248">
          <cell r="B248" t="str">
            <v>Five Corners</v>
          </cell>
        </row>
        <row r="249">
          <cell r="B249" t="str">
            <v>Fort Lewis</v>
          </cell>
        </row>
        <row r="250">
          <cell r="B250" t="str">
            <v>Grandview</v>
          </cell>
        </row>
        <row r="251">
          <cell r="B251" t="str">
            <v>Hazel Dell CDP</v>
          </cell>
        </row>
        <row r="252">
          <cell r="B252" t="str">
            <v>Hoquiam</v>
          </cell>
        </row>
        <row r="253">
          <cell r="B253" t="str">
            <v>Kennewick</v>
          </cell>
        </row>
        <row r="254">
          <cell r="B254" t="str">
            <v>Lacey</v>
          </cell>
        </row>
        <row r="255">
          <cell r="B255" t="str">
            <v>Lakewood</v>
          </cell>
        </row>
        <row r="256">
          <cell r="B256" t="str">
            <v>Longview</v>
          </cell>
        </row>
        <row r="257">
          <cell r="B257" t="str">
            <v>Mill Creek</v>
          </cell>
        </row>
        <row r="258">
          <cell r="B258" t="str">
            <v>Moses Lake</v>
          </cell>
        </row>
        <row r="259">
          <cell r="B259" t="str">
            <v>Mount Vista CDP</v>
          </cell>
        </row>
        <row r="260">
          <cell r="B260" t="str">
            <v>Mukilteo</v>
          </cell>
        </row>
        <row r="261">
          <cell r="B261" t="str">
            <v>North Lynnwood CDP</v>
          </cell>
        </row>
        <row r="262">
          <cell r="B262" t="str">
            <v>Olympia</v>
          </cell>
        </row>
        <row r="263">
          <cell r="B263" t="str">
            <v>Pasco</v>
          </cell>
        </row>
        <row r="264">
          <cell r="B264" t="str">
            <v>Port Angeles</v>
          </cell>
        </row>
        <row r="265">
          <cell r="B265" t="str">
            <v>Pullman</v>
          </cell>
        </row>
        <row r="266">
          <cell r="B266" t="str">
            <v>Richland</v>
          </cell>
        </row>
        <row r="267">
          <cell r="B267" t="str">
            <v>Salmon Creek CDP</v>
          </cell>
        </row>
        <row r="268">
          <cell r="B268" t="str">
            <v>Sequim</v>
          </cell>
        </row>
        <row r="269">
          <cell r="B269" t="str">
            <v>South Hill</v>
          </cell>
        </row>
        <row r="270">
          <cell r="B270" t="str">
            <v>Spokane</v>
          </cell>
        </row>
        <row r="271">
          <cell r="B271" t="str">
            <v>Spokane Valley</v>
          </cell>
        </row>
        <row r="272">
          <cell r="B272" t="str">
            <v>Sumner</v>
          </cell>
        </row>
        <row r="273">
          <cell r="B273" t="str">
            <v>Sunnyside</v>
          </cell>
        </row>
        <row r="274">
          <cell r="B274" t="str">
            <v>Sunnyslope CDP</v>
          </cell>
        </row>
        <row r="275">
          <cell r="B275" t="str">
            <v>Terrace Heights CDP</v>
          </cell>
        </row>
        <row r="276">
          <cell r="B276" t="str">
            <v>Tumwater</v>
          </cell>
        </row>
        <row r="277">
          <cell r="B277" t="str">
            <v>Vancouver</v>
          </cell>
        </row>
        <row r="278">
          <cell r="B278" t="str">
            <v>Walla Walla</v>
          </cell>
        </row>
        <row r="279">
          <cell r="B279" t="str">
            <v>Wenatchee</v>
          </cell>
        </row>
        <row r="280">
          <cell r="B280" t="str">
            <v>Yelm</v>
          </cell>
        </row>
        <row r="282">
          <cell r="B282" t="str">
            <v>No Points Taken</v>
          </cell>
        </row>
        <row r="283">
          <cell r="B283" t="str">
            <v>Nonprofit Only</v>
          </cell>
        </row>
        <row r="284">
          <cell r="B284" t="str">
            <v>For Profit Nonprofit Partnership</v>
          </cell>
        </row>
        <row r="285">
          <cell r="B285" t="str">
            <v>Nonprofit Sponsor Waiver</v>
          </cell>
        </row>
      </sheetData>
      <sheetData sheetId="3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rt"/>
      <sheetName val="Development Budget "/>
      <sheetName val="Operating Proforma"/>
      <sheetName val="Cash Flow"/>
      <sheetName val="Invoice Detail"/>
      <sheetName val="Rents"/>
      <sheetName val="ProForma"/>
      <sheetName val="Expense Detail"/>
      <sheetName val="Rents-NoSub"/>
      <sheetName val="ProForma-NoSub"/>
      <sheetName val="Exp Detail No-Sub"/>
      <sheetName val="PHG Loan Reconciliation"/>
      <sheetName val="PSTR"/>
      <sheetName val="Sheet1"/>
      <sheetName val="Contingency Lo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D9">
            <v>0</v>
          </cell>
          <cell r="E9">
            <v>0</v>
          </cell>
          <cell r="G9">
            <v>2099550</v>
          </cell>
          <cell r="H9">
            <v>0</v>
          </cell>
        </row>
        <row r="10">
          <cell r="D10">
            <v>0</v>
          </cell>
          <cell r="E10">
            <v>0</v>
          </cell>
          <cell r="G10">
            <v>60381</v>
          </cell>
          <cell r="H10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</row>
        <row r="14">
          <cell r="D14">
            <v>0</v>
          </cell>
          <cell r="E14">
            <v>0</v>
          </cell>
          <cell r="G14">
            <v>5736</v>
          </cell>
          <cell r="H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</row>
        <row r="17">
          <cell r="D17">
            <v>0</v>
          </cell>
          <cell r="E17">
            <v>0</v>
          </cell>
          <cell r="G17">
            <v>0</v>
          </cell>
          <cell r="H17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</row>
        <row r="23">
          <cell r="D23">
            <v>0</v>
          </cell>
          <cell r="E23">
            <v>763.5</v>
          </cell>
          <cell r="G23">
            <v>25000</v>
          </cell>
          <cell r="H23">
            <v>21190.5</v>
          </cell>
        </row>
        <row r="24">
          <cell r="D24">
            <v>0</v>
          </cell>
          <cell r="E24">
            <v>0</v>
          </cell>
          <cell r="G24">
            <v>0</v>
          </cell>
          <cell r="H24">
            <v>23791</v>
          </cell>
        </row>
        <row r="25">
          <cell r="D25">
            <v>0</v>
          </cell>
          <cell r="E25">
            <v>0</v>
          </cell>
          <cell r="G25">
            <v>0</v>
          </cell>
          <cell r="H25">
            <v>1600</v>
          </cell>
        </row>
        <row r="26">
          <cell r="D26">
            <v>0</v>
          </cell>
          <cell r="E26">
            <v>0</v>
          </cell>
          <cell r="G26">
            <v>0</v>
          </cell>
          <cell r="H26">
            <v>1587.7600000000002</v>
          </cell>
        </row>
        <row r="27">
          <cell r="D27">
            <v>0</v>
          </cell>
          <cell r="E27">
            <v>0</v>
          </cell>
          <cell r="G27">
            <v>50000</v>
          </cell>
          <cell r="H27">
            <v>0</v>
          </cell>
        </row>
        <row r="28">
          <cell r="D28">
            <v>0</v>
          </cell>
          <cell r="E28">
            <v>500</v>
          </cell>
          <cell r="G28">
            <v>3000</v>
          </cell>
          <cell r="H28">
            <v>8500</v>
          </cell>
        </row>
        <row r="29">
          <cell r="D29">
            <v>0</v>
          </cell>
          <cell r="E29">
            <v>0</v>
          </cell>
          <cell r="G29">
            <v>3700</v>
          </cell>
          <cell r="H29">
            <v>0</v>
          </cell>
        </row>
        <row r="30">
          <cell r="D30">
            <v>0</v>
          </cell>
          <cell r="E30">
            <v>0</v>
          </cell>
          <cell r="G30">
            <v>0</v>
          </cell>
          <cell r="H30">
            <v>0</v>
          </cell>
        </row>
        <row r="31">
          <cell r="D31">
            <v>0</v>
          </cell>
          <cell r="E31">
            <v>0</v>
          </cell>
          <cell r="G31">
            <v>5000</v>
          </cell>
          <cell r="H31">
            <v>0</v>
          </cell>
        </row>
        <row r="32">
          <cell r="D32">
            <v>0</v>
          </cell>
          <cell r="E32">
            <v>0</v>
          </cell>
          <cell r="G32">
            <v>593417.38999999978</v>
          </cell>
          <cell r="H32">
            <v>0</v>
          </cell>
        </row>
        <row r="33">
          <cell r="D33">
            <v>0</v>
          </cell>
          <cell r="E33">
            <v>0</v>
          </cell>
          <cell r="G33">
            <v>5000</v>
          </cell>
          <cell r="H33">
            <v>0</v>
          </cell>
        </row>
        <row r="34">
          <cell r="D34">
            <v>0</v>
          </cell>
          <cell r="E34">
            <v>0</v>
          </cell>
          <cell r="G34">
            <v>14009</v>
          </cell>
          <cell r="H34">
            <v>0</v>
          </cell>
        </row>
        <row r="35">
          <cell r="D35">
            <v>0</v>
          </cell>
          <cell r="E35">
            <v>0</v>
          </cell>
          <cell r="G35">
            <v>4088.42</v>
          </cell>
          <cell r="H35">
            <v>0</v>
          </cell>
        </row>
        <row r="36">
          <cell r="D36">
            <v>0</v>
          </cell>
          <cell r="E36">
            <v>0</v>
          </cell>
          <cell r="G36">
            <v>0</v>
          </cell>
          <cell r="H36">
            <v>0</v>
          </cell>
        </row>
        <row r="37">
          <cell r="D37">
            <v>0</v>
          </cell>
          <cell r="E37">
            <v>0</v>
          </cell>
          <cell r="G37">
            <v>155706.87</v>
          </cell>
          <cell r="H37">
            <v>0</v>
          </cell>
        </row>
        <row r="38">
          <cell r="D38">
            <v>0</v>
          </cell>
          <cell r="E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E39">
            <v>0</v>
          </cell>
          <cell r="G39">
            <v>206.8</v>
          </cell>
          <cell r="H39">
            <v>4189.1000000000004</v>
          </cell>
        </row>
        <row r="40">
          <cell r="D40">
            <v>0</v>
          </cell>
          <cell r="E40">
            <v>0</v>
          </cell>
          <cell r="G40">
            <v>12217.36</v>
          </cell>
          <cell r="H40">
            <v>0</v>
          </cell>
        </row>
        <row r="41">
          <cell r="D41">
            <v>0</v>
          </cell>
          <cell r="E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E42">
            <v>0</v>
          </cell>
          <cell r="G42">
            <v>4508</v>
          </cell>
          <cell r="H42">
            <v>103032.51</v>
          </cell>
        </row>
        <row r="43">
          <cell r="D43">
            <v>0</v>
          </cell>
          <cell r="E43">
            <v>0</v>
          </cell>
          <cell r="G43">
            <v>7302.57</v>
          </cell>
          <cell r="H43">
            <v>29936.200000000004</v>
          </cell>
        </row>
        <row r="44">
          <cell r="D44">
            <v>0</v>
          </cell>
          <cell r="E44">
            <v>0</v>
          </cell>
          <cell r="G44">
            <v>70609</v>
          </cell>
          <cell r="H44">
            <v>0</v>
          </cell>
        </row>
        <row r="45">
          <cell r="D45">
            <v>0</v>
          </cell>
          <cell r="E45">
            <v>0</v>
          </cell>
          <cell r="G45">
            <v>40.5</v>
          </cell>
          <cell r="H45">
            <v>0</v>
          </cell>
        </row>
        <row r="46">
          <cell r="D46">
            <v>0</v>
          </cell>
          <cell r="E46">
            <v>0</v>
          </cell>
          <cell r="G46">
            <v>23876.25</v>
          </cell>
          <cell r="H46">
            <v>0</v>
          </cell>
        </row>
        <row r="47">
          <cell r="D47">
            <v>0</v>
          </cell>
          <cell r="E47">
            <v>0</v>
          </cell>
          <cell r="G47">
            <v>0</v>
          </cell>
          <cell r="H47">
            <v>0</v>
          </cell>
        </row>
        <row r="48">
          <cell r="D48">
            <v>0</v>
          </cell>
          <cell r="E48">
            <v>0</v>
          </cell>
          <cell r="G48">
            <v>0</v>
          </cell>
          <cell r="H48">
            <v>0</v>
          </cell>
        </row>
        <row r="49">
          <cell r="D49">
            <v>0</v>
          </cell>
          <cell r="E49">
            <v>0</v>
          </cell>
          <cell r="G49">
            <v>128000</v>
          </cell>
          <cell r="H49">
            <v>0</v>
          </cell>
        </row>
        <row r="50">
          <cell r="D50">
            <v>0</v>
          </cell>
          <cell r="E50">
            <v>0</v>
          </cell>
          <cell r="G50">
            <v>0</v>
          </cell>
          <cell r="H50">
            <v>0</v>
          </cell>
        </row>
        <row r="51">
          <cell r="D51">
            <v>0</v>
          </cell>
          <cell r="E51">
            <v>0</v>
          </cell>
          <cell r="G51">
            <v>0</v>
          </cell>
          <cell r="H51">
            <v>0</v>
          </cell>
        </row>
        <row r="52">
          <cell r="D52">
            <v>0</v>
          </cell>
          <cell r="E52">
            <v>0</v>
          </cell>
          <cell r="G52">
            <v>0</v>
          </cell>
          <cell r="H52">
            <v>0</v>
          </cell>
        </row>
        <row r="53">
          <cell r="D53">
            <v>0</v>
          </cell>
          <cell r="E53">
            <v>0</v>
          </cell>
          <cell r="G53">
            <v>0</v>
          </cell>
          <cell r="H53">
            <v>0</v>
          </cell>
        </row>
        <row r="54">
          <cell r="D54">
            <v>0</v>
          </cell>
          <cell r="E54">
            <v>0</v>
          </cell>
          <cell r="G54">
            <v>204000</v>
          </cell>
          <cell r="H54">
            <v>0</v>
          </cell>
        </row>
        <row r="55">
          <cell r="D55">
            <v>0</v>
          </cell>
          <cell r="E55">
            <v>0</v>
          </cell>
          <cell r="G55">
            <v>0</v>
          </cell>
          <cell r="H55">
            <v>0</v>
          </cell>
        </row>
        <row r="56">
          <cell r="D56">
            <v>0</v>
          </cell>
          <cell r="E56">
            <v>0</v>
          </cell>
          <cell r="G56">
            <v>0</v>
          </cell>
          <cell r="H56">
            <v>0</v>
          </cell>
        </row>
        <row r="57">
          <cell r="D57">
            <v>0</v>
          </cell>
          <cell r="E57">
            <v>0</v>
          </cell>
          <cell r="G57">
            <v>0</v>
          </cell>
          <cell r="H57">
            <v>0</v>
          </cell>
        </row>
        <row r="58">
          <cell r="D58">
            <v>0</v>
          </cell>
          <cell r="E58">
            <v>0</v>
          </cell>
          <cell r="G58">
            <v>0</v>
          </cell>
          <cell r="H58">
            <v>0</v>
          </cell>
        </row>
        <row r="59">
          <cell r="D59">
            <v>0</v>
          </cell>
          <cell r="E59">
            <v>-1263.5</v>
          </cell>
          <cell r="G59">
            <v>0</v>
          </cell>
          <cell r="H59">
            <v>0</v>
          </cell>
        </row>
        <row r="62">
          <cell r="D62">
            <v>0</v>
          </cell>
          <cell r="E62">
            <v>0</v>
          </cell>
          <cell r="G62">
            <v>0</v>
          </cell>
          <cell r="H62">
            <v>0</v>
          </cell>
        </row>
        <row r="63">
          <cell r="D63">
            <v>0</v>
          </cell>
          <cell r="E63">
            <v>0</v>
          </cell>
          <cell r="G63">
            <v>0</v>
          </cell>
          <cell r="H63">
            <v>0</v>
          </cell>
        </row>
        <row r="64">
          <cell r="D64">
            <v>0</v>
          </cell>
          <cell r="E64">
            <v>0</v>
          </cell>
          <cell r="G64">
            <v>0</v>
          </cell>
          <cell r="H64">
            <v>0</v>
          </cell>
        </row>
        <row r="65">
          <cell r="D65">
            <v>0</v>
          </cell>
          <cell r="E65">
            <v>0</v>
          </cell>
          <cell r="G65">
            <v>0</v>
          </cell>
          <cell r="H65">
            <v>0</v>
          </cell>
        </row>
        <row r="66">
          <cell r="D66">
            <v>0</v>
          </cell>
          <cell r="E66">
            <v>0</v>
          </cell>
          <cell r="G66">
            <v>0</v>
          </cell>
          <cell r="H66">
            <v>0</v>
          </cell>
        </row>
      </sheetData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10D8D0-6B56-4020-94D3-6A43C8C818AF}" name="Table323" displayName="Table323" ref="B12:T138" totalsRowShown="0" dataDxfId="19">
  <autoFilter ref="B12:T138" xr:uid="{DE76FB49-A34A-402C-BA23-27BF4068B4E9}"/>
  <tableColumns count="19">
    <tableColumn id="1" xr3:uid="{A3717295-B858-4C4F-9EF2-6A6BC9112297}" name="Project Profile" dataDxfId="18"/>
    <tableColumn id="19" xr3:uid="{5C01955A-89EA-42D5-8A65-52FE52AD20D6}" name="Column2" dataDxfId="17"/>
    <tableColumn id="18" xr3:uid="{A685E624-7B49-4572-9B06-41281CFC2639}" name="Total ft^2" dataDxfId="16"/>
    <tableColumn id="2" xr3:uid="{B47577A7-E75F-495A-9DF0-60AB131B77AB}" name="Notes/Assumptions" dataDxfId="15"/>
    <tableColumn id="3" xr3:uid="{5F20F742-98AF-4547-82DC-3D1C07265910}" name="Contributions" dataDxfId="14" dataCellStyle="Normal_HTFPREBU.XL"/>
    <tableColumn id="4" xr3:uid="{229AA496-27F4-4A59-8244-F1BA365B5092}" name="Base Variables " dataDxfId="13" dataCellStyle="Currency"/>
    <tableColumn id="5" xr3:uid="{25D78870-7290-40EE-8783-766C6A21F621}" name="Baseline" dataDxfId="12">
      <calculatedColumnFormula>G13</calculatedColumnFormula>
    </tableColumn>
    <tableColumn id="6" xr3:uid="{79AB5C88-CA12-40DF-BAAD-2FED0B95B03F}" name="P1 Adjusted variables " dataDxfId="11" dataCellStyle="Currency"/>
    <tableColumn id="7" xr3:uid="{A175EB40-F40C-450A-9989-04CB0347D3F7}" name="P1 financing savings" dataDxfId="10">
      <calculatedColumnFormula>H13</calculatedColumnFormula>
    </tableColumn>
    <tableColumn id="11" xr3:uid="{38708EF7-500C-47A0-99B6-854839A7F86D}" name="P2 Adjusted Variable " dataDxfId="9" dataCellStyle="Currency"/>
    <tableColumn id="8" xr3:uid="{171F0EA0-11C5-4D80-B122-B9C55DF9E438}" name="P2 Fees, Permiting &amp; Tax" dataDxfId="8">
      <calculatedColumnFormula>J13</calculatedColumnFormula>
    </tableColumn>
    <tableColumn id="9" xr3:uid="{21321060-F134-4437-A22A-8BCD8A900DEC}" name="P3 Adjusted variables" dataDxfId="7"/>
    <tableColumn id="10" xr3:uid="{B438EFE5-5E3A-4DCD-AEC3-F9DC0FBE438C}" name="P3 Non-podium" dataDxfId="6">
      <calculatedColumnFormula>L13</calculatedColumnFormula>
    </tableColumn>
    <tableColumn id="15" xr3:uid="{D29D74BA-B166-4BE0-866C-22B43E8D5231}" name="P4 Adjusted variables" dataDxfId="5" dataCellStyle="Currency"/>
    <tableColumn id="14" xr3:uid="{C19934E5-18B5-4969-A391-01C1BC42ADA8}" name="P4 free land" dataDxfId="4"/>
    <tableColumn id="17" xr3:uid="{DCA5EC11-E53D-477A-8ECE-548C90699553}" name="P5 Adjusted variables2" dataDxfId="3" dataCellStyle="Currency"/>
    <tableColumn id="16" xr3:uid="{5731233A-ADDE-4410-A538-A6E4834A485B}" name="P5 All savings" dataDxfId="2"/>
    <tableColumn id="12" xr3:uid="{AD58F650-543C-42AC-AB9E-6B06B61506FA}" name="P3 Adjusted variables2" dataDxfId="1"/>
    <tableColumn id="13" xr3:uid="{30FF948D-8124-484C-9A3A-4D1EC3875B48}" name="P3 Podium High commercial " dataDxfId="0">
      <calculatedColumnFormula>N13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624A30-4BF3-4836-B11B-A5EAF0C158E8}" name="Table32" displayName="Table32" ref="B12:S136" totalsRowShown="0" dataDxfId="47">
  <autoFilter ref="B12:S136" xr:uid="{DE76FB49-A34A-402C-BA23-27BF4068B4E9}"/>
  <tableColumns count="18">
    <tableColumn id="1" xr3:uid="{003E9901-56C0-401B-BF04-94C4BAC233D6}" name="Project Profile" dataDxfId="46"/>
    <tableColumn id="18" xr3:uid="{A92EA979-F6CD-4D2B-A4D1-54511FFC1E4F}" name="Column1" dataDxfId="23"/>
    <tableColumn id="2" xr3:uid="{1B186284-A70F-4DFA-BD71-A6C882BE93E1}" name="Notes/Assumptions" dataDxfId="45"/>
    <tableColumn id="3" xr3:uid="{55A7EBD4-A462-47CC-B756-637BE4E42D4C}" name="Contributions" dataDxfId="44" dataCellStyle="Normal_HTFPREBU.XL"/>
    <tableColumn id="4" xr3:uid="{A0555552-8D21-439D-A2BB-42D568CD83DC}" name="Base Variables " dataDxfId="43" dataCellStyle="Currency"/>
    <tableColumn id="5" xr3:uid="{7EDB82CA-87C4-46D3-B3D6-90EE84DB6AE5}" name="Baseline" dataDxfId="42">
      <calculatedColumnFormula>F13</calculatedColumnFormula>
    </tableColumn>
    <tableColumn id="6" xr3:uid="{10A50975-4387-463A-B70D-991B37C9C77D}" name="P1 Adjusted variables " dataDxfId="41" dataCellStyle="Currency"/>
    <tableColumn id="7" xr3:uid="{24A78AB8-F959-4FF5-B038-A2AB0EDCDAF9}" name="P1 financing savings" dataDxfId="40">
      <calculatedColumnFormula>G13</calculatedColumnFormula>
    </tableColumn>
    <tableColumn id="11" xr3:uid="{44B4B56D-C4B6-4655-98FC-ED9B9F6A5E15}" name="P2 Adjusted Variable " dataDxfId="39" dataCellStyle="Currency"/>
    <tableColumn id="8" xr3:uid="{78AFE4EA-D112-4461-868F-CCFD9FA59DFE}" name="P2 Fees, Permiting &amp; Tax" dataDxfId="38">
      <calculatedColumnFormula>I13</calculatedColumnFormula>
    </tableColumn>
    <tableColumn id="9" xr3:uid="{63D56C14-1350-40BE-9867-64201EE2FF55}" name="P3 Adjusted variables" dataDxfId="37"/>
    <tableColumn id="10" xr3:uid="{FF879970-152F-4DED-826F-CB0DEDE337DB}" name="P3 Non-podium" dataDxfId="36">
      <calculatedColumnFormula>K13</calculatedColumnFormula>
    </tableColumn>
    <tableColumn id="15" xr3:uid="{0C33DAAD-2093-42A6-81F2-334846F46152}" name="P4 Adjusted variables" dataDxfId="35" dataCellStyle="Currency"/>
    <tableColumn id="14" xr3:uid="{4EAB7AE6-C6FD-4C41-8D82-1DF1F80F0ADE}" name="P4 free land" dataDxfId="34"/>
    <tableColumn id="17" xr3:uid="{96ECB0B0-5CE9-4479-A9FA-D43D505F22D5}" name="P5 Adjusted variables2" dataDxfId="33" dataCellStyle="Currency"/>
    <tableColumn id="16" xr3:uid="{9CA5910A-1554-4EEC-8867-6A25F7CCB843}" name="P5 All savings" dataDxfId="32"/>
    <tableColumn id="12" xr3:uid="{46BBAE8C-3A75-40F0-B39A-27A4BCDDD9EE}" name="P3 Adjusted variables2" dataDxfId="31"/>
    <tableColumn id="13" xr3:uid="{C5161F30-440A-4E74-82F3-93A8E7F92178}" name="P3 Podium High commercial " dataDxfId="30">
      <calculatedColumnFormula>M13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CB60-D298-43D4-BDE0-D8ABB4C173F0}">
  <dimension ref="A1:Y263"/>
  <sheetViews>
    <sheetView tabSelected="1" zoomScale="68" zoomScaleNormal="60" workbookViewId="0">
      <selection activeCell="C148" sqref="C148"/>
    </sheetView>
  </sheetViews>
  <sheetFormatPr defaultRowHeight="14.5" x14ac:dyDescent="0.35"/>
  <cols>
    <col min="1" max="1" width="10" bestFit="1" customWidth="1"/>
    <col min="2" max="2" width="40.1796875" bestFit="1" customWidth="1"/>
    <col min="3" max="4" width="40.1796875" customWidth="1"/>
    <col min="5" max="5" width="55.08984375" customWidth="1"/>
    <col min="6" max="6" width="16.6328125" customWidth="1"/>
    <col min="7" max="7" width="16.36328125" bestFit="1" customWidth="1"/>
    <col min="8" max="8" width="16.7265625" customWidth="1"/>
    <col min="9" max="9" width="21.54296875" customWidth="1"/>
    <col min="10" max="10" width="21.54296875" bestFit="1" customWidth="1"/>
    <col min="11" max="12" width="21.54296875" customWidth="1"/>
    <col min="13" max="13" width="19" customWidth="1"/>
    <col min="14" max="14" width="21.81640625" customWidth="1"/>
    <col min="15" max="15" width="19" customWidth="1"/>
    <col min="16" max="16" width="21.81640625" customWidth="1"/>
    <col min="17" max="17" width="19" customWidth="1"/>
    <col min="18" max="18" width="21.81640625" customWidth="1"/>
    <col min="19" max="19" width="21.36328125" customWidth="1"/>
    <col min="20" max="20" width="20.54296875" customWidth="1"/>
    <col min="21" max="21" width="21.6328125" customWidth="1"/>
    <col min="22" max="22" width="25.36328125" customWidth="1"/>
    <col min="23" max="23" width="16" bestFit="1" customWidth="1"/>
    <col min="24" max="24" width="16.90625" customWidth="1"/>
    <col min="25" max="25" width="12.08984375" bestFit="1" customWidth="1"/>
  </cols>
  <sheetData>
    <row r="1" spans="1:23" x14ac:dyDescent="0.35">
      <c r="J1" t="s">
        <v>312</v>
      </c>
    </row>
    <row r="2" spans="1:23" x14ac:dyDescent="0.35">
      <c r="B2" t="s">
        <v>313</v>
      </c>
      <c r="E2" t="s">
        <v>314</v>
      </c>
      <c r="G2" t="s">
        <v>315</v>
      </c>
      <c r="I2" t="s">
        <v>316</v>
      </c>
      <c r="J2">
        <f>J18</f>
        <v>102</v>
      </c>
      <c r="L2">
        <f>L18+J2</f>
        <v>204</v>
      </c>
      <c r="N2">
        <f>N18+L2</f>
        <v>284</v>
      </c>
      <c r="P2">
        <f>P18+N2</f>
        <v>386</v>
      </c>
      <c r="R2">
        <f>R18+P2</f>
        <v>466</v>
      </c>
    </row>
    <row r="3" spans="1:23" x14ac:dyDescent="0.35">
      <c r="B3" t="s">
        <v>317</v>
      </c>
      <c r="E3" t="s">
        <v>318</v>
      </c>
      <c r="I3" t="s">
        <v>319</v>
      </c>
      <c r="J3">
        <f>J19</f>
        <v>3</v>
      </c>
      <c r="L3">
        <f>L19+J3</f>
        <v>6</v>
      </c>
      <c r="N3">
        <f>N19+L3</f>
        <v>8</v>
      </c>
      <c r="P3">
        <f>P19+N3</f>
        <v>11</v>
      </c>
      <c r="R3">
        <f>R19+P3</f>
        <v>13</v>
      </c>
    </row>
    <row r="4" spans="1:23" x14ac:dyDescent="0.35">
      <c r="B4" t="s">
        <v>320</v>
      </c>
      <c r="E4" t="s">
        <v>321</v>
      </c>
      <c r="I4" t="s">
        <v>322</v>
      </c>
      <c r="J4">
        <f>J20</f>
        <v>105</v>
      </c>
      <c r="L4">
        <f>SUM(L2:L3)</f>
        <v>210</v>
      </c>
      <c r="N4">
        <f>SUM(N2:N3)</f>
        <v>292</v>
      </c>
      <c r="P4">
        <f>SUM(P2:P3)</f>
        <v>397</v>
      </c>
      <c r="R4">
        <f>SUM(R2:R3)</f>
        <v>479</v>
      </c>
    </row>
    <row r="5" spans="1:23" x14ac:dyDescent="0.35">
      <c r="B5" t="s">
        <v>323</v>
      </c>
      <c r="E5" t="s">
        <v>324</v>
      </c>
      <c r="I5" t="s">
        <v>282</v>
      </c>
      <c r="J5" s="15">
        <f>J25+H5</f>
        <v>30986999.94624</v>
      </c>
      <c r="K5" s="15"/>
      <c r="L5" s="15">
        <f>L25+J5</f>
        <v>59894640.479413331</v>
      </c>
      <c r="M5" s="15"/>
      <c r="N5" s="15">
        <f>N25+L5</f>
        <v>77912769.779413328</v>
      </c>
      <c r="O5" s="15"/>
      <c r="P5" s="15">
        <f>P25+N5</f>
        <v>109617841.74165332</v>
      </c>
      <c r="Q5" s="15"/>
      <c r="R5" s="15">
        <f>R25+P5</f>
        <v>125229736.35365333</v>
      </c>
    </row>
    <row r="6" spans="1:23" x14ac:dyDescent="0.35">
      <c r="B6" t="s">
        <v>325</v>
      </c>
      <c r="E6" t="s">
        <v>326</v>
      </c>
    </row>
    <row r="7" spans="1:23" x14ac:dyDescent="0.35">
      <c r="B7" t="s">
        <v>327</v>
      </c>
      <c r="E7" t="s">
        <v>328</v>
      </c>
      <c r="F7" t="s">
        <v>329</v>
      </c>
      <c r="G7" t="s">
        <v>330</v>
      </c>
      <c r="U7" t="s">
        <v>331</v>
      </c>
    </row>
    <row r="8" spans="1:23" x14ac:dyDescent="0.35">
      <c r="B8" t="s">
        <v>332</v>
      </c>
      <c r="I8" s="269" t="s">
        <v>221</v>
      </c>
      <c r="J8" s="269"/>
      <c r="K8" s="269" t="s">
        <v>222</v>
      </c>
      <c r="L8" s="269"/>
      <c r="M8" s="269" t="s">
        <v>230</v>
      </c>
      <c r="N8" s="269"/>
      <c r="O8" s="269" t="s">
        <v>243</v>
      </c>
      <c r="P8" s="269"/>
      <c r="Q8" s="269" t="s">
        <v>245</v>
      </c>
      <c r="R8" s="269"/>
      <c r="S8" s="269" t="s">
        <v>260</v>
      </c>
      <c r="T8" s="269"/>
      <c r="U8" t="s">
        <v>333</v>
      </c>
    </row>
    <row r="9" spans="1:23" ht="14.5" customHeight="1" x14ac:dyDescent="0.35">
      <c r="B9" t="s">
        <v>334</v>
      </c>
      <c r="E9" t="s">
        <v>335</v>
      </c>
      <c r="I9" s="270" t="s">
        <v>223</v>
      </c>
      <c r="J9" s="270"/>
      <c r="K9" s="270" t="s">
        <v>224</v>
      </c>
      <c r="L9" s="270"/>
      <c r="M9" s="270" t="s">
        <v>232</v>
      </c>
      <c r="N9" s="270"/>
      <c r="O9" s="270" t="s">
        <v>244</v>
      </c>
      <c r="P9" s="270"/>
      <c r="Q9" s="270" t="s">
        <v>233</v>
      </c>
      <c r="R9" s="270"/>
      <c r="S9" s="270" t="s">
        <v>235</v>
      </c>
      <c r="T9" s="270"/>
    </row>
    <row r="10" spans="1:23" x14ac:dyDescent="0.35"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</row>
    <row r="11" spans="1:23" x14ac:dyDescent="0.35">
      <c r="H11">
        <f>H14/H18</f>
        <v>588.23529411764707</v>
      </c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</row>
    <row r="12" spans="1:23" ht="15.5" x14ac:dyDescent="0.35">
      <c r="B12" s="1" t="s">
        <v>115</v>
      </c>
      <c r="C12" s="1" t="s">
        <v>336</v>
      </c>
      <c r="D12" t="s">
        <v>106</v>
      </c>
      <c r="E12" s="1" t="s">
        <v>203</v>
      </c>
      <c r="F12" t="s">
        <v>204</v>
      </c>
      <c r="G12" t="s">
        <v>205</v>
      </c>
      <c r="H12" t="s">
        <v>219</v>
      </c>
      <c r="I12" t="s">
        <v>206</v>
      </c>
      <c r="J12" t="s">
        <v>207</v>
      </c>
      <c r="K12" t="s">
        <v>225</v>
      </c>
      <c r="L12" t="s">
        <v>226</v>
      </c>
      <c r="M12" t="s">
        <v>214</v>
      </c>
      <c r="N12" t="s">
        <v>228</v>
      </c>
      <c r="O12" t="s">
        <v>242</v>
      </c>
      <c r="P12" t="s">
        <v>248</v>
      </c>
      <c r="Q12" t="s">
        <v>246</v>
      </c>
      <c r="R12" t="s">
        <v>247</v>
      </c>
      <c r="S12" t="s">
        <v>227</v>
      </c>
      <c r="T12" t="s">
        <v>215</v>
      </c>
      <c r="W12" t="s">
        <v>337</v>
      </c>
    </row>
    <row r="13" spans="1:23" ht="15.5" x14ac:dyDescent="0.35">
      <c r="B13" s="107"/>
      <c r="D13" s="163" t="s">
        <v>106</v>
      </c>
      <c r="F13" s="176"/>
      <c r="G13" s="176"/>
      <c r="H13" s="252">
        <f>H15+H14</f>
        <v>64045</v>
      </c>
      <c r="I13" s="252"/>
      <c r="J13" s="252">
        <v>62632</v>
      </c>
      <c r="K13" s="252"/>
      <c r="L13" s="252">
        <v>62632</v>
      </c>
      <c r="M13" s="253"/>
      <c r="N13" s="254">
        <f>SUM(N14,N15)</f>
        <v>47250</v>
      </c>
      <c r="O13" s="255"/>
      <c r="P13" s="252">
        <v>62632</v>
      </c>
      <c r="Q13" s="253"/>
      <c r="R13" s="254">
        <f>SUM(R14,R15)</f>
        <v>47250</v>
      </c>
      <c r="S13" s="253"/>
      <c r="T13" s="254">
        <f>SUM(T14:T15)</f>
        <v>47250</v>
      </c>
      <c r="V13" t="s">
        <v>338</v>
      </c>
      <c r="W13">
        <v>1500</v>
      </c>
    </row>
    <row r="14" spans="1:23" ht="16.5" x14ac:dyDescent="0.35">
      <c r="B14" s="3"/>
      <c r="D14" s="319" t="s">
        <v>107</v>
      </c>
      <c r="F14" s="176"/>
      <c r="G14" s="176"/>
      <c r="H14" s="8">
        <v>60000</v>
      </c>
      <c r="I14" s="8"/>
      <c r="J14" s="8">
        <v>58587</v>
      </c>
      <c r="K14" s="8"/>
      <c r="L14" s="8">
        <v>58587</v>
      </c>
      <c r="M14" s="255"/>
      <c r="N14" s="256">
        <v>46000</v>
      </c>
      <c r="O14" s="255"/>
      <c r="P14" s="8">
        <v>58587</v>
      </c>
      <c r="Q14" s="255"/>
      <c r="R14" s="256">
        <v>46000</v>
      </c>
      <c r="S14" s="255"/>
      <c r="T14" s="256">
        <v>41000</v>
      </c>
    </row>
    <row r="15" spans="1:23" ht="13.5" customHeight="1" x14ac:dyDescent="0.35">
      <c r="B15" s="3"/>
      <c r="D15" s="319" t="s">
        <v>112</v>
      </c>
      <c r="F15" s="177"/>
      <c r="G15" s="177"/>
      <c r="H15" s="8">
        <v>4045</v>
      </c>
      <c r="I15" s="8"/>
      <c r="J15" s="8">
        <v>4045</v>
      </c>
      <c r="K15" s="8"/>
      <c r="L15" s="8">
        <v>4045</v>
      </c>
      <c r="M15" s="255"/>
      <c r="N15" s="256">
        <v>1250</v>
      </c>
      <c r="O15" s="255"/>
      <c r="P15" s="8">
        <v>4045</v>
      </c>
      <c r="Q15" s="255"/>
      <c r="R15" s="256">
        <v>1250</v>
      </c>
      <c r="S15" s="255"/>
      <c r="T15" s="256">
        <v>6250</v>
      </c>
    </row>
    <row r="16" spans="1:23" ht="13.5" customHeight="1" x14ac:dyDescent="0.35">
      <c r="A16" s="197"/>
      <c r="B16" s="3"/>
      <c r="C16" s="319"/>
      <c r="D16" s="319" t="s">
        <v>231</v>
      </c>
      <c r="E16" s="134"/>
      <c r="F16" s="271"/>
      <c r="G16" s="75"/>
      <c r="H16" s="256">
        <v>15000</v>
      </c>
      <c r="I16" s="257"/>
      <c r="J16" s="257">
        <v>15000</v>
      </c>
      <c r="K16" s="257"/>
      <c r="L16" s="257">
        <v>15000</v>
      </c>
      <c r="M16" s="257"/>
      <c r="N16" s="257">
        <v>15000</v>
      </c>
      <c r="O16" s="255"/>
      <c r="P16" s="256">
        <v>15000</v>
      </c>
      <c r="Q16" s="257"/>
      <c r="R16" s="257">
        <v>15000</v>
      </c>
      <c r="S16" s="257"/>
      <c r="T16" s="257">
        <v>15000</v>
      </c>
      <c r="U16" s="3"/>
    </row>
    <row r="17" spans="2:25" x14ac:dyDescent="0.35">
      <c r="B17" s="3"/>
      <c r="D17" s="319" t="s">
        <v>108</v>
      </c>
      <c r="F17" s="176"/>
      <c r="G17" s="176"/>
      <c r="H17" s="8">
        <v>6</v>
      </c>
      <c r="I17" s="8"/>
      <c r="J17" s="8">
        <v>6</v>
      </c>
      <c r="K17" s="8"/>
      <c r="L17" s="8">
        <v>6</v>
      </c>
      <c r="M17" s="255"/>
      <c r="N17" s="256">
        <v>5</v>
      </c>
      <c r="O17" s="255"/>
      <c r="P17" s="8">
        <v>6</v>
      </c>
      <c r="Q17" s="255"/>
      <c r="R17" s="256">
        <v>5</v>
      </c>
      <c r="S17" s="255"/>
      <c r="T17" s="256">
        <v>4</v>
      </c>
      <c r="V17" t="s">
        <v>339</v>
      </c>
      <c r="W17" s="2">
        <v>1000</v>
      </c>
    </row>
    <row r="18" spans="2:25" x14ac:dyDescent="0.35">
      <c r="B18" s="3"/>
      <c r="D18" s="319" t="s">
        <v>239</v>
      </c>
      <c r="F18" s="176"/>
      <c r="G18" s="176"/>
      <c r="H18" s="8">
        <v>102</v>
      </c>
      <c r="I18" s="8"/>
      <c r="J18" s="8">
        <v>102</v>
      </c>
      <c r="K18" s="8"/>
      <c r="L18" s="8">
        <v>102</v>
      </c>
      <c r="M18" s="255"/>
      <c r="N18" s="256">
        <v>80</v>
      </c>
      <c r="O18" s="255"/>
      <c r="P18" s="8">
        <v>102</v>
      </c>
      <c r="Q18" s="255"/>
      <c r="R18" s="256">
        <v>80</v>
      </c>
      <c r="S18" s="255"/>
      <c r="T18" s="256">
        <v>56</v>
      </c>
      <c r="V18" t="s">
        <v>340</v>
      </c>
      <c r="W18" s="2">
        <v>1100</v>
      </c>
    </row>
    <row r="19" spans="2:25" x14ac:dyDescent="0.35">
      <c r="B19" s="3"/>
      <c r="D19" s="319" t="s">
        <v>2</v>
      </c>
      <c r="F19" s="176"/>
      <c r="G19" s="176"/>
      <c r="H19" s="258">
        <v>3</v>
      </c>
      <c r="I19" s="8"/>
      <c r="J19" s="8">
        <v>3</v>
      </c>
      <c r="K19" s="8"/>
      <c r="L19" s="8">
        <v>3</v>
      </c>
      <c r="M19" s="255"/>
      <c r="N19" s="256">
        <v>2</v>
      </c>
      <c r="O19" s="255"/>
      <c r="P19" s="258">
        <v>3</v>
      </c>
      <c r="Q19" s="255"/>
      <c r="R19" s="256">
        <v>2</v>
      </c>
      <c r="S19" s="255"/>
      <c r="T19" s="256">
        <v>8</v>
      </c>
      <c r="V19" t="s">
        <v>341</v>
      </c>
      <c r="W19" s="2">
        <v>600</v>
      </c>
    </row>
    <row r="20" spans="2:25" x14ac:dyDescent="0.35">
      <c r="B20" s="3"/>
      <c r="D20" s="319" t="s">
        <v>109</v>
      </c>
      <c r="F20" s="176"/>
      <c r="G20" s="176"/>
      <c r="H20" s="8">
        <f>H18+H19</f>
        <v>105</v>
      </c>
      <c r="I20" s="8"/>
      <c r="J20" s="8">
        <f>J18+J19</f>
        <v>105</v>
      </c>
      <c r="K20" s="8"/>
      <c r="L20" s="8">
        <f>L18+L19</f>
        <v>105</v>
      </c>
      <c r="M20" s="255"/>
      <c r="N20" s="256">
        <f>N19+N18</f>
        <v>82</v>
      </c>
      <c r="O20" s="255"/>
      <c r="P20" s="8">
        <f>P18+P19</f>
        <v>105</v>
      </c>
      <c r="Q20" s="255"/>
      <c r="R20" s="256">
        <f>R19+R18</f>
        <v>82</v>
      </c>
      <c r="S20" s="255"/>
      <c r="T20" s="256">
        <f>T18+T19</f>
        <v>64</v>
      </c>
      <c r="V20" t="s">
        <v>342</v>
      </c>
      <c r="W20" s="2">
        <f>SUM(W17:W19)</f>
        <v>2700</v>
      </c>
    </row>
    <row r="21" spans="2:25" x14ac:dyDescent="0.35">
      <c r="B21" s="3"/>
      <c r="D21" s="319" t="s">
        <v>167</v>
      </c>
      <c r="F21" s="176"/>
      <c r="G21" s="176"/>
      <c r="H21" s="8">
        <v>20</v>
      </c>
      <c r="I21" s="8"/>
      <c r="J21" s="8">
        <v>20</v>
      </c>
      <c r="K21" s="8"/>
      <c r="L21" s="8">
        <v>20</v>
      </c>
      <c r="M21" s="255"/>
      <c r="N21" s="256">
        <v>20</v>
      </c>
      <c r="O21" s="255"/>
      <c r="P21" s="8">
        <v>20</v>
      </c>
      <c r="Q21" s="255"/>
      <c r="R21" s="256">
        <v>20</v>
      </c>
      <c r="S21" s="255"/>
      <c r="T21" s="256">
        <v>20</v>
      </c>
    </row>
    <row r="22" spans="2:25" x14ac:dyDescent="0.35">
      <c r="B22" s="3"/>
      <c r="D22" s="319" t="s">
        <v>168</v>
      </c>
      <c r="F22" s="176"/>
      <c r="G22" s="176"/>
      <c r="H22" s="8">
        <v>16</v>
      </c>
      <c r="I22" s="8"/>
      <c r="J22" s="8">
        <v>16</v>
      </c>
      <c r="K22" s="8"/>
      <c r="L22" s="8">
        <v>16</v>
      </c>
      <c r="M22" s="255"/>
      <c r="N22" s="256">
        <v>14</v>
      </c>
      <c r="O22" s="255"/>
      <c r="P22" s="8">
        <v>16</v>
      </c>
      <c r="Q22" s="255"/>
      <c r="R22" s="256">
        <v>14</v>
      </c>
      <c r="S22" s="255"/>
      <c r="T22" s="256">
        <v>14</v>
      </c>
      <c r="V22" t="s">
        <v>343</v>
      </c>
      <c r="W22" s="2">
        <f>W20*12</f>
        <v>32400</v>
      </c>
    </row>
    <row r="23" spans="2:25" x14ac:dyDescent="0.35">
      <c r="B23" s="3"/>
      <c r="D23" s="319" t="s">
        <v>169</v>
      </c>
      <c r="F23" s="176"/>
      <c r="G23" s="176"/>
      <c r="H23" s="8">
        <f>H21+H22</f>
        <v>36</v>
      </c>
      <c r="I23" s="8"/>
      <c r="J23" s="8">
        <f>J21+J22</f>
        <v>36</v>
      </c>
      <c r="K23" s="8"/>
      <c r="L23" s="8">
        <f>L21+L22</f>
        <v>36</v>
      </c>
      <c r="M23" s="255"/>
      <c r="N23" s="256">
        <f>N21+N22</f>
        <v>34</v>
      </c>
      <c r="O23" s="255"/>
      <c r="P23" s="8">
        <f>P21+P22</f>
        <v>36</v>
      </c>
      <c r="Q23" s="255"/>
      <c r="R23" s="256">
        <f>R21+R22</f>
        <v>34</v>
      </c>
      <c r="S23" s="255"/>
      <c r="T23" s="256">
        <f>T21+T22</f>
        <v>34</v>
      </c>
    </row>
    <row r="24" spans="2:25" x14ac:dyDescent="0.35">
      <c r="B24" s="3"/>
      <c r="D24" s="319" t="s">
        <v>173</v>
      </c>
      <c r="F24" s="176"/>
      <c r="G24" s="176"/>
      <c r="H24" s="8">
        <v>8</v>
      </c>
      <c r="I24" s="8"/>
      <c r="J24" s="8">
        <v>8</v>
      </c>
      <c r="K24" s="8"/>
      <c r="L24" s="8">
        <v>8</v>
      </c>
      <c r="M24" s="255"/>
      <c r="N24" s="256">
        <v>8</v>
      </c>
      <c r="O24" s="255"/>
      <c r="P24" s="8">
        <v>8</v>
      </c>
      <c r="Q24" s="255"/>
      <c r="R24" s="256">
        <v>8</v>
      </c>
      <c r="S24" s="255"/>
      <c r="T24" s="256">
        <v>8</v>
      </c>
    </row>
    <row r="25" spans="2:25" x14ac:dyDescent="0.35">
      <c r="B25" s="3"/>
      <c r="D25" s="319" t="s">
        <v>113</v>
      </c>
      <c r="F25" s="176"/>
      <c r="G25" s="176"/>
      <c r="H25" s="15">
        <f>SUM(H28:H36,H49,H52,H56,H60,H66:H68,H73:H78,H82,H88,H96,H103,H108:H112,H115,H117:H119,H122,H126:H127,H135:H138,H59)</f>
        <v>33258221.5119</v>
      </c>
      <c r="I25" s="15"/>
      <c r="J25" s="15">
        <f t="shared" ref="J25:U25" si="0">SUM(J28:J36,J49,J52,J56,J60,J66:J68,J73:J78,J82,J88,J96,J103,J108:J112,J115,J117:J119,J122,J126:J127,J135:J138,J59)</f>
        <v>30986999.94624</v>
      </c>
      <c r="K25" s="15"/>
      <c r="L25" s="15">
        <f t="shared" si="0"/>
        <v>28907640.533173334</v>
      </c>
      <c r="M25" s="15"/>
      <c r="N25" s="15">
        <f t="shared" si="0"/>
        <v>18018129.300000001</v>
      </c>
      <c r="O25" s="15"/>
      <c r="P25" s="15">
        <f t="shared" si="0"/>
        <v>31705071.962239999</v>
      </c>
      <c r="Q25" s="15"/>
      <c r="R25" s="15">
        <f t="shared" si="0"/>
        <v>15611894.612000002</v>
      </c>
      <c r="S25" s="15"/>
      <c r="T25" s="15">
        <f t="shared" si="0"/>
        <v>22404514.600000001</v>
      </c>
      <c r="Y25" s="15">
        <f>SUM(H31:H36,H49,H52,H56,H60,H66:H68,H73:H78,H82,H88,H96,H103,H108:H112,H115,H117:H119,H122,H126:H127,H135:H138,H59)</f>
        <v>32310771.5119</v>
      </c>
    </row>
    <row r="26" spans="2:25" x14ac:dyDescent="0.35">
      <c r="B26" s="3"/>
      <c r="D26" s="319" t="s">
        <v>194</v>
      </c>
      <c r="F26" s="176"/>
      <c r="G26" s="176"/>
      <c r="H26" s="232">
        <f>H25/H20</f>
        <v>316744.96678000002</v>
      </c>
      <c r="I26" s="232"/>
      <c r="J26" s="232">
        <f>J25/J20</f>
        <v>295114.28520228574</v>
      </c>
      <c r="K26" s="232"/>
      <c r="L26" s="232">
        <f>L25/L20</f>
        <v>275310.86222069844</v>
      </c>
      <c r="M26" s="27"/>
      <c r="N26" s="27">
        <f>N25/N20</f>
        <v>219733.28414634147</v>
      </c>
      <c r="O26" s="27"/>
      <c r="P26" s="232">
        <f>P25/P20</f>
        <v>301953.06630704761</v>
      </c>
      <c r="Q26" s="27"/>
      <c r="R26" s="27">
        <f>R25/R20</f>
        <v>190388.95868292684</v>
      </c>
      <c r="S26" s="27"/>
      <c r="T26" s="27">
        <f>T25/T20</f>
        <v>350070.54062500002</v>
      </c>
      <c r="Y26" s="15">
        <f t="shared" ref="Y26:Y89" si="1">SUM(H32:H37,H50,H53,H57,H61,H67:H69,H74:H79,H83,H89,H97,H104,H109:H113,H116,H118:H120,H123,H127:H128,H136:H139,H60)</f>
        <v>47745502.574166656</v>
      </c>
    </row>
    <row r="27" spans="2:25" x14ac:dyDescent="0.35">
      <c r="B27" s="3"/>
      <c r="D27" t="s">
        <v>240</v>
      </c>
      <c r="E27" t="s">
        <v>241</v>
      </c>
      <c r="F27" s="176"/>
      <c r="G27" s="176"/>
      <c r="H27" s="17">
        <v>21000</v>
      </c>
      <c r="I27" s="17"/>
      <c r="J27" s="17">
        <v>21000</v>
      </c>
      <c r="K27" s="17"/>
      <c r="L27" s="17">
        <v>21000</v>
      </c>
      <c r="M27" s="27"/>
      <c r="N27" s="231">
        <v>21000</v>
      </c>
      <c r="O27" s="27"/>
      <c r="P27" s="17">
        <v>21000</v>
      </c>
      <c r="Q27" s="27"/>
      <c r="R27" s="231">
        <v>21000</v>
      </c>
      <c r="S27" s="231"/>
      <c r="T27" s="231">
        <f t="shared" ref="T27" si="2">(T31+T36)/T20</f>
        <v>210370.3125</v>
      </c>
      <c r="V27" t="s">
        <v>344</v>
      </c>
      <c r="W27" s="5">
        <f>W22*W13</f>
        <v>48600000</v>
      </c>
      <c r="X27" s="5"/>
      <c r="Y27" s="15">
        <f t="shared" si="1"/>
        <v>45672443.027733326</v>
      </c>
    </row>
    <row r="28" spans="2:25" ht="15.5" x14ac:dyDescent="0.35">
      <c r="B28" s="3" t="s">
        <v>345</v>
      </c>
      <c r="C28" s="135" t="s">
        <v>346</v>
      </c>
      <c r="D28" s="295" t="s">
        <v>3</v>
      </c>
      <c r="E28" s="279" t="s">
        <v>117</v>
      </c>
      <c r="F28" s="271" t="s">
        <v>201</v>
      </c>
      <c r="G28" s="56">
        <v>210</v>
      </c>
      <c r="H28" s="167">
        <f>H15*$G$28</f>
        <v>849450</v>
      </c>
      <c r="I28" s="29">
        <v>210</v>
      </c>
      <c r="J28" s="87">
        <f>J15*$I$28</f>
        <v>849450</v>
      </c>
      <c r="K28" s="29">
        <v>210</v>
      </c>
      <c r="L28" s="87">
        <f>L15*$K$28</f>
        <v>849450</v>
      </c>
      <c r="M28" s="38">
        <v>210</v>
      </c>
      <c r="N28" s="87">
        <f>M28*N15</f>
        <v>262500</v>
      </c>
      <c r="O28" s="334">
        <v>0</v>
      </c>
      <c r="P28" s="335">
        <f>P15*$M$29</f>
        <v>0</v>
      </c>
      <c r="Q28" s="336">
        <v>0</v>
      </c>
      <c r="R28" s="87">
        <f>Q28*R15</f>
        <v>0</v>
      </c>
      <c r="S28" s="210">
        <v>240</v>
      </c>
      <c r="T28" s="87">
        <f>T15*$S$28</f>
        <v>1500000</v>
      </c>
      <c r="Y28" s="15">
        <f t="shared" si="1"/>
        <v>45844447.743333332</v>
      </c>
    </row>
    <row r="29" spans="2:25" ht="15.5" x14ac:dyDescent="0.35">
      <c r="B29" s="3" t="s">
        <v>345</v>
      </c>
      <c r="C29" s="135" t="s">
        <v>347</v>
      </c>
      <c r="D29" s="295" t="s">
        <v>289</v>
      </c>
      <c r="E29" s="337"/>
      <c r="F29" s="271"/>
      <c r="G29" s="338">
        <v>2.3E-3</v>
      </c>
      <c r="H29" s="16">
        <v>98000</v>
      </c>
      <c r="I29" s="339"/>
      <c r="J29" s="16">
        <f>H29</f>
        <v>98000</v>
      </c>
      <c r="K29" s="48"/>
      <c r="L29" s="16">
        <f>J29</f>
        <v>98000</v>
      </c>
      <c r="M29" s="340"/>
      <c r="N29" s="16">
        <f>L29</f>
        <v>98000</v>
      </c>
      <c r="O29" s="48"/>
      <c r="P29" s="16"/>
      <c r="Q29" s="48"/>
      <c r="R29" s="16"/>
      <c r="S29" s="341"/>
      <c r="T29" s="16">
        <f>N29</f>
        <v>98000</v>
      </c>
      <c r="Y29" s="15">
        <f t="shared" si="1"/>
        <v>47419399.518566661</v>
      </c>
    </row>
    <row r="30" spans="2:25" ht="15.5" x14ac:dyDescent="0.35">
      <c r="B30" s="3" t="s">
        <v>345</v>
      </c>
      <c r="C30" s="135" t="s">
        <v>346</v>
      </c>
      <c r="D30" s="295" t="s">
        <v>4</v>
      </c>
      <c r="E30" s="272" t="s">
        <v>122</v>
      </c>
      <c r="F30" s="271"/>
      <c r="G30" s="57">
        <v>0</v>
      </c>
      <c r="H30" s="16"/>
      <c r="I30" s="84">
        <v>0</v>
      </c>
      <c r="J30" s="16"/>
      <c r="K30" s="84">
        <v>0</v>
      </c>
      <c r="L30" s="16"/>
      <c r="M30" s="85">
        <v>0</v>
      </c>
      <c r="N30" s="16"/>
      <c r="O30" s="57">
        <v>0</v>
      </c>
      <c r="P30" s="16"/>
      <c r="Q30" s="85">
        <v>0</v>
      </c>
      <c r="R30" s="16"/>
      <c r="S30" s="84">
        <v>0</v>
      </c>
      <c r="T30" s="16"/>
      <c r="Y30" s="15">
        <f t="shared" si="1"/>
        <v>46108680.57416667</v>
      </c>
    </row>
    <row r="31" spans="2:25" ht="15.5" x14ac:dyDescent="0.35">
      <c r="B31" s="3" t="s">
        <v>345</v>
      </c>
      <c r="C31" s="135" t="s">
        <v>347</v>
      </c>
      <c r="D31" s="302" t="s">
        <v>292</v>
      </c>
      <c r="E31" s="337"/>
      <c r="F31" s="271"/>
      <c r="G31" s="338">
        <v>5.0000000000000001E-4</v>
      </c>
      <c r="H31" s="16">
        <v>20000</v>
      </c>
      <c r="I31" s="342"/>
      <c r="J31" s="16">
        <f>H31</f>
        <v>20000</v>
      </c>
      <c r="K31" s="48"/>
      <c r="L31" s="16">
        <f>J31</f>
        <v>20000</v>
      </c>
      <c r="M31" s="85"/>
      <c r="N31" s="16">
        <f>L31</f>
        <v>20000</v>
      </c>
      <c r="O31" s="48"/>
      <c r="P31" s="16"/>
      <c r="Q31" s="48"/>
      <c r="R31" s="16"/>
      <c r="S31" s="85"/>
      <c r="T31" s="16">
        <f>N31</f>
        <v>20000</v>
      </c>
      <c r="Y31" s="15">
        <f t="shared" si="1"/>
        <v>21149427.3444</v>
      </c>
    </row>
    <row r="32" spans="2:25" ht="15.5" x14ac:dyDescent="0.35">
      <c r="B32" s="3" t="s">
        <v>1</v>
      </c>
      <c r="C32" s="343" t="s">
        <v>348</v>
      </c>
      <c r="D32" s="18" t="s">
        <v>1</v>
      </c>
      <c r="E32" s="272" t="s">
        <v>122</v>
      </c>
      <c r="F32" s="271"/>
      <c r="G32" s="57">
        <v>0</v>
      </c>
      <c r="H32" s="16"/>
      <c r="I32" s="84">
        <v>0</v>
      </c>
      <c r="J32" s="16"/>
      <c r="K32" s="84">
        <v>0</v>
      </c>
      <c r="L32" s="16"/>
      <c r="M32" s="85">
        <v>0</v>
      </c>
      <c r="N32" s="16"/>
      <c r="O32" s="57">
        <v>0</v>
      </c>
      <c r="P32" s="16"/>
      <c r="Q32" s="85">
        <v>0</v>
      </c>
      <c r="R32" s="16"/>
      <c r="S32" s="84">
        <v>0</v>
      </c>
      <c r="T32" s="16"/>
      <c r="Y32" s="15">
        <f t="shared" si="1"/>
        <v>5812272.4285666663</v>
      </c>
    </row>
    <row r="33" spans="2:25" ht="15.5" x14ac:dyDescent="0.35">
      <c r="B33" s="3" t="s">
        <v>1</v>
      </c>
      <c r="C33" s="343" t="s">
        <v>348</v>
      </c>
      <c r="D33" s="273" t="s">
        <v>20</v>
      </c>
      <c r="E33" s="153"/>
      <c r="F33" s="179"/>
      <c r="G33" s="58">
        <v>4.4798725589428783E-3</v>
      </c>
      <c r="H33" s="16"/>
      <c r="I33" s="58">
        <v>4.4798725589428783E-3</v>
      </c>
      <c r="J33" s="16"/>
      <c r="K33" s="58">
        <v>4.4798725589428783E-3</v>
      </c>
      <c r="L33" s="16"/>
      <c r="M33" s="47">
        <v>4.4798725589428783E-3</v>
      </c>
      <c r="N33" s="16"/>
      <c r="O33" s="58">
        <v>4.4798725589428783E-3</v>
      </c>
      <c r="P33" s="16"/>
      <c r="Q33" s="47">
        <v>4.4798725589428783E-3</v>
      </c>
      <c r="R33" s="16"/>
      <c r="S33" s="58">
        <v>4.4798725589428783E-3</v>
      </c>
      <c r="T33" s="16"/>
      <c r="Y33" s="15">
        <f t="shared" si="1"/>
        <v>7871291.5908333333</v>
      </c>
    </row>
    <row r="34" spans="2:25" ht="15.5" x14ac:dyDescent="0.35">
      <c r="B34" s="3" t="s">
        <v>1</v>
      </c>
      <c r="C34" s="343" t="s">
        <v>348</v>
      </c>
      <c r="D34" s="344" t="s">
        <v>5</v>
      </c>
      <c r="E34" s="274" t="s">
        <v>134</v>
      </c>
      <c r="F34" s="271" t="s">
        <v>202</v>
      </c>
      <c r="G34" s="59">
        <v>100000</v>
      </c>
      <c r="H34" s="13">
        <f>$G34+(5*(H13/H17))</f>
        <v>153370.83333333331</v>
      </c>
      <c r="I34" s="59">
        <v>100000</v>
      </c>
      <c r="J34" s="13">
        <f>$G34+(5*(J13/J17))</f>
        <v>152193.33333333331</v>
      </c>
      <c r="K34" s="59">
        <v>100000</v>
      </c>
      <c r="L34" s="13">
        <f>$G34+(5*(L13/L17))</f>
        <v>152193.33333333331</v>
      </c>
      <c r="M34" s="207">
        <v>25000</v>
      </c>
      <c r="N34" s="12">
        <f>$M34+(5*(N13/N17))</f>
        <v>72250</v>
      </c>
      <c r="O34" s="59">
        <v>100000</v>
      </c>
      <c r="P34" s="13">
        <f>$G34+(5*(P13/P17))</f>
        <v>152193.33333333331</v>
      </c>
      <c r="Q34" s="207">
        <v>25000</v>
      </c>
      <c r="R34" s="12">
        <f>$M34+(5*(R13/R17))</f>
        <v>72250</v>
      </c>
      <c r="S34" s="59">
        <v>100000</v>
      </c>
      <c r="T34" s="13">
        <f>$G34+(5*(T13/T17))</f>
        <v>159062.5</v>
      </c>
      <c r="Y34" s="15">
        <f t="shared" si="1"/>
        <v>4856121.5444</v>
      </c>
    </row>
    <row r="35" spans="2:25" ht="26.5" customHeight="1" x14ac:dyDescent="0.35">
      <c r="B35" s="3" t="s">
        <v>1</v>
      </c>
      <c r="C35" s="135" t="s">
        <v>349</v>
      </c>
      <c r="D35" s="94" t="s">
        <v>349</v>
      </c>
      <c r="E35" s="286" t="s">
        <v>135</v>
      </c>
      <c r="F35" s="271" t="s">
        <v>202</v>
      </c>
      <c r="G35" s="56">
        <v>50000</v>
      </c>
      <c r="H35" s="16">
        <f>$G$35</f>
        <v>50000</v>
      </c>
      <c r="I35" s="90">
        <v>50000</v>
      </c>
      <c r="J35" s="16">
        <f>$G$35</f>
        <v>50000</v>
      </c>
      <c r="K35" s="90">
        <v>50000</v>
      </c>
      <c r="L35" s="16">
        <f>$G$35</f>
        <v>50000</v>
      </c>
      <c r="M35" s="208">
        <v>0</v>
      </c>
      <c r="N35" s="16">
        <f>M35</f>
        <v>0</v>
      </c>
      <c r="O35" s="56">
        <v>50000</v>
      </c>
      <c r="P35" s="16">
        <f>$G$35</f>
        <v>50000</v>
      </c>
      <c r="Q35" s="208">
        <v>0</v>
      </c>
      <c r="R35" s="16">
        <f>Q35</f>
        <v>0</v>
      </c>
      <c r="S35" s="90">
        <v>50000</v>
      </c>
      <c r="T35" s="16">
        <f>$G$35</f>
        <v>50000</v>
      </c>
      <c r="Y35" s="15">
        <f t="shared" si="1"/>
        <v>6547305.1100000003</v>
      </c>
    </row>
    <row r="36" spans="2:25" ht="15.5" x14ac:dyDescent="0.35">
      <c r="B36" s="3" t="s">
        <v>1</v>
      </c>
      <c r="C36" s="135" t="s">
        <v>349</v>
      </c>
      <c r="D36" s="283" t="s">
        <v>6</v>
      </c>
      <c r="E36" s="275" t="s">
        <v>124</v>
      </c>
      <c r="F36" s="276"/>
      <c r="G36" s="60" t="s">
        <v>208</v>
      </c>
      <c r="H36" s="168">
        <f>SUM(H37:H48)</f>
        <v>19368370</v>
      </c>
      <c r="I36" s="60" t="s">
        <v>208</v>
      </c>
      <c r="J36" s="42">
        <f>SUM(J37:J48)</f>
        <v>18964252</v>
      </c>
      <c r="K36" s="133" t="s">
        <v>216</v>
      </c>
      <c r="L36" s="42">
        <f>SUM(L37:L48)*0.99</f>
        <v>18774609.48</v>
      </c>
      <c r="M36" s="39" t="s">
        <v>213</v>
      </c>
      <c r="N36" s="42">
        <f>SUM(N37:N48)</f>
        <v>10686100</v>
      </c>
      <c r="O36" s="60" t="s">
        <v>208</v>
      </c>
      <c r="P36" s="168">
        <f>SUM(P37:P48)</f>
        <v>18964252</v>
      </c>
      <c r="Q36" s="233" t="s">
        <v>234</v>
      </c>
      <c r="R36" s="42">
        <f>SUM(R37:R48)*0.99</f>
        <v>10579239</v>
      </c>
      <c r="S36" s="30" t="s">
        <v>209</v>
      </c>
      <c r="T36" s="42">
        <f>SUM(T37:T48)</f>
        <v>13443700</v>
      </c>
      <c r="Y36" s="15">
        <f t="shared" si="1"/>
        <v>6652358.1500000004</v>
      </c>
    </row>
    <row r="37" spans="2:25" ht="15.5" x14ac:dyDescent="0.35">
      <c r="B37" s="3" t="s">
        <v>1</v>
      </c>
      <c r="C37" s="135" t="s">
        <v>349</v>
      </c>
      <c r="D37" s="277" t="s">
        <v>7</v>
      </c>
      <c r="E37" s="284" t="s">
        <v>119</v>
      </c>
      <c r="F37" s="271" t="s">
        <v>201</v>
      </c>
      <c r="G37" s="61">
        <v>280</v>
      </c>
      <c r="H37" s="15">
        <f>H13*$G37</f>
        <v>17932600</v>
      </c>
      <c r="I37" s="92">
        <v>280</v>
      </c>
      <c r="J37" s="15">
        <f>J13*$I37</f>
        <v>17536960</v>
      </c>
      <c r="K37" s="92">
        <v>280</v>
      </c>
      <c r="L37" s="15">
        <f>L13*K37</f>
        <v>17536960</v>
      </c>
      <c r="M37" s="209">
        <v>200</v>
      </c>
      <c r="N37" s="16">
        <f>N13*$M37</f>
        <v>9450000</v>
      </c>
      <c r="O37" s="61">
        <v>280</v>
      </c>
      <c r="P37" s="15">
        <f>P13*$G37</f>
        <v>17536960</v>
      </c>
      <c r="Q37" s="209">
        <v>200</v>
      </c>
      <c r="R37" s="16">
        <f>R13*$M37</f>
        <v>9450000</v>
      </c>
      <c r="S37" s="131">
        <v>260</v>
      </c>
      <c r="T37" s="15">
        <f>T13*S37</f>
        <v>12285000</v>
      </c>
      <c r="Y37" s="15">
        <f t="shared" si="1"/>
        <v>6701588.1500000004</v>
      </c>
    </row>
    <row r="38" spans="2:25" ht="15.5" x14ac:dyDescent="0.35">
      <c r="B38" s="3" t="s">
        <v>1</v>
      </c>
      <c r="C38" s="135" t="s">
        <v>349</v>
      </c>
      <c r="D38" s="97" t="s">
        <v>15</v>
      </c>
      <c r="E38" s="278" t="s">
        <v>145</v>
      </c>
      <c r="F38" s="271" t="s">
        <v>202</v>
      </c>
      <c r="G38" s="62">
        <v>6.9069330781707109E-3</v>
      </c>
      <c r="I38" s="95">
        <v>6.9069330781707109E-3</v>
      </c>
      <c r="K38" s="95">
        <v>6.9069330781707109E-3</v>
      </c>
      <c r="M38" s="91">
        <v>6.9069330781707109E-3</v>
      </c>
      <c r="N38" s="16"/>
      <c r="O38" s="62">
        <v>6.9069330781707109E-3</v>
      </c>
      <c r="Q38" s="91">
        <v>6.9069330781707109E-3</v>
      </c>
      <c r="R38" s="16"/>
      <c r="S38" s="95">
        <v>6.9069330781707109E-3</v>
      </c>
      <c r="Y38" s="15">
        <f t="shared" si="1"/>
        <v>2019564</v>
      </c>
    </row>
    <row r="39" spans="2:25" ht="15.5" x14ac:dyDescent="0.35">
      <c r="B39" s="3" t="s">
        <v>1</v>
      </c>
      <c r="C39" s="135" t="s">
        <v>349</v>
      </c>
      <c r="D39" s="97" t="s">
        <v>16</v>
      </c>
      <c r="E39" s="279" t="s">
        <v>120</v>
      </c>
      <c r="F39" s="271" t="s">
        <v>201</v>
      </c>
      <c r="G39" s="63">
        <v>2100</v>
      </c>
      <c r="H39" s="169">
        <f>$G39*H20</f>
        <v>220500</v>
      </c>
      <c r="I39" s="31">
        <v>2100</v>
      </c>
      <c r="J39" s="98">
        <f>$G39*J20</f>
        <v>220500</v>
      </c>
      <c r="K39" s="31">
        <v>2100</v>
      </c>
      <c r="L39" s="98">
        <f>$G39*L20</f>
        <v>220500</v>
      </c>
      <c r="M39" s="38">
        <v>2100</v>
      </c>
      <c r="N39" s="87">
        <f>$G39*N20</f>
        <v>172200</v>
      </c>
      <c r="O39" s="63">
        <v>2100</v>
      </c>
      <c r="P39" s="169">
        <f>$G39*P20</f>
        <v>220500</v>
      </c>
      <c r="Q39" s="38">
        <v>2100</v>
      </c>
      <c r="R39" s="87">
        <f>$G39*R20</f>
        <v>172200</v>
      </c>
      <c r="S39" s="31">
        <v>2100</v>
      </c>
      <c r="T39" s="98">
        <f>$S39*T20</f>
        <v>134400</v>
      </c>
      <c r="Y39" s="15">
        <f t="shared" si="1"/>
        <v>7498817.8961333334</v>
      </c>
    </row>
    <row r="40" spans="2:25" ht="15.5" x14ac:dyDescent="0.35">
      <c r="B40" s="3" t="s">
        <v>1</v>
      </c>
      <c r="C40" s="135" t="s">
        <v>349</v>
      </c>
      <c r="D40" s="283" t="s">
        <v>8</v>
      </c>
      <c r="E40" s="279" t="s">
        <v>121</v>
      </c>
      <c r="F40" s="271" t="s">
        <v>201</v>
      </c>
      <c r="G40" s="63">
        <v>2200</v>
      </c>
      <c r="H40" s="169">
        <f>$G40*H20</f>
        <v>231000</v>
      </c>
      <c r="I40" s="31">
        <v>2200</v>
      </c>
      <c r="J40" s="98">
        <f>$G40*J20</f>
        <v>231000</v>
      </c>
      <c r="K40" s="31">
        <v>2200</v>
      </c>
      <c r="L40" s="98">
        <f>$G40*L20</f>
        <v>231000</v>
      </c>
      <c r="M40" s="38">
        <v>2200</v>
      </c>
      <c r="N40" s="87">
        <f>$G40*N20</f>
        <v>180400</v>
      </c>
      <c r="O40" s="63">
        <v>2200</v>
      </c>
      <c r="P40" s="169">
        <f>$G40*P20</f>
        <v>231000</v>
      </c>
      <c r="Q40" s="38">
        <v>2200</v>
      </c>
      <c r="R40" s="87">
        <f>$G40*R20</f>
        <v>180400</v>
      </c>
      <c r="S40" s="31">
        <v>2200</v>
      </c>
      <c r="T40" s="98">
        <f>$S40*T20</f>
        <v>140800</v>
      </c>
      <c r="Y40" s="15">
        <f t="shared" si="1"/>
        <v>6469058.9292333331</v>
      </c>
    </row>
    <row r="41" spans="2:25" ht="15.5" x14ac:dyDescent="0.35">
      <c r="B41" s="3" t="s">
        <v>1</v>
      </c>
      <c r="C41" s="135" t="s">
        <v>349</v>
      </c>
      <c r="D41" s="280" t="s">
        <v>97</v>
      </c>
      <c r="E41" s="285" t="s">
        <v>122</v>
      </c>
      <c r="F41" s="271"/>
      <c r="G41" s="62">
        <v>1.1085394058457146E-2</v>
      </c>
      <c r="I41" s="96">
        <v>1.1085394058457146E-2</v>
      </c>
      <c r="K41" s="96">
        <v>1.1085394058457146E-2</v>
      </c>
      <c r="M41" s="85">
        <v>1.1085394058457146E-2</v>
      </c>
      <c r="N41" s="16"/>
      <c r="O41" s="62">
        <v>1.1085394058457146E-2</v>
      </c>
      <c r="Q41" s="85">
        <v>1.1085394058457146E-2</v>
      </c>
      <c r="R41" s="16"/>
      <c r="S41" s="96">
        <v>1.1085394058457146E-2</v>
      </c>
      <c r="Y41" s="15">
        <f t="shared" si="1"/>
        <v>10105222.7959</v>
      </c>
    </row>
    <row r="42" spans="2:25" ht="15.5" x14ac:dyDescent="0.35">
      <c r="B42" s="3" t="s">
        <v>1</v>
      </c>
      <c r="C42" s="135" t="s">
        <v>349</v>
      </c>
      <c r="D42" s="280" t="s">
        <v>98</v>
      </c>
      <c r="E42" s="274" t="s">
        <v>123</v>
      </c>
      <c r="F42" s="271" t="s">
        <v>201</v>
      </c>
      <c r="G42" s="63">
        <v>6</v>
      </c>
      <c r="H42" s="9">
        <f>$G42*H13</f>
        <v>384270</v>
      </c>
      <c r="I42" s="63">
        <v>6</v>
      </c>
      <c r="J42" s="9">
        <f>$G42*J13</f>
        <v>375792</v>
      </c>
      <c r="K42" s="63">
        <v>6</v>
      </c>
      <c r="L42" s="9">
        <f>$G42*L13</f>
        <v>375792</v>
      </c>
      <c r="M42" s="46">
        <v>6</v>
      </c>
      <c r="N42" s="16">
        <f>$M42*N13</f>
        <v>283500</v>
      </c>
      <c r="O42" s="63">
        <v>6</v>
      </c>
      <c r="P42" s="9">
        <f>$G42*P13</f>
        <v>375792</v>
      </c>
      <c r="Q42" s="46">
        <v>6</v>
      </c>
      <c r="R42" s="16">
        <f>$M42*R13</f>
        <v>283500</v>
      </c>
      <c r="S42" s="63">
        <v>6</v>
      </c>
      <c r="T42" s="9">
        <f>$G42*T13</f>
        <v>283500</v>
      </c>
      <c r="Y42" s="15">
        <f t="shared" si="1"/>
        <v>9238766.3703808356</v>
      </c>
    </row>
    <row r="43" spans="2:25" ht="15.5" x14ac:dyDescent="0.35">
      <c r="B43" s="3" t="s">
        <v>1</v>
      </c>
      <c r="C43" s="135" t="s">
        <v>349</v>
      </c>
      <c r="D43" s="280" t="s">
        <v>9</v>
      </c>
      <c r="E43" s="281" t="s">
        <v>122</v>
      </c>
      <c r="F43" s="271" t="s">
        <v>202</v>
      </c>
      <c r="G43" s="62">
        <v>0</v>
      </c>
      <c r="I43" s="62">
        <v>0</v>
      </c>
      <c r="K43" s="62">
        <v>0</v>
      </c>
      <c r="M43" s="46">
        <v>0</v>
      </c>
      <c r="N43" s="16"/>
      <c r="O43" s="62">
        <v>0</v>
      </c>
      <c r="Q43" s="46">
        <v>0</v>
      </c>
      <c r="R43" s="16"/>
      <c r="S43" s="62">
        <v>0</v>
      </c>
      <c r="Y43" s="15">
        <f t="shared" si="1"/>
        <v>10357741.024247503</v>
      </c>
    </row>
    <row r="44" spans="2:25" ht="15.5" x14ac:dyDescent="0.35">
      <c r="B44" s="3" t="s">
        <v>86</v>
      </c>
      <c r="C44" s="153" t="s">
        <v>10</v>
      </c>
      <c r="D44" s="280" t="s">
        <v>10</v>
      </c>
      <c r="E44" s="281" t="s">
        <v>122</v>
      </c>
      <c r="F44" s="271"/>
      <c r="G44" s="62">
        <v>0</v>
      </c>
      <c r="I44" s="62">
        <v>0</v>
      </c>
      <c r="K44" s="62">
        <v>0</v>
      </c>
      <c r="M44" s="46">
        <v>0</v>
      </c>
      <c r="N44" s="16"/>
      <c r="O44" s="62">
        <v>0</v>
      </c>
      <c r="Q44" s="46">
        <v>0</v>
      </c>
      <c r="R44" s="16"/>
      <c r="S44" s="62">
        <v>0</v>
      </c>
      <c r="Y44" s="15">
        <f t="shared" si="1"/>
        <v>11081153.791147502</v>
      </c>
    </row>
    <row r="45" spans="2:25" ht="15.5" x14ac:dyDescent="0.35">
      <c r="B45" s="3" t="s">
        <v>86</v>
      </c>
      <c r="C45" s="153" t="s">
        <v>11</v>
      </c>
      <c r="D45" s="280" t="s">
        <v>11</v>
      </c>
      <c r="E45" s="281" t="s">
        <v>122</v>
      </c>
      <c r="F45" s="271"/>
      <c r="G45" s="62">
        <v>2.9863427985380358E-4</v>
      </c>
      <c r="I45" s="62">
        <v>2.9863427985380358E-4</v>
      </c>
      <c r="K45" s="62">
        <v>2.9863427985380358E-4</v>
      </c>
      <c r="M45" s="46">
        <v>2.9863427985380358E-4</v>
      </c>
      <c r="N45" s="16"/>
      <c r="O45" s="62">
        <v>2.9863427985380358E-4</v>
      </c>
      <c r="Q45" s="46">
        <v>2.9863427985380358E-4</v>
      </c>
      <c r="R45" s="16"/>
      <c r="S45" s="62">
        <v>2.9863427985380358E-4</v>
      </c>
      <c r="Y45" s="15">
        <f t="shared" si="1"/>
        <v>8985367.1097141691</v>
      </c>
    </row>
    <row r="46" spans="2:25" ht="15.5" x14ac:dyDescent="0.35">
      <c r="B46" s="3" t="s">
        <v>1</v>
      </c>
      <c r="C46" s="153" t="s">
        <v>349</v>
      </c>
      <c r="D46" s="280" t="s">
        <v>12</v>
      </c>
      <c r="E46" s="281" t="s">
        <v>122</v>
      </c>
      <c r="F46" s="271" t="s">
        <v>114</v>
      </c>
      <c r="G46" s="62">
        <v>0</v>
      </c>
      <c r="I46" s="62">
        <v>0</v>
      </c>
      <c r="K46" s="62">
        <v>0</v>
      </c>
      <c r="M46" s="46">
        <v>0</v>
      </c>
      <c r="N46" s="16"/>
      <c r="O46" s="62">
        <v>0</v>
      </c>
      <c r="Q46" s="46">
        <v>0</v>
      </c>
      <c r="R46" s="16"/>
      <c r="S46" s="62">
        <v>0</v>
      </c>
      <c r="Y46" s="15">
        <f t="shared" si="1"/>
        <v>32248977.059400003</v>
      </c>
    </row>
    <row r="47" spans="2:25" ht="15.5" x14ac:dyDescent="0.35">
      <c r="B47" s="3" t="s">
        <v>1</v>
      </c>
      <c r="C47" s="153" t="s">
        <v>349</v>
      </c>
      <c r="D47" s="280" t="s">
        <v>13</v>
      </c>
      <c r="E47" s="274" t="s">
        <v>125</v>
      </c>
      <c r="F47" s="271" t="s">
        <v>202</v>
      </c>
      <c r="G47" s="63">
        <v>300000</v>
      </c>
      <c r="H47" s="9">
        <f>G47</f>
        <v>300000</v>
      </c>
      <c r="I47" s="63">
        <v>300000</v>
      </c>
      <c r="J47" s="9">
        <f>I47</f>
        <v>300000</v>
      </c>
      <c r="K47" s="63">
        <v>300000</v>
      </c>
      <c r="L47" s="9">
        <f>J47</f>
        <v>300000</v>
      </c>
      <c r="M47" s="46">
        <v>300000</v>
      </c>
      <c r="N47" s="16">
        <f>L47</f>
        <v>300000</v>
      </c>
      <c r="O47" s="63">
        <v>300000</v>
      </c>
      <c r="P47" s="9">
        <f>O47</f>
        <v>300000</v>
      </c>
      <c r="Q47" s="46">
        <v>300000</v>
      </c>
      <c r="R47" s="16">
        <f>P47</f>
        <v>300000</v>
      </c>
      <c r="S47" s="63">
        <v>300000</v>
      </c>
      <c r="T47" s="9">
        <f>N47</f>
        <v>300000</v>
      </c>
      <c r="Y47" s="15">
        <f t="shared" si="1"/>
        <v>50454978.516641669</v>
      </c>
    </row>
    <row r="48" spans="2:25" ht="15.5" x14ac:dyDescent="0.35">
      <c r="B48" s="3" t="s">
        <v>86</v>
      </c>
      <c r="C48" s="153" t="s">
        <v>350</v>
      </c>
      <c r="D48" s="345" t="s">
        <v>87</v>
      </c>
      <c r="E48" s="274" t="s">
        <v>126</v>
      </c>
      <c r="F48" s="271" t="s">
        <v>202</v>
      </c>
      <c r="G48" s="63">
        <v>300000</v>
      </c>
      <c r="H48" s="9">
        <f>G48</f>
        <v>300000</v>
      </c>
      <c r="I48" s="63">
        <v>300000</v>
      </c>
      <c r="J48" s="9">
        <f>H48</f>
        <v>300000</v>
      </c>
      <c r="K48" s="63">
        <v>300000</v>
      </c>
      <c r="L48" s="9">
        <f>J48</f>
        <v>300000</v>
      </c>
      <c r="M48" s="46">
        <v>300000</v>
      </c>
      <c r="N48" s="16">
        <f>L48</f>
        <v>300000</v>
      </c>
      <c r="O48" s="63">
        <v>300000</v>
      </c>
      <c r="P48" s="9">
        <f>O48</f>
        <v>300000</v>
      </c>
      <c r="Q48" s="46">
        <v>300000</v>
      </c>
      <c r="R48" s="16">
        <f>P48</f>
        <v>300000</v>
      </c>
      <c r="S48" s="63">
        <v>300000</v>
      </c>
      <c r="T48" s="9">
        <f>N48</f>
        <v>300000</v>
      </c>
      <c r="Y48" s="15">
        <f t="shared" si="1"/>
        <v>46414591.459975004</v>
      </c>
    </row>
    <row r="49" spans="2:25" ht="15.5" x14ac:dyDescent="0.35">
      <c r="B49" s="3" t="s">
        <v>86</v>
      </c>
      <c r="C49" s="153" t="s">
        <v>350</v>
      </c>
      <c r="D49" s="280" t="s">
        <v>88</v>
      </c>
      <c r="E49" s="282" t="s">
        <v>118</v>
      </c>
      <c r="F49" s="346"/>
      <c r="G49" s="64"/>
      <c r="H49" s="11">
        <f>SUM(H50:H51)</f>
        <v>60000</v>
      </c>
      <c r="I49" s="64"/>
      <c r="J49" s="11">
        <f>SUM(J50:J51)</f>
        <v>60000</v>
      </c>
      <c r="K49" s="64"/>
      <c r="L49" s="11">
        <f>SUM(L50:L51)</f>
        <v>60000</v>
      </c>
      <c r="M49" s="49"/>
      <c r="N49" s="16">
        <f>SUM(N50:N51)</f>
        <v>60000</v>
      </c>
      <c r="O49" s="64"/>
      <c r="P49" s="11">
        <f>SUM(P50:P51)</f>
        <v>60000</v>
      </c>
      <c r="Q49" s="49"/>
      <c r="R49" s="16">
        <f>SUM(R50:R51)</f>
        <v>60000</v>
      </c>
      <c r="S49" s="64"/>
      <c r="T49" s="11">
        <f>SUM(T50:T51)</f>
        <v>60000</v>
      </c>
      <c r="Y49" s="15">
        <f t="shared" si="1"/>
        <v>46607824.131770007</v>
      </c>
    </row>
    <row r="50" spans="2:25" ht="15.5" x14ac:dyDescent="0.35">
      <c r="B50" s="3" t="s">
        <v>86</v>
      </c>
      <c r="C50" s="153" t="s">
        <v>350</v>
      </c>
      <c r="D50" s="280" t="s">
        <v>3</v>
      </c>
      <c r="E50" s="274" t="s">
        <v>127</v>
      </c>
      <c r="F50" s="271" t="s">
        <v>202</v>
      </c>
      <c r="G50" s="63">
        <v>50000</v>
      </c>
      <c r="H50" s="9">
        <f>G50</f>
        <v>50000</v>
      </c>
      <c r="I50" s="63">
        <v>50000</v>
      </c>
      <c r="J50" s="9">
        <f>H50</f>
        <v>50000</v>
      </c>
      <c r="K50" s="63">
        <v>50000</v>
      </c>
      <c r="L50" s="9">
        <f>J50</f>
        <v>50000</v>
      </c>
      <c r="M50" s="46">
        <v>50000</v>
      </c>
      <c r="N50" s="16">
        <f>L50</f>
        <v>50000</v>
      </c>
      <c r="O50" s="63">
        <v>50000</v>
      </c>
      <c r="P50" s="9">
        <f>O50</f>
        <v>50000</v>
      </c>
      <c r="Q50" s="46">
        <v>50000</v>
      </c>
      <c r="R50" s="16">
        <f>P50</f>
        <v>50000</v>
      </c>
      <c r="S50" s="63">
        <v>50000</v>
      </c>
      <c r="T50" s="9">
        <f>N50</f>
        <v>50000</v>
      </c>
      <c r="Y50" s="15">
        <f t="shared" si="1"/>
        <v>30275481.761236668</v>
      </c>
    </row>
    <row r="51" spans="2:25" ht="15.5" x14ac:dyDescent="0.35">
      <c r="B51" s="3" t="s">
        <v>1</v>
      </c>
      <c r="C51" s="153" t="s">
        <v>14</v>
      </c>
      <c r="D51" s="23" t="s">
        <v>90</v>
      </c>
      <c r="E51" s="274" t="s">
        <v>128</v>
      </c>
      <c r="F51" s="271" t="s">
        <v>202</v>
      </c>
      <c r="G51" s="63">
        <v>10000</v>
      </c>
      <c r="H51" s="9">
        <f>G51</f>
        <v>10000</v>
      </c>
      <c r="I51" s="63">
        <v>10000</v>
      </c>
      <c r="J51" s="9">
        <f>H51</f>
        <v>10000</v>
      </c>
      <c r="K51" s="63">
        <v>10000</v>
      </c>
      <c r="L51" s="9">
        <f>J51</f>
        <v>10000</v>
      </c>
      <c r="M51" s="46">
        <v>10000</v>
      </c>
      <c r="N51" s="16">
        <f>L51</f>
        <v>10000</v>
      </c>
      <c r="O51" s="63">
        <v>10000</v>
      </c>
      <c r="P51" s="9">
        <f>O51</f>
        <v>10000</v>
      </c>
      <c r="Q51" s="46">
        <v>10000</v>
      </c>
      <c r="R51" s="16">
        <f>P51</f>
        <v>10000</v>
      </c>
      <c r="S51" s="63">
        <v>10000</v>
      </c>
      <c r="T51" s="9">
        <f>N51</f>
        <v>10000</v>
      </c>
      <c r="Y51" s="15">
        <f t="shared" si="1"/>
        <v>11433595.646261666</v>
      </c>
    </row>
    <row r="52" spans="2:25" ht="15.5" x14ac:dyDescent="0.35">
      <c r="B52" s="3" t="s">
        <v>1</v>
      </c>
      <c r="C52" s="153" t="s">
        <v>14</v>
      </c>
      <c r="D52" s="24" t="s">
        <v>14</v>
      </c>
      <c r="E52" s="282" t="s">
        <v>118</v>
      </c>
      <c r="F52" s="183"/>
      <c r="G52" s="65"/>
      <c r="H52" s="16">
        <f>SUM(H53:H55)</f>
        <v>2517888.1000000006</v>
      </c>
      <c r="I52" s="65"/>
      <c r="J52" s="16">
        <f>SUM(J53:J55)</f>
        <v>2465352.7600000002</v>
      </c>
      <c r="K52" s="225"/>
      <c r="L52" s="16">
        <f>SUM(L53:L55)</f>
        <v>2440699.2324000001</v>
      </c>
      <c r="M52" s="50"/>
      <c r="N52" s="16">
        <f>SUM(N53:N55)</f>
        <v>1389193</v>
      </c>
      <c r="O52" s="65"/>
      <c r="P52" s="16">
        <f>SUM(P53:P55)</f>
        <v>2465352.7600000002</v>
      </c>
      <c r="Q52" s="50"/>
      <c r="R52" s="16">
        <f>SUM(R53:R55)</f>
        <v>1375301.07</v>
      </c>
      <c r="S52" s="132" t="s">
        <v>210</v>
      </c>
      <c r="T52" s="16">
        <f>SUM(T53:T55)</f>
        <v>1747681</v>
      </c>
      <c r="Y52" s="15">
        <f t="shared" si="1"/>
        <v>4413782.5759616662</v>
      </c>
    </row>
    <row r="53" spans="2:25" ht="15.5" x14ac:dyDescent="0.35">
      <c r="B53" s="3" t="s">
        <v>1</v>
      </c>
      <c r="C53" s="153" t="s">
        <v>14</v>
      </c>
      <c r="D53" s="24" t="s">
        <v>19</v>
      </c>
      <c r="E53" s="134" t="s">
        <v>129</v>
      </c>
      <c r="F53" s="184" t="s">
        <v>201</v>
      </c>
      <c r="G53" s="66">
        <v>7.0000000000000007E-2</v>
      </c>
      <c r="H53" s="15">
        <f>H36*$G53</f>
        <v>1355785.9000000001</v>
      </c>
      <c r="I53" s="66">
        <v>7.0000000000000007E-2</v>
      </c>
      <c r="J53" s="15">
        <f>J36*$G53</f>
        <v>1327497.6400000001</v>
      </c>
      <c r="K53" s="66">
        <v>7.0000000000000007E-2</v>
      </c>
      <c r="L53" s="15">
        <f>L36*$G53</f>
        <v>1314222.6636000001</v>
      </c>
      <c r="M53" s="211">
        <v>7.0000000000000007E-2</v>
      </c>
      <c r="N53" s="16">
        <f>N36*$M53</f>
        <v>748027.00000000012</v>
      </c>
      <c r="O53" s="66">
        <v>7.0000000000000007E-2</v>
      </c>
      <c r="P53" s="15">
        <f>P36*$G53</f>
        <v>1327497.6400000001</v>
      </c>
      <c r="Q53" s="211">
        <v>7.0000000000000007E-2</v>
      </c>
      <c r="R53" s="16">
        <f>R36*$M53</f>
        <v>740546.7300000001</v>
      </c>
      <c r="S53" s="66">
        <v>7.0000000000000007E-2</v>
      </c>
      <c r="T53" s="15">
        <f>T36*$G53</f>
        <v>941059.00000000012</v>
      </c>
      <c r="Y53" s="15">
        <f t="shared" si="1"/>
        <v>5238741.2678141668</v>
      </c>
    </row>
    <row r="54" spans="2:25" ht="15.5" x14ac:dyDescent="0.35">
      <c r="B54" s="3" t="s">
        <v>1</v>
      </c>
      <c r="C54" s="153" t="s">
        <v>14</v>
      </c>
      <c r="D54" s="99" t="s">
        <v>89</v>
      </c>
      <c r="E54" s="134" t="s">
        <v>136</v>
      </c>
      <c r="F54" s="184" t="s">
        <v>201</v>
      </c>
      <c r="G54" s="66">
        <v>0.05</v>
      </c>
      <c r="H54" s="15">
        <f>H36*$G54</f>
        <v>968418.5</v>
      </c>
      <c r="I54" s="66">
        <v>0.05</v>
      </c>
      <c r="J54" s="15">
        <f>J36*$G54</f>
        <v>948212.60000000009</v>
      </c>
      <c r="K54" s="66">
        <v>0.05</v>
      </c>
      <c r="L54" s="15">
        <f>L36*$G54</f>
        <v>938730.47400000005</v>
      </c>
      <c r="M54" s="211">
        <v>0.05</v>
      </c>
      <c r="N54" s="16">
        <f>N36*$G54</f>
        <v>534305</v>
      </c>
      <c r="O54" s="66">
        <v>0.05</v>
      </c>
      <c r="P54" s="15">
        <f>P36*$G54</f>
        <v>948212.60000000009</v>
      </c>
      <c r="Q54" s="211">
        <v>0.05</v>
      </c>
      <c r="R54" s="16">
        <f>R36*$G54</f>
        <v>528961.95000000007</v>
      </c>
      <c r="S54" s="66">
        <v>0.05</v>
      </c>
      <c r="T54" s="15">
        <f>T36*$G54</f>
        <v>672185</v>
      </c>
      <c r="Y54" s="15">
        <f t="shared" si="1"/>
        <v>7989483.5578141659</v>
      </c>
    </row>
    <row r="55" spans="2:25" ht="15.5" x14ac:dyDescent="0.35">
      <c r="B55" s="3" t="s">
        <v>351</v>
      </c>
      <c r="C55" s="135" t="s">
        <v>17</v>
      </c>
      <c r="D55" s="102" t="s">
        <v>17</v>
      </c>
      <c r="E55" s="147" t="s">
        <v>137</v>
      </c>
      <c r="F55" s="184" t="s">
        <v>201</v>
      </c>
      <c r="G55" s="66">
        <v>0.01</v>
      </c>
      <c r="H55" s="14">
        <f>H36*$G55</f>
        <v>193683.7</v>
      </c>
      <c r="I55" s="66">
        <v>0.01</v>
      </c>
      <c r="J55" s="14">
        <f>J36*$G55</f>
        <v>189642.52</v>
      </c>
      <c r="K55" s="66">
        <v>0.01</v>
      </c>
      <c r="L55" s="14">
        <f>L36*$G55</f>
        <v>187746.09480000002</v>
      </c>
      <c r="M55" s="212">
        <v>0.01</v>
      </c>
      <c r="N55" s="16">
        <f>N36*$G55</f>
        <v>106861</v>
      </c>
      <c r="O55" s="66">
        <v>0.01</v>
      </c>
      <c r="P55" s="14">
        <f>P36*$G55</f>
        <v>189642.52</v>
      </c>
      <c r="Q55" s="212">
        <v>0.01</v>
      </c>
      <c r="R55" s="16">
        <f>R36*$G55</f>
        <v>105792.39</v>
      </c>
      <c r="S55" s="66">
        <v>0.01</v>
      </c>
      <c r="T55" s="14">
        <f>T36*$G55</f>
        <v>134437</v>
      </c>
      <c r="Y55" s="15">
        <f t="shared" si="1"/>
        <v>7423793.7850600006</v>
      </c>
    </row>
    <row r="56" spans="2:25" ht="15.5" x14ac:dyDescent="0.35">
      <c r="B56" s="3" t="s">
        <v>351</v>
      </c>
      <c r="C56" s="347" t="s">
        <v>91</v>
      </c>
      <c r="D56" s="101" t="s">
        <v>91</v>
      </c>
      <c r="E56" s="148" t="s">
        <v>133</v>
      </c>
      <c r="F56" s="183"/>
      <c r="G56" s="189"/>
      <c r="H56" s="16">
        <f>SUM(H57:H58)</f>
        <v>2268555.4685666668</v>
      </c>
      <c r="I56" s="65"/>
      <c r="J56" s="16">
        <f>SUM(J57:J58)</f>
        <v>2222722.7129066666</v>
      </c>
      <c r="K56" s="65" t="s">
        <v>211</v>
      </c>
      <c r="L56" s="16">
        <f>SUM(L57:L58)</f>
        <v>0</v>
      </c>
      <c r="M56" s="28"/>
      <c r="N56" s="16"/>
      <c r="O56" s="189"/>
      <c r="P56" s="16">
        <f>SUM(P57:P58)</f>
        <v>2222722.7129066666</v>
      </c>
      <c r="Q56" s="28"/>
      <c r="R56" s="16"/>
      <c r="S56" s="65" t="s">
        <v>211</v>
      </c>
      <c r="T56" s="16">
        <f>SUM(T57:T58)</f>
        <v>0</v>
      </c>
      <c r="Y56" s="15">
        <f t="shared" si="1"/>
        <v>3836943.8332716664</v>
      </c>
    </row>
    <row r="57" spans="2:25" ht="15.5" x14ac:dyDescent="0.35">
      <c r="B57" s="3" t="s">
        <v>351</v>
      </c>
      <c r="C57" s="343" t="s">
        <v>92</v>
      </c>
      <c r="D57" s="99" t="s">
        <v>92</v>
      </c>
      <c r="E57" s="149" t="s">
        <v>131</v>
      </c>
      <c r="F57" s="184" t="s">
        <v>201</v>
      </c>
      <c r="G57" s="67">
        <v>0.10100000000000001</v>
      </c>
      <c r="H57" s="14">
        <f>$G57*SUM(H34:H36)</f>
        <v>1976745.8241666667</v>
      </c>
      <c r="I57" s="217">
        <v>0.10100000000000001</v>
      </c>
      <c r="J57" s="14">
        <f>$I57*SUM(J34:J36)</f>
        <v>1935810.9786666667</v>
      </c>
      <c r="K57" s="191">
        <v>0</v>
      </c>
      <c r="L57" s="14">
        <f>$K57*SUM(L34:L36)</f>
        <v>0</v>
      </c>
      <c r="M57" s="213">
        <v>0.10100000000000001</v>
      </c>
      <c r="N57" s="16">
        <f>$G57*SUM(N34:N36)</f>
        <v>1086593.3500000001</v>
      </c>
      <c r="O57" s="67">
        <v>0.10100000000000001</v>
      </c>
      <c r="P57" s="14">
        <f>$G57*SUM(P34:P36)</f>
        <v>1935810.9786666667</v>
      </c>
      <c r="Q57" s="234">
        <v>0</v>
      </c>
      <c r="R57" s="16">
        <f>$O57*SUM(R34:R36)</f>
        <v>1075800.389</v>
      </c>
      <c r="S57" s="191">
        <v>0</v>
      </c>
      <c r="T57" s="14">
        <f>$K57*SUM(T34:T36)</f>
        <v>0</v>
      </c>
      <c r="Y57" s="15">
        <f t="shared" si="1"/>
        <v>21780618.85017167</v>
      </c>
    </row>
    <row r="58" spans="2:25" ht="15.5" x14ac:dyDescent="0.35">
      <c r="B58" s="3" t="s">
        <v>352</v>
      </c>
      <c r="C58" s="135" t="s">
        <v>18</v>
      </c>
      <c r="D58" s="129" t="s">
        <v>18</v>
      </c>
      <c r="E58" s="147" t="s">
        <v>138</v>
      </c>
      <c r="F58" s="184" t="s">
        <v>201</v>
      </c>
      <c r="G58" s="67">
        <v>0.10100000000000001</v>
      </c>
      <c r="H58" s="15">
        <f>$G58*SUM(H63:H64,H53:H54,H49)</f>
        <v>291809.64440000005</v>
      </c>
      <c r="I58" s="218">
        <v>0.10100000000000001</v>
      </c>
      <c r="J58" s="15">
        <f>$I58*SUM(J63:J64,J53:J54,J49)</f>
        <v>286911.73424000002</v>
      </c>
      <c r="K58" s="192">
        <v>0</v>
      </c>
      <c r="L58" s="15">
        <f>$K58*SUM(L63:L64,L53:L54,L49)</f>
        <v>0</v>
      </c>
      <c r="M58" s="212">
        <v>0.10100000000000001</v>
      </c>
      <c r="N58" s="16">
        <f>$G58*SUM(N63:N64,N53:N54,N49)</f>
        <v>186580.53200000001</v>
      </c>
      <c r="O58" s="67">
        <v>0.10100000000000001</v>
      </c>
      <c r="P58" s="15">
        <f>$G58*SUM(P63:P64,P53:P54,P49)</f>
        <v>286911.73424000002</v>
      </c>
      <c r="Q58" s="235">
        <v>0</v>
      </c>
      <c r="R58" s="16">
        <f>$O58*SUM(R63:R64,R53:R54,R49)</f>
        <v>185285.37668000002</v>
      </c>
      <c r="S58" s="192">
        <v>0</v>
      </c>
      <c r="T58" s="15">
        <f>$K58*SUM(T63:T64,T53:T54,T49)</f>
        <v>0</v>
      </c>
      <c r="Y58" s="15">
        <f t="shared" si="1"/>
        <v>45597874.733627506</v>
      </c>
    </row>
    <row r="59" spans="2:25" ht="15.5" x14ac:dyDescent="0.35">
      <c r="B59" s="3" t="s">
        <v>1</v>
      </c>
      <c r="C59" s="348" t="s">
        <v>353</v>
      </c>
      <c r="D59" s="127" t="s">
        <v>21</v>
      </c>
      <c r="E59" s="150" t="s">
        <v>132</v>
      </c>
      <c r="F59" s="184" t="s">
        <v>202</v>
      </c>
      <c r="G59" s="67">
        <v>8.0000000000000002E-3</v>
      </c>
      <c r="H59" s="171">
        <f>H36*$G59</f>
        <v>154946.96</v>
      </c>
      <c r="I59" s="193">
        <v>0</v>
      </c>
      <c r="J59" s="130">
        <f>J36*$I59</f>
        <v>0</v>
      </c>
      <c r="K59" s="219">
        <v>8.0000000000000002E-3</v>
      </c>
      <c r="L59" s="130">
        <f>L36*$K59</f>
        <v>150196.87583999999</v>
      </c>
      <c r="M59" s="236">
        <v>8.0000000000000002E-3</v>
      </c>
      <c r="N59" s="126">
        <f>N36*$M59</f>
        <v>85488.8</v>
      </c>
      <c r="O59" s="67">
        <v>8.0000000000000002E-3</v>
      </c>
      <c r="P59" s="171">
        <f>P36*$G59</f>
        <v>151714.016</v>
      </c>
      <c r="Q59" s="237">
        <v>0</v>
      </c>
      <c r="R59" s="87">
        <f>R36*$O59</f>
        <v>84633.911999999997</v>
      </c>
      <c r="S59" s="193">
        <v>0</v>
      </c>
      <c r="T59" s="130">
        <f>T36*$K59</f>
        <v>107549.6</v>
      </c>
      <c r="Y59" s="15">
        <f t="shared" si="1"/>
        <v>27679248.536653332</v>
      </c>
    </row>
    <row r="60" spans="2:25" ht="15.5" x14ac:dyDescent="0.35">
      <c r="B60" s="3" t="s">
        <v>1</v>
      </c>
      <c r="C60" s="348" t="s">
        <v>353</v>
      </c>
      <c r="D60" s="24" t="s">
        <v>22</v>
      </c>
      <c r="E60" s="151" t="s">
        <v>133</v>
      </c>
      <c r="F60" s="183"/>
      <c r="G60" s="250">
        <v>2.5383913787573303E-3</v>
      </c>
      <c r="H60" s="11">
        <f>SUM(H61:H64)</f>
        <v>660000</v>
      </c>
      <c r="I60" s="251">
        <v>2.5383913787573303E-3</v>
      </c>
      <c r="J60" s="11">
        <f>SUM(J61:J64)</f>
        <v>660000</v>
      </c>
      <c r="K60" s="251">
        <v>2.5383913787573303E-3</v>
      </c>
      <c r="L60" s="11">
        <f>SUM(L61:L64)</f>
        <v>660000</v>
      </c>
      <c r="M60" s="251">
        <v>2.5383913787573303E-3</v>
      </c>
      <c r="N60" s="16">
        <f>SUM(N61:N64)</f>
        <v>660000</v>
      </c>
      <c r="O60" s="250">
        <v>2.5383913787573303E-3</v>
      </c>
      <c r="P60" s="11">
        <f>SUM(P61:P64)</f>
        <v>660000</v>
      </c>
      <c r="Q60" s="251">
        <v>2.5383913787573303E-3</v>
      </c>
      <c r="R60" s="16">
        <f>SUM(R61:R64)</f>
        <v>660000</v>
      </c>
      <c r="S60" s="128">
        <v>2.5383913787573303E-3</v>
      </c>
      <c r="T60" s="11">
        <f>SUM(T61:T64)</f>
        <v>730000</v>
      </c>
      <c r="Y60" s="15">
        <f t="shared" si="1"/>
        <v>9199122.6060283352</v>
      </c>
    </row>
    <row r="61" spans="2:25" ht="15.5" x14ac:dyDescent="0.35">
      <c r="B61" s="3" t="s">
        <v>1</v>
      </c>
      <c r="C61" s="348" t="s">
        <v>353</v>
      </c>
      <c r="D61" s="24" t="s">
        <v>23</v>
      </c>
      <c r="E61" s="134" t="s">
        <v>139</v>
      </c>
      <c r="F61" s="184" t="s">
        <v>114</v>
      </c>
      <c r="G61" s="68">
        <v>80000</v>
      </c>
      <c r="H61" s="9">
        <f>G61</f>
        <v>80000</v>
      </c>
      <c r="I61" s="68">
        <v>80000</v>
      </c>
      <c r="J61" s="9">
        <f>H61</f>
        <v>80000</v>
      </c>
      <c r="K61" s="68">
        <v>80000</v>
      </c>
      <c r="L61" s="9">
        <f>J61</f>
        <v>80000</v>
      </c>
      <c r="M61" s="51">
        <v>80000</v>
      </c>
      <c r="N61" s="16">
        <f>L61</f>
        <v>80000</v>
      </c>
      <c r="O61" s="68">
        <v>80000</v>
      </c>
      <c r="P61" s="9">
        <f>O61</f>
        <v>80000</v>
      </c>
      <c r="Q61" s="51">
        <v>80000</v>
      </c>
      <c r="R61" s="16">
        <f>P61</f>
        <v>80000</v>
      </c>
      <c r="S61" s="214">
        <v>150000</v>
      </c>
      <c r="T61" s="9">
        <f>S61</f>
        <v>150000</v>
      </c>
      <c r="Y61" s="15">
        <f t="shared" si="1"/>
        <v>6055916.2277091667</v>
      </c>
    </row>
    <row r="62" spans="2:25" ht="15.5" x14ac:dyDescent="0.35">
      <c r="B62" s="3" t="s">
        <v>1</v>
      </c>
      <c r="C62" s="348" t="s">
        <v>353</v>
      </c>
      <c r="D62" s="24" t="s">
        <v>24</v>
      </c>
      <c r="E62" s="152" t="s">
        <v>141</v>
      </c>
      <c r="F62" s="184" t="s">
        <v>114</v>
      </c>
      <c r="G62" s="68">
        <v>75000</v>
      </c>
      <c r="H62" s="9">
        <f t="shared" ref="H62:H64" si="3">G62</f>
        <v>75000</v>
      </c>
      <c r="I62" s="68">
        <v>75000</v>
      </c>
      <c r="J62" s="9">
        <f>H62</f>
        <v>75000</v>
      </c>
      <c r="K62" s="68">
        <v>75000</v>
      </c>
      <c r="L62" s="9">
        <f>J62</f>
        <v>75000</v>
      </c>
      <c r="M62" s="51">
        <v>75000</v>
      </c>
      <c r="N62" s="16">
        <f>L62</f>
        <v>75000</v>
      </c>
      <c r="O62" s="68">
        <v>75000</v>
      </c>
      <c r="P62" s="9">
        <f t="shared" ref="P62:P64" si="4">O62</f>
        <v>75000</v>
      </c>
      <c r="Q62" s="51">
        <v>75000</v>
      </c>
      <c r="R62" s="16">
        <f>P62</f>
        <v>75000</v>
      </c>
      <c r="S62" s="68">
        <v>75000</v>
      </c>
      <c r="T62" s="9">
        <f>S62</f>
        <v>75000</v>
      </c>
      <c r="Y62" s="15">
        <f t="shared" si="1"/>
        <v>26653499.035614166</v>
      </c>
    </row>
    <row r="63" spans="2:25" ht="15.5" x14ac:dyDescent="0.35">
      <c r="B63" s="3" t="s">
        <v>1</v>
      </c>
      <c r="C63" s="348" t="s">
        <v>353</v>
      </c>
      <c r="D63" s="24" t="s">
        <v>25</v>
      </c>
      <c r="E63" s="152" t="s">
        <v>140</v>
      </c>
      <c r="F63" s="184" t="s">
        <v>202</v>
      </c>
      <c r="G63" s="68">
        <v>300000</v>
      </c>
      <c r="H63" s="9">
        <f t="shared" si="3"/>
        <v>300000</v>
      </c>
      <c r="I63" s="68">
        <v>300000</v>
      </c>
      <c r="J63" s="9">
        <f>H63</f>
        <v>300000</v>
      </c>
      <c r="K63" s="68">
        <v>300000</v>
      </c>
      <c r="L63" s="9">
        <f>J63</f>
        <v>300000</v>
      </c>
      <c r="M63" s="51">
        <v>300000</v>
      </c>
      <c r="N63" s="16">
        <f>L63</f>
        <v>300000</v>
      </c>
      <c r="O63" s="68">
        <v>300000</v>
      </c>
      <c r="P63" s="9">
        <f t="shared" si="4"/>
        <v>300000</v>
      </c>
      <c r="Q63" s="51">
        <v>300000</v>
      </c>
      <c r="R63" s="16">
        <f>P63</f>
        <v>300000</v>
      </c>
      <c r="S63" s="68">
        <v>300000</v>
      </c>
      <c r="T63" s="9">
        <f>S63</f>
        <v>300000</v>
      </c>
      <c r="Y63" s="15">
        <f t="shared" si="1"/>
        <v>24695825.457816668</v>
      </c>
    </row>
    <row r="64" spans="2:25" ht="15.5" x14ac:dyDescent="0.35">
      <c r="B64" s="3" t="s">
        <v>86</v>
      </c>
      <c r="C64" s="153" t="s">
        <v>354</v>
      </c>
      <c r="D64" s="18" t="s">
        <v>26</v>
      </c>
      <c r="E64" s="152" t="s">
        <v>195</v>
      </c>
      <c r="F64" s="184" t="s">
        <v>202</v>
      </c>
      <c r="G64" s="68">
        <v>205000</v>
      </c>
      <c r="H64" s="9">
        <f t="shared" si="3"/>
        <v>205000</v>
      </c>
      <c r="I64" s="68">
        <v>205000</v>
      </c>
      <c r="J64" s="9">
        <f>H64</f>
        <v>205000</v>
      </c>
      <c r="K64" s="68">
        <v>205000</v>
      </c>
      <c r="L64" s="9">
        <f>J64</f>
        <v>205000</v>
      </c>
      <c r="M64" s="51">
        <v>205000</v>
      </c>
      <c r="N64" s="16">
        <f>L64</f>
        <v>205000</v>
      </c>
      <c r="O64" s="68">
        <v>205000</v>
      </c>
      <c r="P64" s="9">
        <f t="shared" si="4"/>
        <v>205000</v>
      </c>
      <c r="Q64" s="51">
        <v>205000</v>
      </c>
      <c r="R64" s="16">
        <f>P64</f>
        <v>205000</v>
      </c>
      <c r="S64" s="68">
        <v>205000</v>
      </c>
      <c r="T64" s="9">
        <f>S64</f>
        <v>205000</v>
      </c>
      <c r="Y64" s="15">
        <f t="shared" si="1"/>
        <v>7399857.5157275004</v>
      </c>
    </row>
    <row r="65" spans="1:25" ht="15.5" x14ac:dyDescent="0.35">
      <c r="B65" s="3" t="s">
        <v>86</v>
      </c>
      <c r="C65" s="153" t="s">
        <v>354</v>
      </c>
      <c r="D65" s="3" t="s">
        <v>27</v>
      </c>
      <c r="E65" s="153"/>
      <c r="F65" s="177"/>
      <c r="G65" s="55">
        <v>0</v>
      </c>
      <c r="I65" s="55">
        <v>0</v>
      </c>
      <c r="K65" s="55">
        <v>0</v>
      </c>
      <c r="M65" s="45">
        <v>0</v>
      </c>
      <c r="N65" s="16"/>
      <c r="O65" s="55">
        <v>0</v>
      </c>
      <c r="Q65" s="45">
        <v>0</v>
      </c>
      <c r="R65" s="16"/>
      <c r="S65" s="55">
        <v>0</v>
      </c>
      <c r="Y65" s="15">
        <f t="shared" si="1"/>
        <v>27653377.331470001</v>
      </c>
    </row>
    <row r="66" spans="1:25" ht="15.5" x14ac:dyDescent="0.35">
      <c r="B66" s="3" t="s">
        <v>86</v>
      </c>
      <c r="C66" s="153" t="s">
        <v>354</v>
      </c>
      <c r="D66" s="3" t="s">
        <v>28</v>
      </c>
      <c r="E66" s="152" t="s">
        <v>122</v>
      </c>
      <c r="F66" s="184" t="s">
        <v>114</v>
      </c>
      <c r="G66" s="69">
        <v>3500</v>
      </c>
      <c r="I66" s="69">
        <v>3500</v>
      </c>
      <c r="K66" s="69">
        <v>3500</v>
      </c>
      <c r="M66" s="51">
        <v>3500</v>
      </c>
      <c r="N66" s="16"/>
      <c r="O66" s="69">
        <v>3500</v>
      </c>
      <c r="Q66" s="51">
        <v>3500</v>
      </c>
      <c r="R66" s="16"/>
      <c r="S66" s="69">
        <v>3500</v>
      </c>
      <c r="Y66" s="15">
        <f t="shared" si="1"/>
        <v>48621045.15659184</v>
      </c>
    </row>
    <row r="67" spans="1:25" ht="15.5" x14ac:dyDescent="0.35">
      <c r="B67" s="3" t="s">
        <v>86</v>
      </c>
      <c r="C67" s="153" t="s">
        <v>354</v>
      </c>
      <c r="D67" s="23" t="s">
        <v>93</v>
      </c>
      <c r="E67" s="152" t="s">
        <v>122</v>
      </c>
      <c r="F67" s="184" t="s">
        <v>114</v>
      </c>
      <c r="G67" s="69">
        <v>7000</v>
      </c>
      <c r="I67" s="69">
        <v>7000</v>
      </c>
      <c r="K67" s="69">
        <v>7000</v>
      </c>
      <c r="M67" s="51">
        <v>7000</v>
      </c>
      <c r="N67" s="16"/>
      <c r="O67" s="69">
        <v>7000</v>
      </c>
      <c r="Q67" s="51">
        <v>7000</v>
      </c>
      <c r="R67" s="16"/>
      <c r="S67" s="69">
        <v>7000</v>
      </c>
      <c r="Y67" s="15">
        <f t="shared" si="1"/>
        <v>51709972.710846007</v>
      </c>
    </row>
    <row r="68" spans="1:25" ht="15.5" x14ac:dyDescent="0.35">
      <c r="B68" s="3" t="s">
        <v>86</v>
      </c>
      <c r="C68" s="153" t="s">
        <v>354</v>
      </c>
      <c r="D68" s="280" t="s">
        <v>29</v>
      </c>
      <c r="E68" s="154" t="s">
        <v>133</v>
      </c>
      <c r="F68" s="183"/>
      <c r="G68" s="65">
        <v>0</v>
      </c>
      <c r="H68" s="13">
        <f>SUM(H69:H72)</f>
        <v>1445785.9000000001</v>
      </c>
      <c r="I68" s="65">
        <v>0</v>
      </c>
      <c r="J68" s="13">
        <f>SUM(J69:J72)</f>
        <v>1417497.6400000001</v>
      </c>
      <c r="K68" s="65">
        <v>0</v>
      </c>
      <c r="L68" s="13">
        <f>SUM(L69:L72)</f>
        <v>1404222.6636000001</v>
      </c>
      <c r="M68" s="50">
        <v>0</v>
      </c>
      <c r="N68" s="13">
        <f>SUM(N69:N72)</f>
        <v>838027.00000000012</v>
      </c>
      <c r="O68" s="65">
        <v>0</v>
      </c>
      <c r="P68" s="13">
        <f>SUM(P69:P72)</f>
        <v>1417497.6400000001</v>
      </c>
      <c r="Q68" s="50">
        <v>0</v>
      </c>
      <c r="R68" s="13">
        <f>SUM(R69:R72)</f>
        <v>830546.7300000001</v>
      </c>
      <c r="S68" s="65">
        <v>0</v>
      </c>
      <c r="T68" s="13">
        <f>SUM(T69:T72)</f>
        <v>1031059.0000000001</v>
      </c>
      <c r="Y68" s="15">
        <f t="shared" si="1"/>
        <v>33349101.765155833</v>
      </c>
    </row>
    <row r="69" spans="1:25" ht="15.5" x14ac:dyDescent="0.35">
      <c r="B69" s="3" t="s">
        <v>86</v>
      </c>
      <c r="C69" s="153" t="s">
        <v>354</v>
      </c>
      <c r="D69" s="280" t="s">
        <v>30</v>
      </c>
      <c r="E69" s="281" t="s">
        <v>160</v>
      </c>
      <c r="F69" s="271" t="s">
        <v>114</v>
      </c>
      <c r="G69" s="63">
        <v>50000</v>
      </c>
      <c r="H69" s="9">
        <f>G69</f>
        <v>50000</v>
      </c>
      <c r="I69" s="63">
        <v>50000</v>
      </c>
      <c r="J69" s="9">
        <f>H69</f>
        <v>50000</v>
      </c>
      <c r="K69" s="63">
        <v>50000</v>
      </c>
      <c r="L69" s="9">
        <f>J69</f>
        <v>50000</v>
      </c>
      <c r="M69" s="46">
        <v>50000</v>
      </c>
      <c r="N69" s="16">
        <f>L69</f>
        <v>50000</v>
      </c>
      <c r="O69" s="63">
        <v>50000</v>
      </c>
      <c r="P69" s="9">
        <f>O69</f>
        <v>50000</v>
      </c>
      <c r="Q69" s="46">
        <v>50000</v>
      </c>
      <c r="R69" s="16">
        <f>P69</f>
        <v>50000</v>
      </c>
      <c r="S69" s="63">
        <v>50000</v>
      </c>
      <c r="T69" s="9">
        <f>N69</f>
        <v>50000</v>
      </c>
      <c r="Y69" s="15">
        <f t="shared" si="1"/>
        <v>34557660.907735832</v>
      </c>
    </row>
    <row r="70" spans="1:25" ht="15.5" x14ac:dyDescent="0.35">
      <c r="B70" s="3" t="s">
        <v>86</v>
      </c>
      <c r="C70" s="153" t="s">
        <v>354</v>
      </c>
      <c r="D70" s="280" t="s">
        <v>31</v>
      </c>
      <c r="E70" s="274" t="s">
        <v>142</v>
      </c>
      <c r="F70" s="271" t="s">
        <v>202</v>
      </c>
      <c r="G70" s="62">
        <v>7.0000000000000007E-2</v>
      </c>
      <c r="H70" s="15">
        <f>$G70*H36</f>
        <v>1355785.9000000001</v>
      </c>
      <c r="I70" s="62">
        <v>7.0000000000000007E-2</v>
      </c>
      <c r="J70" s="15">
        <f>$G70*J36</f>
        <v>1327497.6400000001</v>
      </c>
      <c r="K70" s="194">
        <v>7.0000000000000007E-2</v>
      </c>
      <c r="L70" s="15">
        <f>$G70*L36</f>
        <v>1314222.6636000001</v>
      </c>
      <c r="M70" s="216">
        <v>7.0000000000000007E-2</v>
      </c>
      <c r="N70" s="16">
        <f>$M70*N36</f>
        <v>748027.00000000012</v>
      </c>
      <c r="O70" s="62">
        <v>7.0000000000000007E-2</v>
      </c>
      <c r="P70" s="15">
        <f>$G70*P36</f>
        <v>1327497.6400000001</v>
      </c>
      <c r="Q70" s="216">
        <v>7.0000000000000007E-2</v>
      </c>
      <c r="R70" s="238">
        <f>$O70*R36</f>
        <v>740546.7300000001</v>
      </c>
      <c r="S70" s="194">
        <v>7.0000000000000007E-2</v>
      </c>
      <c r="T70" s="15">
        <f>$G70*T36</f>
        <v>941059.00000000012</v>
      </c>
      <c r="Y70" s="15">
        <f t="shared" si="1"/>
        <v>28853151.823914833</v>
      </c>
    </row>
    <row r="71" spans="1:25" ht="15.5" x14ac:dyDescent="0.35">
      <c r="B71" s="3" t="s">
        <v>86</v>
      </c>
      <c r="C71" s="153" t="s">
        <v>354</v>
      </c>
      <c r="D71" s="280" t="s">
        <v>32</v>
      </c>
      <c r="E71" s="281" t="s">
        <v>143</v>
      </c>
      <c r="F71" s="271" t="s">
        <v>114</v>
      </c>
      <c r="G71" s="63">
        <v>8000</v>
      </c>
      <c r="H71" s="9">
        <f>G71</f>
        <v>8000</v>
      </c>
      <c r="I71" s="63">
        <v>8000</v>
      </c>
      <c r="J71" s="9">
        <f t="shared" ref="J71:J77" si="5">H71</f>
        <v>8000</v>
      </c>
      <c r="K71" s="63">
        <v>8000</v>
      </c>
      <c r="L71" s="9">
        <f t="shared" ref="L71:L77" si="6">J71</f>
        <v>8000</v>
      </c>
      <c r="M71" s="46">
        <v>8000</v>
      </c>
      <c r="N71" s="16">
        <f t="shared" ref="N71:N77" si="7">L71</f>
        <v>8000</v>
      </c>
      <c r="O71" s="63">
        <v>8000</v>
      </c>
      <c r="P71" s="9">
        <f>O71</f>
        <v>8000</v>
      </c>
      <c r="Q71" s="46">
        <v>8000</v>
      </c>
      <c r="R71" s="16">
        <f t="shared" ref="R71:R77" si="8">P71</f>
        <v>8000</v>
      </c>
      <c r="S71" s="63">
        <v>8000</v>
      </c>
      <c r="T71" s="9">
        <f t="shared" ref="T71:T77" si="9">N71</f>
        <v>8000</v>
      </c>
      <c r="Y71" s="15">
        <f t="shared" si="1"/>
        <v>4935112.1513681682</v>
      </c>
    </row>
    <row r="72" spans="1:25" ht="15.5" x14ac:dyDescent="0.35">
      <c r="B72" s="3" t="s">
        <v>86</v>
      </c>
      <c r="C72" s="153" t="s">
        <v>354</v>
      </c>
      <c r="D72" s="3" t="s">
        <v>33</v>
      </c>
      <c r="E72" s="281" t="s">
        <v>122</v>
      </c>
      <c r="F72" s="271" t="s">
        <v>114</v>
      </c>
      <c r="G72" s="63">
        <v>32000</v>
      </c>
      <c r="H72" s="9">
        <f t="shared" ref="H72:H77" si="10">G72</f>
        <v>32000</v>
      </c>
      <c r="I72" s="63">
        <v>32000</v>
      </c>
      <c r="J72" s="9">
        <f t="shared" si="5"/>
        <v>32000</v>
      </c>
      <c r="K72" s="63">
        <v>32000</v>
      </c>
      <c r="L72" s="9">
        <f t="shared" si="6"/>
        <v>32000</v>
      </c>
      <c r="M72" s="46">
        <v>32000</v>
      </c>
      <c r="N72" s="16">
        <f t="shared" si="7"/>
        <v>32000</v>
      </c>
      <c r="O72" s="63">
        <v>32000</v>
      </c>
      <c r="P72" s="9">
        <f t="shared" ref="P72:P77" si="11">O72</f>
        <v>32000</v>
      </c>
      <c r="Q72" s="46">
        <v>32000</v>
      </c>
      <c r="R72" s="16">
        <f t="shared" si="8"/>
        <v>32000</v>
      </c>
      <c r="S72" s="63">
        <v>32000</v>
      </c>
      <c r="T72" s="9">
        <f t="shared" si="9"/>
        <v>32000</v>
      </c>
      <c r="Y72" s="15">
        <f t="shared" si="1"/>
        <v>25953627.591854166</v>
      </c>
    </row>
    <row r="73" spans="1:25" ht="15.5" x14ac:dyDescent="0.35">
      <c r="B73" s="3" t="s">
        <v>86</v>
      </c>
      <c r="C73" s="153" t="s">
        <v>354</v>
      </c>
      <c r="D73" s="3" t="s">
        <v>34</v>
      </c>
      <c r="E73" s="281" t="s">
        <v>146</v>
      </c>
      <c r="F73" s="271" t="s">
        <v>114</v>
      </c>
      <c r="G73" s="69">
        <v>20000</v>
      </c>
      <c r="H73" s="11">
        <f t="shared" si="10"/>
        <v>20000</v>
      </c>
      <c r="I73" s="69">
        <v>20000</v>
      </c>
      <c r="J73" s="11">
        <f t="shared" si="5"/>
        <v>20000</v>
      </c>
      <c r="K73" s="69">
        <v>20000</v>
      </c>
      <c r="L73" s="11">
        <f t="shared" si="6"/>
        <v>20000</v>
      </c>
      <c r="M73" s="51">
        <v>20000</v>
      </c>
      <c r="N73" s="16">
        <f t="shared" si="7"/>
        <v>20000</v>
      </c>
      <c r="O73" s="69">
        <v>20000</v>
      </c>
      <c r="P73" s="11">
        <f t="shared" si="11"/>
        <v>20000</v>
      </c>
      <c r="Q73" s="51">
        <v>20000</v>
      </c>
      <c r="R73" s="16">
        <f t="shared" si="8"/>
        <v>20000</v>
      </c>
      <c r="S73" s="69">
        <v>20000</v>
      </c>
      <c r="T73" s="11">
        <f t="shared" si="9"/>
        <v>20000</v>
      </c>
      <c r="Y73" s="15">
        <f t="shared" si="1"/>
        <v>44056166.018841676</v>
      </c>
    </row>
    <row r="74" spans="1:25" ht="15.5" x14ac:dyDescent="0.35">
      <c r="B74" s="3" t="s">
        <v>86</v>
      </c>
      <c r="C74" s="153" t="s">
        <v>354</v>
      </c>
      <c r="D74" s="3" t="s">
        <v>35</v>
      </c>
      <c r="E74" s="274" t="s">
        <v>148</v>
      </c>
      <c r="F74" s="271" t="s">
        <v>114</v>
      </c>
      <c r="G74" s="69">
        <v>12000</v>
      </c>
      <c r="H74" s="11">
        <f t="shared" si="10"/>
        <v>12000</v>
      </c>
      <c r="I74" s="69">
        <v>12000</v>
      </c>
      <c r="J74" s="11">
        <f t="shared" si="5"/>
        <v>12000</v>
      </c>
      <c r="K74" s="69">
        <v>12000</v>
      </c>
      <c r="L74" s="11">
        <f t="shared" si="6"/>
        <v>12000</v>
      </c>
      <c r="M74" s="51">
        <v>12000</v>
      </c>
      <c r="N74" s="16">
        <f t="shared" si="7"/>
        <v>12000</v>
      </c>
      <c r="O74" s="69">
        <v>12000</v>
      </c>
      <c r="P74" s="11">
        <f t="shared" si="11"/>
        <v>12000</v>
      </c>
      <c r="Q74" s="51">
        <v>12000</v>
      </c>
      <c r="R74" s="16">
        <f t="shared" si="8"/>
        <v>12000</v>
      </c>
      <c r="S74" s="69">
        <v>12000</v>
      </c>
      <c r="T74" s="11">
        <f t="shared" si="9"/>
        <v>12000</v>
      </c>
      <c r="Y74" s="15">
        <f t="shared" si="1"/>
        <v>48685561.444962502</v>
      </c>
    </row>
    <row r="75" spans="1:25" ht="15.5" x14ac:dyDescent="0.35">
      <c r="B75" s="3" t="s">
        <v>86</v>
      </c>
      <c r="C75" s="153" t="s">
        <v>354</v>
      </c>
      <c r="D75" s="3" t="s">
        <v>36</v>
      </c>
      <c r="E75" s="274" t="s">
        <v>148</v>
      </c>
      <c r="F75" s="271" t="s">
        <v>114</v>
      </c>
      <c r="G75" s="69">
        <v>12000</v>
      </c>
      <c r="H75" s="11">
        <f t="shared" si="10"/>
        <v>12000</v>
      </c>
      <c r="I75" s="69">
        <v>12000</v>
      </c>
      <c r="J75" s="11">
        <f t="shared" si="5"/>
        <v>12000</v>
      </c>
      <c r="K75" s="69">
        <v>12000</v>
      </c>
      <c r="L75" s="11">
        <f t="shared" si="6"/>
        <v>12000</v>
      </c>
      <c r="M75" s="51">
        <v>12000</v>
      </c>
      <c r="N75" s="16">
        <f t="shared" si="7"/>
        <v>12000</v>
      </c>
      <c r="O75" s="69">
        <v>12000</v>
      </c>
      <c r="P75" s="11">
        <f t="shared" si="11"/>
        <v>12000</v>
      </c>
      <c r="Q75" s="51">
        <v>12000</v>
      </c>
      <c r="R75" s="16">
        <f t="shared" si="8"/>
        <v>12000</v>
      </c>
      <c r="S75" s="69">
        <v>12000</v>
      </c>
      <c r="T75" s="11">
        <f t="shared" si="9"/>
        <v>12000</v>
      </c>
      <c r="Y75" s="15">
        <f t="shared" si="1"/>
        <v>45823965.948302507</v>
      </c>
    </row>
    <row r="76" spans="1:25" ht="15.5" x14ac:dyDescent="0.35">
      <c r="B76" s="3" t="s">
        <v>86</v>
      </c>
      <c r="C76" s="153" t="s">
        <v>354</v>
      </c>
      <c r="D76" s="111" t="s">
        <v>37</v>
      </c>
      <c r="E76" s="274" t="s">
        <v>149</v>
      </c>
      <c r="F76" s="271" t="s">
        <v>114</v>
      </c>
      <c r="G76" s="69">
        <v>45000</v>
      </c>
      <c r="H76" s="11">
        <f t="shared" si="10"/>
        <v>45000</v>
      </c>
      <c r="I76" s="69">
        <v>45000</v>
      </c>
      <c r="J76" s="11">
        <f t="shared" si="5"/>
        <v>45000</v>
      </c>
      <c r="K76" s="69">
        <v>45000</v>
      </c>
      <c r="L76" s="11">
        <f t="shared" si="6"/>
        <v>45000</v>
      </c>
      <c r="M76" s="51">
        <v>45000</v>
      </c>
      <c r="N76" s="16">
        <f t="shared" si="7"/>
        <v>45000</v>
      </c>
      <c r="O76" s="69">
        <v>45000</v>
      </c>
      <c r="P76" s="11">
        <f t="shared" si="11"/>
        <v>45000</v>
      </c>
      <c r="Q76" s="51">
        <v>45000</v>
      </c>
      <c r="R76" s="16">
        <f t="shared" si="8"/>
        <v>45000</v>
      </c>
      <c r="S76" s="69">
        <v>45000</v>
      </c>
      <c r="T76" s="11">
        <f t="shared" si="9"/>
        <v>45000</v>
      </c>
      <c r="Y76" s="15">
        <f t="shared" si="1"/>
        <v>46270172.060841672</v>
      </c>
    </row>
    <row r="77" spans="1:25" ht="15.5" x14ac:dyDescent="0.35">
      <c r="B77" s="3" t="s">
        <v>351</v>
      </c>
      <c r="C77" s="153" t="s">
        <v>355</v>
      </c>
      <c r="D77" s="125" t="s">
        <v>94</v>
      </c>
      <c r="E77" s="286" t="s">
        <v>147</v>
      </c>
      <c r="F77" s="271" t="s">
        <v>114</v>
      </c>
      <c r="G77" s="69">
        <v>25000</v>
      </c>
      <c r="H77" s="11">
        <f t="shared" si="10"/>
        <v>25000</v>
      </c>
      <c r="I77" s="124">
        <v>25000</v>
      </c>
      <c r="J77" s="11">
        <f t="shared" si="5"/>
        <v>25000</v>
      </c>
      <c r="K77" s="124">
        <v>25000</v>
      </c>
      <c r="L77" s="11">
        <f t="shared" si="6"/>
        <v>25000</v>
      </c>
      <c r="M77" s="100">
        <v>25000</v>
      </c>
      <c r="N77" s="16">
        <f t="shared" si="7"/>
        <v>25000</v>
      </c>
      <c r="O77" s="69">
        <v>25000</v>
      </c>
      <c r="P77" s="11">
        <f t="shared" si="11"/>
        <v>25000</v>
      </c>
      <c r="Q77" s="100">
        <v>25000</v>
      </c>
      <c r="R77" s="16">
        <f t="shared" si="8"/>
        <v>25000</v>
      </c>
      <c r="S77" s="124">
        <v>25000</v>
      </c>
      <c r="T77" s="11">
        <f t="shared" si="9"/>
        <v>25000</v>
      </c>
      <c r="Y77" s="15">
        <f t="shared" si="1"/>
        <v>26413688.8790785</v>
      </c>
    </row>
    <row r="78" spans="1:25" ht="15.5" x14ac:dyDescent="0.35">
      <c r="A78" s="197"/>
      <c r="B78" s="3" t="s">
        <v>351</v>
      </c>
      <c r="C78" s="153" t="s">
        <v>355</v>
      </c>
      <c r="D78" s="283" t="s">
        <v>38</v>
      </c>
      <c r="E78" s="155" t="s">
        <v>150</v>
      </c>
      <c r="F78" s="183" t="s">
        <v>201</v>
      </c>
      <c r="G78" s="70">
        <v>0.125</v>
      </c>
      <c r="H78" s="172">
        <f>H36*0.125</f>
        <v>2421046.25</v>
      </c>
      <c r="I78" s="33">
        <v>0.125</v>
      </c>
      <c r="J78" s="126">
        <f>J36*Table323[[#This Row],[P1 Adjusted variables ]]</f>
        <v>2370531.5</v>
      </c>
      <c r="K78" s="226">
        <v>0.1</v>
      </c>
      <c r="L78" s="126">
        <f>L36*Table323[[#This Row],[P2 Adjusted Variable ]]</f>
        <v>1877460.9480000001</v>
      </c>
      <c r="M78" s="230">
        <v>0.125</v>
      </c>
      <c r="N78" s="87">
        <f>N36*Table323[[#This Row],[P3 Adjusted variables]]</f>
        <v>1335762.5</v>
      </c>
      <c r="O78" s="70">
        <v>0.125</v>
      </c>
      <c r="P78" s="172">
        <f>P36*0.125</f>
        <v>2370531.5</v>
      </c>
      <c r="Q78" s="239">
        <v>0.1</v>
      </c>
      <c r="R78" s="87">
        <f>R36*Q78</f>
        <v>1057923.9000000001</v>
      </c>
      <c r="S78" s="195">
        <v>0.125</v>
      </c>
      <c r="T78" s="126">
        <f>T36*0.125</f>
        <v>1680462.5</v>
      </c>
      <c r="Y78" s="15">
        <f t="shared" si="1"/>
        <v>8937580.415708499</v>
      </c>
    </row>
    <row r="79" spans="1:25" ht="15.5" x14ac:dyDescent="0.35">
      <c r="B79" s="3" t="s">
        <v>351</v>
      </c>
      <c r="C79" s="153" t="s">
        <v>355</v>
      </c>
      <c r="D79" s="280" t="s">
        <v>39</v>
      </c>
      <c r="E79" s="284" t="s">
        <v>151</v>
      </c>
      <c r="F79" s="271"/>
      <c r="G79" s="62">
        <v>1.2344137548040927E-2</v>
      </c>
      <c r="I79" s="96">
        <v>1.2344137548040927E-2</v>
      </c>
      <c r="K79" s="96">
        <v>1.2344137548040927E-2</v>
      </c>
      <c r="M79" s="85">
        <v>1.2344137548040927E-2</v>
      </c>
      <c r="N79" s="16"/>
      <c r="O79" s="62">
        <v>1.2344137548040927E-2</v>
      </c>
      <c r="Q79" s="85">
        <v>1.2344137548040927E-2</v>
      </c>
      <c r="R79" s="16"/>
      <c r="S79" s="96">
        <v>1.2344137548040927E-2</v>
      </c>
      <c r="Y79" s="15">
        <f t="shared" si="1"/>
        <v>10541862.009185668</v>
      </c>
    </row>
    <row r="80" spans="1:25" ht="15.5" x14ac:dyDescent="0.35">
      <c r="B80" s="3" t="s">
        <v>86</v>
      </c>
      <c r="C80" s="153" t="s">
        <v>354</v>
      </c>
      <c r="D80" s="3" t="s">
        <v>40</v>
      </c>
      <c r="E80" s="281" t="s">
        <v>196</v>
      </c>
      <c r="F80" s="271"/>
      <c r="G80" s="62">
        <v>2.418937666815809E-4</v>
      </c>
      <c r="I80" s="62">
        <v>2.418937666815809E-4</v>
      </c>
      <c r="K80" s="62">
        <v>2.418937666815809E-4</v>
      </c>
      <c r="M80" s="46">
        <v>2.418937666815809E-4</v>
      </c>
      <c r="N80" s="16"/>
      <c r="O80" s="62">
        <v>2.418937666815809E-4</v>
      </c>
      <c r="Q80" s="46">
        <v>2.418937666815809E-4</v>
      </c>
      <c r="R80" s="16"/>
      <c r="S80" s="62">
        <v>2.418937666815809E-4</v>
      </c>
      <c r="Y80" s="15">
        <f t="shared" si="1"/>
        <v>7981103.1786481682</v>
      </c>
    </row>
    <row r="81" spans="1:25" ht="15.5" x14ac:dyDescent="0.35">
      <c r="B81" s="3" t="s">
        <v>86</v>
      </c>
      <c r="C81" s="153" t="s">
        <v>354</v>
      </c>
      <c r="D81" s="25" t="s">
        <v>41</v>
      </c>
      <c r="E81" s="274" t="s">
        <v>152</v>
      </c>
      <c r="F81" s="271" t="s">
        <v>114</v>
      </c>
      <c r="G81" s="69">
        <v>8000</v>
      </c>
      <c r="H81" s="9">
        <f>Table323[[#This Row],[Base Variables ]]</f>
        <v>8000</v>
      </c>
      <c r="I81" s="69">
        <v>8000</v>
      </c>
      <c r="J81" s="9">
        <f>Table323[[#This Row],[P1 Adjusted variables ]]</f>
        <v>8000</v>
      </c>
      <c r="K81" s="69">
        <v>8000</v>
      </c>
      <c r="L81" s="9">
        <f>Table323[[#This Row],[P2 Adjusted Variable ]]</f>
        <v>8000</v>
      </c>
      <c r="M81" s="51">
        <v>8000</v>
      </c>
      <c r="N81" s="16">
        <f>Table323[[#This Row],[P3 Adjusted variables]]</f>
        <v>8000</v>
      </c>
      <c r="O81" s="69">
        <v>8000</v>
      </c>
      <c r="P81" s="9">
        <f>Table323[[#This Row],[Base Variables ]]</f>
        <v>8000</v>
      </c>
      <c r="Q81" s="51">
        <v>8000</v>
      </c>
      <c r="R81" s="16">
        <f>Table323[[#This Row],[P3 Adjusted variables]]</f>
        <v>8000</v>
      </c>
      <c r="S81" s="69">
        <v>8000</v>
      </c>
      <c r="Y81" s="15">
        <f t="shared" si="1"/>
        <v>28621027.968260832</v>
      </c>
    </row>
    <row r="82" spans="1:25" ht="15.5" x14ac:dyDescent="0.35">
      <c r="B82" s="3" t="s">
        <v>86</v>
      </c>
      <c r="C82" s="153" t="s">
        <v>354</v>
      </c>
      <c r="D82" s="280" t="s">
        <v>42</v>
      </c>
      <c r="E82" s="156" t="s">
        <v>118</v>
      </c>
      <c r="F82" s="185"/>
      <c r="G82" s="71">
        <v>1.7918056791228214E-3</v>
      </c>
      <c r="H82" s="11">
        <f>SUM(H83:H87)</f>
        <v>195000</v>
      </c>
      <c r="I82" s="71">
        <v>1.7918056791228214E-3</v>
      </c>
      <c r="J82" s="11">
        <f>SUM(J83:J87)</f>
        <v>195000</v>
      </c>
      <c r="K82" s="71">
        <v>1.7918056791228214E-3</v>
      </c>
      <c r="L82" s="11">
        <f>SUM(L83:L87)</f>
        <v>195000</v>
      </c>
      <c r="M82" s="50">
        <v>1.7918056791228214E-3</v>
      </c>
      <c r="N82" s="16">
        <f>SUM(N83:N87)</f>
        <v>195000</v>
      </c>
      <c r="O82" s="71">
        <v>1.7918056791228214E-3</v>
      </c>
      <c r="P82" s="11">
        <f>SUM(P83:P87)</f>
        <v>195000</v>
      </c>
      <c r="Q82" s="50">
        <v>1.7918056791228214E-3</v>
      </c>
      <c r="R82" s="16">
        <f>SUM(R83:R87)</f>
        <v>195000</v>
      </c>
      <c r="S82" s="71">
        <v>1.7918056791228214E-3</v>
      </c>
      <c r="T82" s="11">
        <f>SUM(T83:T87)</f>
        <v>195000</v>
      </c>
      <c r="Y82" s="15">
        <f t="shared" si="1"/>
        <v>28825015.99437017</v>
      </c>
    </row>
    <row r="83" spans="1:25" ht="15.5" x14ac:dyDescent="0.35">
      <c r="B83" s="3" t="s">
        <v>86</v>
      </c>
      <c r="C83" s="153" t="s">
        <v>354</v>
      </c>
      <c r="D83" s="280" t="s">
        <v>43</v>
      </c>
      <c r="E83" s="274" t="s">
        <v>153</v>
      </c>
      <c r="F83" s="271" t="s">
        <v>114</v>
      </c>
      <c r="G83" s="63">
        <v>50000</v>
      </c>
      <c r="H83" s="9">
        <f>G83</f>
        <v>50000</v>
      </c>
      <c r="I83" s="63">
        <v>50000</v>
      </c>
      <c r="J83" s="9">
        <f>H83</f>
        <v>50000</v>
      </c>
      <c r="K83" s="63">
        <v>50000</v>
      </c>
      <c r="L83" s="9">
        <f>J83</f>
        <v>50000</v>
      </c>
      <c r="M83" s="46">
        <v>50000</v>
      </c>
      <c r="N83" s="16">
        <f>L83</f>
        <v>50000</v>
      </c>
      <c r="O83" s="63">
        <v>50000</v>
      </c>
      <c r="P83" s="9">
        <f>O83</f>
        <v>50000</v>
      </c>
      <c r="Q83" s="46">
        <v>50000</v>
      </c>
      <c r="R83" s="16">
        <f>P83</f>
        <v>50000</v>
      </c>
      <c r="S83" s="63">
        <v>50000</v>
      </c>
      <c r="T83" s="9">
        <f>N83</f>
        <v>50000</v>
      </c>
      <c r="Y83" s="15">
        <f t="shared" si="1"/>
        <v>9309208.2408575006</v>
      </c>
    </row>
    <row r="84" spans="1:25" ht="15.5" x14ac:dyDescent="0.35">
      <c r="B84" s="3" t="s">
        <v>86</v>
      </c>
      <c r="C84" s="153" t="s">
        <v>354</v>
      </c>
      <c r="D84" s="280" t="s">
        <v>44</v>
      </c>
      <c r="E84" s="274" t="s">
        <v>154</v>
      </c>
      <c r="F84" s="271" t="s">
        <v>114</v>
      </c>
      <c r="G84" s="63">
        <v>18000</v>
      </c>
      <c r="H84" s="9">
        <f t="shared" ref="H84:H87" si="12">G84</f>
        <v>18000</v>
      </c>
      <c r="I84" s="63">
        <v>18000</v>
      </c>
      <c r="J84" s="9">
        <f>H84</f>
        <v>18000</v>
      </c>
      <c r="K84" s="63">
        <v>18000</v>
      </c>
      <c r="L84" s="9">
        <f>J84</f>
        <v>18000</v>
      </c>
      <c r="M84" s="46">
        <v>18000</v>
      </c>
      <c r="N84" s="16">
        <f>L84</f>
        <v>18000</v>
      </c>
      <c r="O84" s="63">
        <v>18000</v>
      </c>
      <c r="P84" s="9">
        <f t="shared" ref="P84:P87" si="13">O84</f>
        <v>18000</v>
      </c>
      <c r="Q84" s="46">
        <v>18000</v>
      </c>
      <c r="R84" s="16">
        <f>P84</f>
        <v>18000</v>
      </c>
      <c r="S84" s="63">
        <v>18000</v>
      </c>
      <c r="T84" s="9">
        <f>N84</f>
        <v>18000</v>
      </c>
      <c r="Y84" s="15">
        <f t="shared" si="1"/>
        <v>5890768.2636848334</v>
      </c>
    </row>
    <row r="85" spans="1:25" ht="15.5" x14ac:dyDescent="0.35">
      <c r="B85" s="3" t="s">
        <v>86</v>
      </c>
      <c r="C85" s="153" t="s">
        <v>354</v>
      </c>
      <c r="D85" s="280" t="s">
        <v>45</v>
      </c>
      <c r="E85" s="274" t="s">
        <v>155</v>
      </c>
      <c r="F85" s="271" t="s">
        <v>114</v>
      </c>
      <c r="G85" s="63">
        <v>50000</v>
      </c>
      <c r="H85" s="9">
        <f t="shared" si="12"/>
        <v>50000</v>
      </c>
      <c r="I85" s="63">
        <v>50000</v>
      </c>
      <c r="J85" s="9">
        <f>H85</f>
        <v>50000</v>
      </c>
      <c r="K85" s="63">
        <v>50000</v>
      </c>
      <c r="L85" s="9">
        <f>J85</f>
        <v>50000</v>
      </c>
      <c r="M85" s="46">
        <v>50000</v>
      </c>
      <c r="N85" s="16">
        <f>L85</f>
        <v>50000</v>
      </c>
      <c r="O85" s="63">
        <v>50000</v>
      </c>
      <c r="P85" s="9">
        <f t="shared" si="13"/>
        <v>50000</v>
      </c>
      <c r="Q85" s="46">
        <v>50000</v>
      </c>
      <c r="R85" s="16">
        <f>P85</f>
        <v>50000</v>
      </c>
      <c r="S85" s="63">
        <v>50000</v>
      </c>
      <c r="T85" s="9">
        <f>N85</f>
        <v>50000</v>
      </c>
      <c r="Y85" s="15">
        <f t="shared" si="1"/>
        <v>6621334.6489001671</v>
      </c>
    </row>
    <row r="86" spans="1:25" ht="15.5" x14ac:dyDescent="0.35">
      <c r="B86" s="3" t="s">
        <v>86</v>
      </c>
      <c r="C86" s="153" t="s">
        <v>354</v>
      </c>
      <c r="D86" s="280" t="s">
        <v>46</v>
      </c>
      <c r="E86" s="274" t="s">
        <v>156</v>
      </c>
      <c r="F86" s="271" t="s">
        <v>114</v>
      </c>
      <c r="G86" s="63">
        <v>30000</v>
      </c>
      <c r="H86" s="9">
        <f t="shared" si="12"/>
        <v>30000</v>
      </c>
      <c r="I86" s="63">
        <v>30000</v>
      </c>
      <c r="J86" s="9">
        <f>H86</f>
        <v>30000</v>
      </c>
      <c r="K86" s="63">
        <v>30000</v>
      </c>
      <c r="L86" s="9">
        <f>J86</f>
        <v>30000</v>
      </c>
      <c r="M86" s="46">
        <v>30000</v>
      </c>
      <c r="N86" s="16">
        <f>L86</f>
        <v>30000</v>
      </c>
      <c r="O86" s="63">
        <v>30000</v>
      </c>
      <c r="P86" s="9">
        <f t="shared" si="13"/>
        <v>30000</v>
      </c>
      <c r="Q86" s="46">
        <v>30000</v>
      </c>
      <c r="R86" s="16">
        <f>P86</f>
        <v>30000</v>
      </c>
      <c r="S86" s="63">
        <v>30000</v>
      </c>
      <c r="T86" s="9">
        <f>N86</f>
        <v>30000</v>
      </c>
      <c r="Y86" s="15">
        <f t="shared" si="1"/>
        <v>9768651.9699184988</v>
      </c>
    </row>
    <row r="87" spans="1:25" ht="15.5" x14ac:dyDescent="0.35">
      <c r="B87" s="3" t="s">
        <v>86</v>
      </c>
      <c r="C87" s="153" t="s">
        <v>26</v>
      </c>
      <c r="D87" s="25" t="s">
        <v>47</v>
      </c>
      <c r="E87" s="274" t="s">
        <v>157</v>
      </c>
      <c r="F87" s="271" t="s">
        <v>114</v>
      </c>
      <c r="G87" s="63">
        <v>47000</v>
      </c>
      <c r="H87" s="9">
        <f t="shared" si="12"/>
        <v>47000</v>
      </c>
      <c r="I87" s="63">
        <v>47000</v>
      </c>
      <c r="J87" s="9">
        <f>H87</f>
        <v>47000</v>
      </c>
      <c r="K87" s="63">
        <v>47000</v>
      </c>
      <c r="L87" s="9">
        <f>J87</f>
        <v>47000</v>
      </c>
      <c r="M87" s="46">
        <v>47000</v>
      </c>
      <c r="N87" s="16">
        <f>L87</f>
        <v>47000</v>
      </c>
      <c r="O87" s="63">
        <v>47000</v>
      </c>
      <c r="P87" s="9">
        <f t="shared" si="13"/>
        <v>47000</v>
      </c>
      <c r="Q87" s="46">
        <v>47000</v>
      </c>
      <c r="R87" s="16">
        <f>P87</f>
        <v>47000</v>
      </c>
      <c r="S87" s="63">
        <v>47000</v>
      </c>
      <c r="T87" s="9">
        <f>N87</f>
        <v>47000</v>
      </c>
      <c r="Y87" s="15">
        <f t="shared" si="1"/>
        <v>7999137.3278483329</v>
      </c>
    </row>
    <row r="88" spans="1:25" ht="15.5" x14ac:dyDescent="0.35">
      <c r="B88" s="3" t="s">
        <v>86</v>
      </c>
      <c r="C88" s="153" t="s">
        <v>26</v>
      </c>
      <c r="D88" s="280" t="s">
        <v>48</v>
      </c>
      <c r="E88" s="156" t="s">
        <v>133</v>
      </c>
      <c r="F88" s="185"/>
      <c r="G88" s="71">
        <v>1.0797803274272333E-3</v>
      </c>
      <c r="H88" s="11">
        <f>SUM(H89:H90)</f>
        <v>37000</v>
      </c>
      <c r="I88" s="71">
        <v>1.0797803274272333E-3</v>
      </c>
      <c r="J88" s="11">
        <f>SUM(J89:J90)</f>
        <v>37000</v>
      </c>
      <c r="K88" s="71">
        <v>1.0797803274272333E-3</v>
      </c>
      <c r="L88" s="11">
        <f>SUM(L89:L90)</f>
        <v>37000</v>
      </c>
      <c r="M88" s="50">
        <v>1.0797803274272333E-3</v>
      </c>
      <c r="N88" s="16">
        <f>SUM(N89:N90)</f>
        <v>37000</v>
      </c>
      <c r="O88" s="71">
        <v>1.0797803274272333E-3</v>
      </c>
      <c r="P88" s="11">
        <f>SUM(P89:P90)</f>
        <v>37000</v>
      </c>
      <c r="Q88" s="50">
        <v>1.0797803274272333E-3</v>
      </c>
      <c r="R88" s="16">
        <f>SUM(R89:R90)</f>
        <v>37000</v>
      </c>
      <c r="S88" s="71">
        <v>1.0797803274272333E-3</v>
      </c>
      <c r="T88" s="11">
        <f>SUM(T89:T90)</f>
        <v>37000</v>
      </c>
      <c r="Y88" s="15">
        <f t="shared" si="1"/>
        <v>27233446.610839184</v>
      </c>
    </row>
    <row r="89" spans="1:25" ht="15.5" x14ac:dyDescent="0.35">
      <c r="B89" s="3" t="s">
        <v>86</v>
      </c>
      <c r="C89" s="153" t="s">
        <v>26</v>
      </c>
      <c r="D89" s="280" t="s">
        <v>49</v>
      </c>
      <c r="E89" s="274" t="s">
        <v>159</v>
      </c>
      <c r="F89" s="271"/>
      <c r="G89" s="63">
        <v>30000</v>
      </c>
      <c r="H89" s="9">
        <f>G89</f>
        <v>30000</v>
      </c>
      <c r="I89" s="63">
        <v>30000</v>
      </c>
      <c r="J89" s="9">
        <f>H89</f>
        <v>30000</v>
      </c>
      <c r="K89" s="63">
        <v>30000</v>
      </c>
      <c r="L89" s="9">
        <f>J89</f>
        <v>30000</v>
      </c>
      <c r="M89" s="46">
        <v>30000</v>
      </c>
      <c r="N89" s="16">
        <f>L89</f>
        <v>30000</v>
      </c>
      <c r="O89" s="63">
        <v>30000</v>
      </c>
      <c r="P89" s="9">
        <f>O89</f>
        <v>30000</v>
      </c>
      <c r="Q89" s="46">
        <v>30000</v>
      </c>
      <c r="R89" s="16">
        <f>P89</f>
        <v>30000</v>
      </c>
      <c r="S89" s="63">
        <v>30000</v>
      </c>
      <c r="T89" s="9">
        <f>N89</f>
        <v>30000</v>
      </c>
      <c r="Y89" s="15">
        <f t="shared" si="1"/>
        <v>34360622.366894722</v>
      </c>
    </row>
    <row r="90" spans="1:25" ht="15.5" x14ac:dyDescent="0.35">
      <c r="B90" s="3" t="s">
        <v>352</v>
      </c>
      <c r="C90" s="153" t="s">
        <v>50</v>
      </c>
      <c r="D90" s="104" t="s">
        <v>50</v>
      </c>
      <c r="E90" s="274" t="s">
        <v>158</v>
      </c>
      <c r="F90" s="271"/>
      <c r="G90" s="63">
        <v>7000</v>
      </c>
      <c r="H90" s="9">
        <f>G90</f>
        <v>7000</v>
      </c>
      <c r="I90" s="63">
        <v>7000</v>
      </c>
      <c r="J90" s="9">
        <f>H90</f>
        <v>7000</v>
      </c>
      <c r="K90" s="63">
        <v>7000</v>
      </c>
      <c r="L90" s="9">
        <f>J90</f>
        <v>7000</v>
      </c>
      <c r="M90" s="46">
        <v>7000</v>
      </c>
      <c r="N90" s="16">
        <f>L90</f>
        <v>7000</v>
      </c>
      <c r="O90" s="63">
        <v>7000</v>
      </c>
      <c r="P90" s="9">
        <f>O90</f>
        <v>7000</v>
      </c>
      <c r="Q90" s="46">
        <v>7000</v>
      </c>
      <c r="R90" s="16">
        <f>P90</f>
        <v>7000</v>
      </c>
      <c r="S90" s="63">
        <v>7000</v>
      </c>
      <c r="T90" s="9">
        <f>N90</f>
        <v>7000</v>
      </c>
      <c r="Y90" s="15">
        <f t="shared" ref="Y90:Y149" si="14">SUM(H96:H101,H114,H117,H121,H125,H131:H133,H138:H143,H147,H153,H161,H168,H173:H177,H180,H182:H184,H187,H191:H192,H200:H203,H124)</f>
        <v>13137871.547069607</v>
      </c>
    </row>
    <row r="91" spans="1:25" ht="15.5" x14ac:dyDescent="0.35">
      <c r="B91" s="3" t="s">
        <v>352</v>
      </c>
      <c r="C91" s="153" t="s">
        <v>50</v>
      </c>
      <c r="D91" s="123" t="s">
        <v>51</v>
      </c>
      <c r="E91" s="157"/>
      <c r="F91" s="186"/>
      <c r="G91" s="72">
        <v>8.3617598359064999E-4</v>
      </c>
      <c r="I91" s="121">
        <v>8.3617598359064999E-4</v>
      </c>
      <c r="K91" s="121">
        <v>8.3617598359064999E-4</v>
      </c>
      <c r="M91" s="122">
        <v>8.3617598359064999E-4</v>
      </c>
      <c r="N91" s="16"/>
      <c r="O91" s="72">
        <v>8.3617598359064999E-4</v>
      </c>
      <c r="Q91" s="122">
        <v>8.3617598359064999E-4</v>
      </c>
      <c r="R91" s="16"/>
      <c r="S91" s="121">
        <v>8.3617598359064999E-4</v>
      </c>
      <c r="Y91" s="15">
        <f t="shared" si="14"/>
        <v>10562588.58154944</v>
      </c>
    </row>
    <row r="92" spans="1:25" ht="15.5" x14ac:dyDescent="0.35">
      <c r="B92" s="3" t="s">
        <v>352</v>
      </c>
      <c r="C92" s="153" t="s">
        <v>50</v>
      </c>
      <c r="D92" s="115" t="s">
        <v>52</v>
      </c>
      <c r="E92" s="279" t="s">
        <v>162</v>
      </c>
      <c r="F92" s="176" t="s">
        <v>161</v>
      </c>
      <c r="G92" s="69">
        <v>28000</v>
      </c>
      <c r="H92" s="169">
        <f>G92</f>
        <v>28000</v>
      </c>
      <c r="I92" s="196">
        <v>0</v>
      </c>
      <c r="J92" s="98">
        <f>I92</f>
        <v>0</v>
      </c>
      <c r="K92" s="227">
        <v>28000</v>
      </c>
      <c r="L92" s="98">
        <f>K92</f>
        <v>28000</v>
      </c>
      <c r="M92" s="41">
        <v>28000</v>
      </c>
      <c r="N92" s="87">
        <f>Table323[[#This Row],[P3 Adjusted variables]]</f>
        <v>28000</v>
      </c>
      <c r="O92" s="69">
        <v>28000</v>
      </c>
      <c r="P92" s="169">
        <f>O92</f>
        <v>28000</v>
      </c>
      <c r="Q92" s="240">
        <v>0</v>
      </c>
      <c r="R92" s="87">
        <f>Table323[[#This Row],[P4 Adjusted variables]]</f>
        <v>28000</v>
      </c>
      <c r="S92" s="196">
        <v>0</v>
      </c>
      <c r="T92" s="98">
        <f>S92</f>
        <v>0</v>
      </c>
      <c r="Y92" s="15">
        <f t="shared" si="14"/>
        <v>11612495.531231252</v>
      </c>
    </row>
    <row r="93" spans="1:25" ht="15.5" x14ac:dyDescent="0.35">
      <c r="A93" s="197"/>
      <c r="B93" s="3" t="s">
        <v>352</v>
      </c>
      <c r="C93" s="153" t="s">
        <v>50</v>
      </c>
      <c r="D93" s="283" t="s">
        <v>54</v>
      </c>
      <c r="E93" s="158" t="s">
        <v>133</v>
      </c>
      <c r="F93" s="185" t="s">
        <v>161</v>
      </c>
      <c r="G93" s="71">
        <v>7.7811550690147354E-3</v>
      </c>
      <c r="H93" s="173">
        <f>SUM(H94:H95)</f>
        <v>0</v>
      </c>
      <c r="I93" s="34">
        <v>7.7811550690147354E-3</v>
      </c>
      <c r="J93" s="116">
        <f>SUM(J94:J95)</f>
        <v>0</v>
      </c>
      <c r="K93" s="34">
        <v>7.7811550690147354E-3</v>
      </c>
      <c r="L93" s="116">
        <f>SUM(L94:L95)</f>
        <v>0</v>
      </c>
      <c r="M93" s="32">
        <v>7.7811550690147354E-3</v>
      </c>
      <c r="N93" s="87">
        <f>SUM(N94:N95)</f>
        <v>0</v>
      </c>
      <c r="O93" s="71">
        <v>7.7811550690147354E-3</v>
      </c>
      <c r="P93" s="173">
        <f>SUM(P94:P95)</f>
        <v>0</v>
      </c>
      <c r="Q93" s="32">
        <v>7.7811550690147354E-3</v>
      </c>
      <c r="R93" s="87">
        <f>SUM(R94:R95)</f>
        <v>0</v>
      </c>
      <c r="S93" s="34">
        <v>7.7811550690147354E-3</v>
      </c>
      <c r="T93" s="116">
        <f>SUM(T94:T95)</f>
        <v>0</v>
      </c>
      <c r="Y93" s="15">
        <f t="shared" si="14"/>
        <v>11906234.276230887</v>
      </c>
    </row>
    <row r="94" spans="1:25" ht="15.5" x14ac:dyDescent="0.35">
      <c r="A94" s="197"/>
      <c r="B94" s="3" t="s">
        <v>352</v>
      </c>
      <c r="C94" s="153" t="s">
        <v>50</v>
      </c>
      <c r="D94" s="280" t="s">
        <v>105</v>
      </c>
      <c r="E94" s="284" t="s">
        <v>163</v>
      </c>
      <c r="F94" s="271" t="s">
        <v>161</v>
      </c>
      <c r="G94" s="62">
        <v>0.11</v>
      </c>
      <c r="I94" s="96">
        <v>0.11</v>
      </c>
      <c r="K94" s="96">
        <v>0.11</v>
      </c>
      <c r="M94" s="215">
        <v>0.11</v>
      </c>
      <c r="N94" s="16"/>
      <c r="O94" s="62">
        <v>0.11</v>
      </c>
      <c r="Q94" s="215">
        <v>0.11</v>
      </c>
      <c r="R94" s="16"/>
      <c r="S94" s="96">
        <v>0.11</v>
      </c>
      <c r="Y94" s="15">
        <f t="shared" si="14"/>
        <v>9951111.8008891679</v>
      </c>
    </row>
    <row r="95" spans="1:25" ht="15.5" x14ac:dyDescent="0.35">
      <c r="B95" s="3" t="s">
        <v>352</v>
      </c>
      <c r="C95" s="153" t="s">
        <v>53</v>
      </c>
      <c r="D95" s="104" t="s">
        <v>53</v>
      </c>
      <c r="E95" s="274" t="s">
        <v>197</v>
      </c>
      <c r="F95" s="271" t="s">
        <v>161</v>
      </c>
      <c r="G95" s="62">
        <v>0.01</v>
      </c>
      <c r="I95" s="62">
        <v>0.01</v>
      </c>
      <c r="K95" s="62">
        <v>0.01</v>
      </c>
      <c r="M95" s="216">
        <v>0.01</v>
      </c>
      <c r="N95" s="16"/>
      <c r="O95" s="62">
        <v>0.01</v>
      </c>
      <c r="Q95" s="216">
        <v>0.01</v>
      </c>
      <c r="R95" s="16"/>
      <c r="S95" s="62">
        <v>0.01</v>
      </c>
      <c r="Y95" s="15">
        <f t="shared" si="14"/>
        <v>11898572.505609168</v>
      </c>
    </row>
    <row r="96" spans="1:25" ht="15.5" x14ac:dyDescent="0.35">
      <c r="B96" s="3" t="s">
        <v>352</v>
      </c>
      <c r="C96" s="153" t="s">
        <v>53</v>
      </c>
      <c r="D96" s="115" t="s">
        <v>95</v>
      </c>
      <c r="E96" s="159" t="s">
        <v>133</v>
      </c>
      <c r="F96" s="176" t="s">
        <v>161</v>
      </c>
      <c r="G96" s="72"/>
      <c r="H96" s="15">
        <f>SUM(H97:H102)</f>
        <v>83500</v>
      </c>
      <c r="I96" s="15"/>
      <c r="J96" s="15">
        <f t="shared" ref="J96:T96" si="15">SUM(J97:J102)</f>
        <v>15000</v>
      </c>
      <c r="K96" s="15"/>
      <c r="L96" s="15">
        <f t="shared" si="15"/>
        <v>83500</v>
      </c>
      <c r="M96" s="15"/>
      <c r="N96" s="15">
        <f t="shared" si="15"/>
        <v>83500</v>
      </c>
      <c r="O96" s="72"/>
      <c r="P96" s="15">
        <f>SUM(P97:P102)</f>
        <v>83500</v>
      </c>
      <c r="Q96" s="15"/>
      <c r="R96" s="15">
        <f t="shared" ref="R96" si="16">SUM(R97:R102)</f>
        <v>15000</v>
      </c>
      <c r="S96" s="15"/>
      <c r="T96" s="15">
        <f t="shared" si="15"/>
        <v>15000</v>
      </c>
      <c r="Y96" s="15">
        <f t="shared" si="14"/>
        <v>28096748.228490833</v>
      </c>
    </row>
    <row r="97" spans="1:25" ht="15.5" x14ac:dyDescent="0.35">
      <c r="B97" s="3" t="s">
        <v>352</v>
      </c>
      <c r="C97" s="153" t="s">
        <v>53</v>
      </c>
      <c r="D97" s="283" t="s">
        <v>56</v>
      </c>
      <c r="E97" s="158"/>
      <c r="F97" s="185"/>
      <c r="G97" s="71">
        <v>2.9371278692181288E-3</v>
      </c>
      <c r="H97" s="173"/>
      <c r="I97" s="34">
        <v>2.9371278692181288E-3</v>
      </c>
      <c r="J97" s="116"/>
      <c r="K97" s="34">
        <v>2.9371278692181288E-3</v>
      </c>
      <c r="L97" s="116"/>
      <c r="M97" s="32">
        <v>2.9371278692181288E-3</v>
      </c>
      <c r="N97" s="87"/>
      <c r="O97" s="71">
        <v>2.9371278692181288E-3</v>
      </c>
      <c r="P97" s="173"/>
      <c r="Q97" s="32">
        <v>2.9371278692181288E-3</v>
      </c>
      <c r="R97" s="87"/>
      <c r="S97" s="34">
        <v>2.9371278692181288E-3</v>
      </c>
      <c r="T97" s="116"/>
      <c r="Y97" s="15">
        <f t="shared" si="14"/>
        <v>26824426.451984003</v>
      </c>
    </row>
    <row r="98" spans="1:25" ht="15.5" x14ac:dyDescent="0.35">
      <c r="B98" s="3" t="s">
        <v>352</v>
      </c>
      <c r="C98" s="153" t="s">
        <v>53</v>
      </c>
      <c r="D98" s="280" t="s">
        <v>57</v>
      </c>
      <c r="E98" s="285" t="s">
        <v>146</v>
      </c>
      <c r="F98" s="271"/>
      <c r="G98" s="62">
        <v>4.4795141978070535E-4</v>
      </c>
      <c r="I98" s="96">
        <v>4.4795141978070535E-4</v>
      </c>
      <c r="K98" s="96">
        <v>4.4795141978070535E-4</v>
      </c>
      <c r="M98" s="215">
        <v>4.4795141978070535E-4</v>
      </c>
      <c r="N98" s="16"/>
      <c r="O98" s="62">
        <v>4.4795141978070535E-4</v>
      </c>
      <c r="Q98" s="215">
        <v>4.4795141978070535E-4</v>
      </c>
      <c r="R98" s="16"/>
      <c r="S98" s="96">
        <v>4.4795141978070535E-4</v>
      </c>
      <c r="Y98" s="15">
        <f t="shared" si="14"/>
        <v>5026929.6793056661</v>
      </c>
    </row>
    <row r="99" spans="1:25" ht="15.5" x14ac:dyDescent="0.35">
      <c r="B99" s="3" t="s">
        <v>352</v>
      </c>
      <c r="C99" s="153" t="s">
        <v>53</v>
      </c>
      <c r="D99" s="280" t="s">
        <v>27</v>
      </c>
      <c r="E99" s="274" t="s">
        <v>165</v>
      </c>
      <c r="F99" s="271" t="s">
        <v>114</v>
      </c>
      <c r="G99" s="63">
        <v>20000</v>
      </c>
      <c r="H99" s="9">
        <f>G99</f>
        <v>20000</v>
      </c>
      <c r="I99" s="198">
        <v>5000</v>
      </c>
      <c r="J99" s="9">
        <f>I99</f>
        <v>5000</v>
      </c>
      <c r="K99" s="63">
        <v>20000</v>
      </c>
      <c r="L99" s="9">
        <f>K99</f>
        <v>20000</v>
      </c>
      <c r="M99" s="46">
        <v>20000</v>
      </c>
      <c r="N99" s="16">
        <f>M99</f>
        <v>20000</v>
      </c>
      <c r="O99" s="63">
        <v>20000</v>
      </c>
      <c r="P99" s="9">
        <f>O99</f>
        <v>20000</v>
      </c>
      <c r="Q99" s="241">
        <v>5000</v>
      </c>
      <c r="R99" s="16">
        <f>Q99</f>
        <v>5000</v>
      </c>
      <c r="S99" s="198">
        <v>5000</v>
      </c>
      <c r="T99" s="9">
        <f>S99</f>
        <v>5000</v>
      </c>
      <c r="Y99" s="15">
        <f t="shared" si="14"/>
        <v>10808849.302468522</v>
      </c>
    </row>
    <row r="100" spans="1:25" ht="15.5" x14ac:dyDescent="0.35">
      <c r="B100" s="3" t="s">
        <v>352</v>
      </c>
      <c r="C100" s="153" t="s">
        <v>53</v>
      </c>
      <c r="D100" s="280" t="s">
        <v>55</v>
      </c>
      <c r="E100" s="274" t="s">
        <v>164</v>
      </c>
      <c r="F100" s="271" t="s">
        <v>114</v>
      </c>
      <c r="G100" s="63">
        <v>3500</v>
      </c>
      <c r="H100" s="9">
        <f t="shared" ref="H100:H102" si="17">G100</f>
        <v>3500</v>
      </c>
      <c r="I100" s="198">
        <v>0</v>
      </c>
      <c r="J100" s="9">
        <f>I100</f>
        <v>0</v>
      </c>
      <c r="K100" s="63">
        <v>3500</v>
      </c>
      <c r="L100" s="9">
        <f>K100</f>
        <v>3500</v>
      </c>
      <c r="M100" s="46">
        <v>3500</v>
      </c>
      <c r="N100" s="16">
        <f>M100</f>
        <v>3500</v>
      </c>
      <c r="O100" s="63">
        <v>3500</v>
      </c>
      <c r="P100" s="9">
        <f t="shared" ref="P100:P102" si="18">O100</f>
        <v>3500</v>
      </c>
      <c r="Q100" s="241">
        <v>0</v>
      </c>
      <c r="R100" s="16">
        <f>Q100</f>
        <v>0</v>
      </c>
      <c r="S100" s="198">
        <v>0</v>
      </c>
      <c r="T100" s="9">
        <f>S100</f>
        <v>0</v>
      </c>
      <c r="Y100" s="15">
        <f t="shared" si="14"/>
        <v>11885576.244378055</v>
      </c>
    </row>
    <row r="101" spans="1:25" ht="15.5" x14ac:dyDescent="0.35">
      <c r="B101" s="3" t="s">
        <v>352</v>
      </c>
      <c r="C101" s="153" t="s">
        <v>53</v>
      </c>
      <c r="D101" s="277" t="s">
        <v>102</v>
      </c>
      <c r="E101" s="274" t="s">
        <v>198</v>
      </c>
      <c r="F101" s="271" t="s">
        <v>161</v>
      </c>
      <c r="G101" s="63">
        <v>45000</v>
      </c>
      <c r="H101" s="9">
        <f t="shared" si="17"/>
        <v>45000</v>
      </c>
      <c r="I101" s="198">
        <v>0</v>
      </c>
      <c r="J101" s="9">
        <f>I101</f>
        <v>0</v>
      </c>
      <c r="K101" s="63">
        <v>45000</v>
      </c>
      <c r="L101" s="9">
        <f>K101</f>
        <v>45000</v>
      </c>
      <c r="M101" s="46">
        <v>45000</v>
      </c>
      <c r="N101" s="16">
        <f>M101</f>
        <v>45000</v>
      </c>
      <c r="O101" s="63">
        <v>45000</v>
      </c>
      <c r="P101" s="9">
        <f t="shared" si="18"/>
        <v>45000</v>
      </c>
      <c r="Q101" s="241">
        <v>0</v>
      </c>
      <c r="R101" s="16">
        <f>Q101</f>
        <v>0</v>
      </c>
      <c r="S101" s="198">
        <v>0</v>
      </c>
      <c r="T101" s="9">
        <f>S101</f>
        <v>0</v>
      </c>
      <c r="Y101" s="15">
        <f t="shared" si="14"/>
        <v>11457323.516760418</v>
      </c>
    </row>
    <row r="102" spans="1:25" ht="15.5" x14ac:dyDescent="0.35">
      <c r="B102" s="3" t="s">
        <v>352</v>
      </c>
      <c r="C102" s="153" t="s">
        <v>53</v>
      </c>
      <c r="D102" s="115" t="s">
        <v>58</v>
      </c>
      <c r="E102" s="286" t="s">
        <v>166</v>
      </c>
      <c r="F102" s="271" t="s">
        <v>114</v>
      </c>
      <c r="G102" s="63">
        <v>15000</v>
      </c>
      <c r="H102" s="9">
        <f t="shared" si="17"/>
        <v>15000</v>
      </c>
      <c r="I102" s="199">
        <v>10000</v>
      </c>
      <c r="J102" s="9">
        <f>I102</f>
        <v>10000</v>
      </c>
      <c r="K102" s="220">
        <v>15000</v>
      </c>
      <c r="L102" s="9">
        <f>K102</f>
        <v>15000</v>
      </c>
      <c r="M102" s="91">
        <v>15000</v>
      </c>
      <c r="N102" s="16">
        <f>M102</f>
        <v>15000</v>
      </c>
      <c r="O102" s="63">
        <v>15000</v>
      </c>
      <c r="P102" s="9">
        <f t="shared" si="18"/>
        <v>15000</v>
      </c>
      <c r="Q102" s="208">
        <v>10000</v>
      </c>
      <c r="R102" s="16">
        <f>Q102</f>
        <v>10000</v>
      </c>
      <c r="S102" s="199">
        <v>10000</v>
      </c>
      <c r="T102" s="9">
        <f>S102</f>
        <v>10000</v>
      </c>
      <c r="Y102" s="15">
        <f t="shared" si="14"/>
        <v>26656934.526415713</v>
      </c>
    </row>
    <row r="103" spans="1:25" ht="15.5" x14ac:dyDescent="0.35">
      <c r="A103" t="s">
        <v>217</v>
      </c>
      <c r="B103" s="3" t="s">
        <v>352</v>
      </c>
      <c r="C103" s="153" t="s">
        <v>53</v>
      </c>
      <c r="D103" s="283" t="s">
        <v>59</v>
      </c>
      <c r="E103" s="158" t="s">
        <v>133</v>
      </c>
      <c r="F103" s="185"/>
      <c r="G103" s="73">
        <v>600000</v>
      </c>
      <c r="H103" s="174">
        <f>G103</f>
        <v>600000</v>
      </c>
      <c r="I103" s="35" t="s">
        <v>356</v>
      </c>
      <c r="J103" s="120">
        <v>0</v>
      </c>
      <c r="K103" s="221">
        <v>600000</v>
      </c>
      <c r="L103" s="120">
        <v>600000</v>
      </c>
      <c r="M103" s="40">
        <v>600000</v>
      </c>
      <c r="N103" s="87">
        <v>0</v>
      </c>
      <c r="O103" s="73">
        <v>600000</v>
      </c>
      <c r="P103" s="174">
        <f>O103</f>
        <v>600000</v>
      </c>
      <c r="Q103" s="40">
        <v>600000</v>
      </c>
      <c r="R103" s="87">
        <v>0</v>
      </c>
      <c r="S103" s="35">
        <v>600000</v>
      </c>
      <c r="T103" s="120">
        <v>0</v>
      </c>
      <c r="Y103" s="15">
        <f t="shared" si="14"/>
        <v>28528174.555161498</v>
      </c>
    </row>
    <row r="104" spans="1:25" ht="15.5" x14ac:dyDescent="0.35">
      <c r="B104" s="3" t="s">
        <v>352</v>
      </c>
      <c r="C104" s="153" t="s">
        <v>53</v>
      </c>
      <c r="D104" s="280" t="s">
        <v>60</v>
      </c>
      <c r="E104" s="284" t="s">
        <v>174</v>
      </c>
      <c r="F104" s="271" t="s">
        <v>201</v>
      </c>
      <c r="G104" s="62">
        <v>0.02</v>
      </c>
      <c r="H104" s="14">
        <f>(H36*(H22/12)*G104)</f>
        <v>516489.86666666664</v>
      </c>
      <c r="I104" s="200">
        <v>0</v>
      </c>
      <c r="J104" s="14">
        <f>(J36*(J22/12)*I104)</f>
        <v>0</v>
      </c>
      <c r="K104" s="96">
        <v>0.02</v>
      </c>
      <c r="L104" s="14">
        <f>(L36*(L22/12)*$K$104)</f>
        <v>500656.25280000002</v>
      </c>
      <c r="M104" s="215">
        <v>0.02</v>
      </c>
      <c r="N104" s="16">
        <f>(N36*(N22/12)*M104)</f>
        <v>249342.33333333337</v>
      </c>
      <c r="O104" s="62">
        <v>0.02</v>
      </c>
      <c r="P104" s="14">
        <f>(P36*(P22/12)*O104)</f>
        <v>505713.38666666666</v>
      </c>
      <c r="Q104" s="242">
        <v>0</v>
      </c>
      <c r="R104" s="238">
        <f>(R36*(R22/12)*Q104)</f>
        <v>0</v>
      </c>
      <c r="S104" s="200">
        <v>0</v>
      </c>
      <c r="T104" s="14">
        <f>(T36*(T22/12)*$K$104)</f>
        <v>313686.33333333337</v>
      </c>
      <c r="Y104" s="15">
        <f t="shared" si="14"/>
        <v>8388618.9448676873</v>
      </c>
    </row>
    <row r="105" spans="1:25" ht="15.5" x14ac:dyDescent="0.35">
      <c r="A105" s="197"/>
      <c r="B105" s="3" t="s">
        <v>352</v>
      </c>
      <c r="C105" s="153" t="s">
        <v>53</v>
      </c>
      <c r="D105" s="280" t="s">
        <v>100</v>
      </c>
      <c r="E105" s="281" t="s">
        <v>122</v>
      </c>
      <c r="F105" s="271"/>
      <c r="G105" s="62">
        <v>0</v>
      </c>
      <c r="H105" s="15"/>
      <c r="I105" s="62">
        <v>0</v>
      </c>
      <c r="J105" s="15"/>
      <c r="K105" s="62">
        <v>0</v>
      </c>
      <c r="L105" s="15"/>
      <c r="M105" s="46">
        <v>0</v>
      </c>
      <c r="N105" s="16"/>
      <c r="O105" s="62">
        <v>0</v>
      </c>
      <c r="P105" s="15"/>
      <c r="Q105" s="46">
        <v>0</v>
      </c>
      <c r="R105" s="16"/>
      <c r="S105" s="62">
        <v>0</v>
      </c>
      <c r="T105" s="15"/>
      <c r="Y105" s="15">
        <f t="shared" si="14"/>
        <v>6890457.0894578667</v>
      </c>
    </row>
    <row r="106" spans="1:25" ht="15.5" x14ac:dyDescent="0.35">
      <c r="B106" s="3" t="s">
        <v>352</v>
      </c>
      <c r="C106" s="153" t="s">
        <v>357</v>
      </c>
      <c r="D106" s="104" t="s">
        <v>61</v>
      </c>
      <c r="E106" s="281" t="s">
        <v>122</v>
      </c>
      <c r="F106" s="271"/>
      <c r="G106" s="62">
        <v>0</v>
      </c>
      <c r="H106" s="15"/>
      <c r="I106" s="62">
        <v>0</v>
      </c>
      <c r="J106" s="15"/>
      <c r="K106" s="62">
        <v>0</v>
      </c>
      <c r="L106" s="15"/>
      <c r="M106" s="46">
        <v>0</v>
      </c>
      <c r="N106" s="16"/>
      <c r="O106" s="62">
        <v>0</v>
      </c>
      <c r="P106" s="15"/>
      <c r="Q106" s="46">
        <v>0</v>
      </c>
      <c r="R106" s="16"/>
      <c r="S106" s="62">
        <v>0</v>
      </c>
      <c r="T106" s="15"/>
      <c r="Y106" s="15">
        <f t="shared" si="14"/>
        <v>24736132.559167378</v>
      </c>
    </row>
    <row r="107" spans="1:25" ht="15.5" x14ac:dyDescent="0.35">
      <c r="B107" s="3" t="s">
        <v>352</v>
      </c>
      <c r="C107" s="153" t="s">
        <v>357</v>
      </c>
      <c r="D107" s="117" t="s">
        <v>62</v>
      </c>
      <c r="E107" s="157"/>
      <c r="F107" s="186"/>
      <c r="G107" s="74">
        <v>0</v>
      </c>
      <c r="H107" s="15"/>
      <c r="I107" s="105">
        <v>0</v>
      </c>
      <c r="J107" s="15"/>
      <c r="K107" s="105">
        <v>0</v>
      </c>
      <c r="L107" s="15"/>
      <c r="M107" s="106">
        <v>0</v>
      </c>
      <c r="N107" s="16"/>
      <c r="O107" s="74">
        <v>0</v>
      </c>
      <c r="P107" s="15"/>
      <c r="Q107" s="106">
        <v>0</v>
      </c>
      <c r="R107" s="16"/>
      <c r="S107" s="105">
        <v>0</v>
      </c>
      <c r="T107" s="15"/>
      <c r="Y107" s="15">
        <f t="shared" si="14"/>
        <v>46540748.154216021</v>
      </c>
    </row>
    <row r="108" spans="1:25" ht="15.5" x14ac:dyDescent="0.35">
      <c r="B108" s="3" t="s">
        <v>352</v>
      </c>
      <c r="C108" s="153" t="s">
        <v>357</v>
      </c>
      <c r="D108" s="117" t="s">
        <v>99</v>
      </c>
      <c r="E108" s="160" t="s">
        <v>122</v>
      </c>
      <c r="F108" s="176" t="s">
        <v>161</v>
      </c>
      <c r="G108" s="75">
        <v>0</v>
      </c>
      <c r="H108" s="175"/>
      <c r="I108" s="36">
        <v>0</v>
      </c>
      <c r="J108" s="118"/>
      <c r="K108" s="36">
        <v>0</v>
      </c>
      <c r="L108" s="118"/>
      <c r="M108" s="42">
        <v>0</v>
      </c>
      <c r="N108" s="87"/>
      <c r="O108" s="75">
        <v>0</v>
      </c>
      <c r="P108" s="175"/>
      <c r="Q108" s="42">
        <v>0</v>
      </c>
      <c r="R108" s="87"/>
      <c r="S108" s="36">
        <v>0</v>
      </c>
      <c r="T108" s="118"/>
      <c r="Y108" s="15">
        <f t="shared" si="14"/>
        <v>51037027.365182392</v>
      </c>
    </row>
    <row r="109" spans="1:25" ht="15.5" x14ac:dyDescent="0.35">
      <c r="B109" s="3" t="s">
        <v>352</v>
      </c>
      <c r="C109" s="153" t="s">
        <v>357</v>
      </c>
      <c r="D109" s="117" t="s">
        <v>63</v>
      </c>
      <c r="E109" s="160" t="s">
        <v>171</v>
      </c>
      <c r="F109" s="176" t="s">
        <v>161</v>
      </c>
      <c r="G109" s="75">
        <v>43308</v>
      </c>
      <c r="H109" s="175">
        <f t="shared" ref="H109:H137" si="19">G109</f>
        <v>43308</v>
      </c>
      <c r="I109" s="201">
        <v>0</v>
      </c>
      <c r="J109" s="118">
        <f>I109</f>
        <v>0</v>
      </c>
      <c r="K109" s="222">
        <f>Table323[[#This Row],[Baseline]]</f>
        <v>43308</v>
      </c>
      <c r="L109" s="118">
        <f>K109</f>
        <v>43308</v>
      </c>
      <c r="M109" s="42">
        <v>43308</v>
      </c>
      <c r="N109" s="87">
        <f>M109</f>
        <v>43308</v>
      </c>
      <c r="O109" s="75">
        <v>43308</v>
      </c>
      <c r="P109" s="175">
        <f t="shared" ref="P109:P111" si="20">O109</f>
        <v>43308</v>
      </c>
      <c r="Q109" s="243">
        <v>0</v>
      </c>
      <c r="R109" s="87">
        <f>Q109</f>
        <v>0</v>
      </c>
      <c r="S109" s="201">
        <v>0</v>
      </c>
      <c r="T109" s="118">
        <f>S109</f>
        <v>0</v>
      </c>
      <c r="Y109" s="15">
        <f t="shared" si="14"/>
        <v>53938165.849976286</v>
      </c>
    </row>
    <row r="110" spans="1:25" ht="15.5" x14ac:dyDescent="0.35">
      <c r="B110" s="3" t="s">
        <v>352</v>
      </c>
      <c r="C110" s="153" t="s">
        <v>357</v>
      </c>
      <c r="D110" s="117" t="s">
        <v>111</v>
      </c>
      <c r="E110" s="161" t="s">
        <v>172</v>
      </c>
      <c r="F110" s="176" t="s">
        <v>161</v>
      </c>
      <c r="G110" s="75">
        <v>12000</v>
      </c>
      <c r="H110" s="175">
        <f t="shared" si="19"/>
        <v>12000</v>
      </c>
      <c r="I110" s="201">
        <v>0</v>
      </c>
      <c r="J110" s="118">
        <f>I110</f>
        <v>0</v>
      </c>
      <c r="K110" s="222">
        <f>Table323[[#This Row],[Baseline]]</f>
        <v>12000</v>
      </c>
      <c r="L110" s="118">
        <f>K110</f>
        <v>12000</v>
      </c>
      <c r="M110" s="42">
        <v>12000</v>
      </c>
      <c r="N110" s="87">
        <f t="shared" ref="N110:N119" si="21">M110</f>
        <v>12000</v>
      </c>
      <c r="O110" s="75">
        <v>12000</v>
      </c>
      <c r="P110" s="175">
        <f t="shared" si="20"/>
        <v>12000</v>
      </c>
      <c r="Q110" s="243">
        <v>0</v>
      </c>
      <c r="R110" s="87">
        <f t="shared" ref="R110:R119" si="22">Q110</f>
        <v>0</v>
      </c>
      <c r="S110" s="201">
        <v>0</v>
      </c>
      <c r="T110" s="118">
        <f>S110</f>
        <v>0</v>
      </c>
      <c r="Y110" s="15">
        <f t="shared" si="14"/>
        <v>48145728.762822591</v>
      </c>
    </row>
    <row r="111" spans="1:25" ht="15.5" x14ac:dyDescent="0.35">
      <c r="B111" s="3" t="s">
        <v>352</v>
      </c>
      <c r="C111" s="153" t="s">
        <v>357</v>
      </c>
      <c r="D111" s="119" t="s">
        <v>96</v>
      </c>
      <c r="E111" s="161" t="s">
        <v>170</v>
      </c>
      <c r="F111" s="176" t="s">
        <v>161</v>
      </c>
      <c r="G111" s="75">
        <v>0</v>
      </c>
      <c r="H111" s="175">
        <f t="shared" si="19"/>
        <v>0</v>
      </c>
      <c r="I111" s="36">
        <v>0</v>
      </c>
      <c r="J111" s="118">
        <f>H111</f>
        <v>0</v>
      </c>
      <c r="K111" s="36">
        <v>0</v>
      </c>
      <c r="L111" s="118">
        <f>J111</f>
        <v>0</v>
      </c>
      <c r="M111" s="42">
        <v>0</v>
      </c>
      <c r="N111" s="87">
        <f t="shared" si="21"/>
        <v>0</v>
      </c>
      <c r="O111" s="75">
        <v>0</v>
      </c>
      <c r="P111" s="175">
        <f t="shared" si="20"/>
        <v>0</v>
      </c>
      <c r="Q111" s="42">
        <v>0</v>
      </c>
      <c r="R111" s="87">
        <f t="shared" si="22"/>
        <v>0</v>
      </c>
      <c r="S111" s="36">
        <v>0</v>
      </c>
      <c r="T111" s="118">
        <f>N111</f>
        <v>0</v>
      </c>
      <c r="Y111" s="15">
        <f t="shared" si="14"/>
        <v>47712554.332400084</v>
      </c>
    </row>
    <row r="112" spans="1:25" ht="15.5" x14ac:dyDescent="0.35">
      <c r="B112" s="3" t="s">
        <v>352</v>
      </c>
      <c r="C112" s="153" t="s">
        <v>357</v>
      </c>
      <c r="D112" s="283" t="s">
        <v>65</v>
      </c>
      <c r="E112" s="158" t="s">
        <v>130</v>
      </c>
      <c r="F112" s="185" t="s">
        <v>161</v>
      </c>
      <c r="G112" s="76"/>
      <c r="H112" s="167">
        <f>SUM(H113:H114)</f>
        <v>80000</v>
      </c>
      <c r="I112" s="37"/>
      <c r="J112" s="87">
        <f>SUM(J113:J114)</f>
        <v>0</v>
      </c>
      <c r="K112" s="37"/>
      <c r="L112" s="87">
        <f>SUM(L113:L114)</f>
        <v>80000</v>
      </c>
      <c r="M112" s="43">
        <v>0</v>
      </c>
      <c r="N112" s="87">
        <f t="shared" si="21"/>
        <v>0</v>
      </c>
      <c r="O112" s="76"/>
      <c r="P112" s="167">
        <f>SUM(P113:P114)</f>
        <v>80000</v>
      </c>
      <c r="Q112" s="43">
        <v>0</v>
      </c>
      <c r="R112" s="87">
        <f t="shared" si="22"/>
        <v>0</v>
      </c>
      <c r="S112" s="37"/>
      <c r="T112" s="87">
        <f>SUM(T113:T114)</f>
        <v>0</v>
      </c>
      <c r="Y112" s="15">
        <f t="shared" si="14"/>
        <v>24797639.025547031</v>
      </c>
    </row>
    <row r="113" spans="1:25" ht="15.5" x14ac:dyDescent="0.35">
      <c r="B113" s="3" t="s">
        <v>352</v>
      </c>
      <c r="C113" s="153" t="s">
        <v>357</v>
      </c>
      <c r="D113" s="280" t="s">
        <v>104</v>
      </c>
      <c r="E113" s="284" t="s">
        <v>175</v>
      </c>
      <c r="F113" s="271" t="s">
        <v>114</v>
      </c>
      <c r="G113" s="77">
        <v>40000</v>
      </c>
      <c r="H113" s="15">
        <f t="shared" si="19"/>
        <v>40000</v>
      </c>
      <c r="I113" s="202">
        <v>0</v>
      </c>
      <c r="J113" s="15">
        <f>I113</f>
        <v>0</v>
      </c>
      <c r="K113" s="114">
        <f>Table323[[#This Row],[Base Variables ]]</f>
        <v>40000</v>
      </c>
      <c r="L113" s="15">
        <f>K113</f>
        <v>40000</v>
      </c>
      <c r="M113" s="93">
        <v>40000</v>
      </c>
      <c r="N113" s="87">
        <f t="shared" si="21"/>
        <v>40000</v>
      </c>
      <c r="O113" s="77">
        <v>40000</v>
      </c>
      <c r="P113" s="15">
        <f t="shared" ref="P113:P120" si="23">O113</f>
        <v>40000</v>
      </c>
      <c r="Q113" s="209">
        <v>0</v>
      </c>
      <c r="R113" s="87">
        <f t="shared" si="22"/>
        <v>0</v>
      </c>
      <c r="S113" s="202">
        <v>0</v>
      </c>
      <c r="T113" s="15">
        <f>S113</f>
        <v>0</v>
      </c>
      <c r="Y113" s="15">
        <f t="shared" si="14"/>
        <v>6703753.4624723839</v>
      </c>
    </row>
    <row r="114" spans="1:25" ht="15.5" x14ac:dyDescent="0.35">
      <c r="B114" s="3" t="s">
        <v>352</v>
      </c>
      <c r="C114" s="153" t="s">
        <v>357</v>
      </c>
      <c r="D114" s="3" t="s">
        <v>66</v>
      </c>
      <c r="E114" s="274" t="s">
        <v>180</v>
      </c>
      <c r="F114" s="271" t="s">
        <v>114</v>
      </c>
      <c r="G114" s="77">
        <v>40000</v>
      </c>
      <c r="H114" s="15">
        <f t="shared" si="19"/>
        <v>40000</v>
      </c>
      <c r="I114" s="203">
        <v>0</v>
      </c>
      <c r="J114" s="15">
        <f>I114</f>
        <v>0</v>
      </c>
      <c r="K114" s="114">
        <f>Table323[[#This Row],[Base Variables ]]</f>
        <v>40000</v>
      </c>
      <c r="L114" s="15">
        <f>K114</f>
        <v>40000</v>
      </c>
      <c r="M114" s="48">
        <v>40000</v>
      </c>
      <c r="N114" s="87">
        <f t="shared" si="21"/>
        <v>40000</v>
      </c>
      <c r="O114" s="77">
        <v>40000</v>
      </c>
      <c r="P114" s="15">
        <f t="shared" si="23"/>
        <v>40000</v>
      </c>
      <c r="Q114" s="207">
        <v>0</v>
      </c>
      <c r="R114" s="87">
        <f t="shared" si="22"/>
        <v>0</v>
      </c>
      <c r="S114" s="203">
        <v>0</v>
      </c>
      <c r="T114" s="15">
        <f>S114</f>
        <v>0</v>
      </c>
      <c r="Y114" s="15">
        <f t="shared" si="14"/>
        <v>7765638.9047943447</v>
      </c>
    </row>
    <row r="115" spans="1:25" ht="15.5" x14ac:dyDescent="0.35">
      <c r="A115" s="197"/>
      <c r="B115" s="3" t="s">
        <v>352</v>
      </c>
      <c r="C115" s="153" t="s">
        <v>357</v>
      </c>
      <c r="D115" s="104" t="s">
        <v>67</v>
      </c>
      <c r="E115" s="134" t="s">
        <v>181</v>
      </c>
      <c r="F115" s="184" t="s">
        <v>114</v>
      </c>
      <c r="G115" s="75">
        <v>55000</v>
      </c>
      <c r="H115" s="16">
        <f t="shared" si="19"/>
        <v>55000</v>
      </c>
      <c r="I115" s="204">
        <v>0</v>
      </c>
      <c r="J115" s="16">
        <f>I115</f>
        <v>0</v>
      </c>
      <c r="K115" s="204">
        <v>0</v>
      </c>
      <c r="L115" s="16">
        <f>K115</f>
        <v>0</v>
      </c>
      <c r="M115" s="53">
        <v>55000</v>
      </c>
      <c r="N115" s="87">
        <f t="shared" si="21"/>
        <v>55000</v>
      </c>
      <c r="O115" s="75">
        <v>55000</v>
      </c>
      <c r="P115" s="16">
        <f t="shared" si="23"/>
        <v>55000</v>
      </c>
      <c r="Q115" s="244">
        <v>0</v>
      </c>
      <c r="R115" s="87">
        <f t="shared" si="22"/>
        <v>0</v>
      </c>
      <c r="S115" s="204">
        <v>20000</v>
      </c>
      <c r="T115" s="16">
        <f>S115</f>
        <v>20000</v>
      </c>
      <c r="Y115" s="15">
        <f t="shared" si="14"/>
        <v>10174761.662566233</v>
      </c>
    </row>
    <row r="116" spans="1:25" ht="15.5" x14ac:dyDescent="0.35">
      <c r="B116" s="3" t="s">
        <v>352</v>
      </c>
      <c r="C116" s="153" t="s">
        <v>357</v>
      </c>
      <c r="D116" s="109" t="s">
        <v>68</v>
      </c>
      <c r="E116" s="157"/>
      <c r="F116" s="186"/>
      <c r="G116" s="74">
        <v>0</v>
      </c>
      <c r="H116" s="15">
        <f t="shared" si="19"/>
        <v>0</v>
      </c>
      <c r="I116" s="105">
        <v>0</v>
      </c>
      <c r="J116" s="15">
        <f>H116</f>
        <v>0</v>
      </c>
      <c r="K116" s="105">
        <v>0</v>
      </c>
      <c r="L116" s="15">
        <f>J116</f>
        <v>0</v>
      </c>
      <c r="M116" s="106">
        <v>0</v>
      </c>
      <c r="N116" s="87">
        <f t="shared" si="21"/>
        <v>0</v>
      </c>
      <c r="O116" s="74">
        <v>0</v>
      </c>
      <c r="P116" s="15">
        <f t="shared" si="23"/>
        <v>0</v>
      </c>
      <c r="Q116" s="106">
        <v>0</v>
      </c>
      <c r="R116" s="87">
        <f t="shared" si="22"/>
        <v>0</v>
      </c>
      <c r="S116" s="105">
        <v>0</v>
      </c>
      <c r="T116" s="15">
        <f>N116</f>
        <v>0</v>
      </c>
      <c r="Y116" s="15">
        <f t="shared" si="14"/>
        <v>30658790.873337947</v>
      </c>
    </row>
    <row r="117" spans="1:25" ht="15.5" x14ac:dyDescent="0.35">
      <c r="B117" s="3" t="s">
        <v>352</v>
      </c>
      <c r="C117" s="153" t="s">
        <v>357</v>
      </c>
      <c r="D117" s="107" t="s">
        <v>101</v>
      </c>
      <c r="E117" s="162" t="s">
        <v>199</v>
      </c>
      <c r="F117" s="176" t="s">
        <v>161</v>
      </c>
      <c r="G117" s="75">
        <v>600000</v>
      </c>
      <c r="H117" s="170">
        <f t="shared" si="19"/>
        <v>600000</v>
      </c>
      <c r="I117" s="205">
        <v>0</v>
      </c>
      <c r="J117" s="103">
        <f>I117</f>
        <v>0</v>
      </c>
      <c r="K117" s="223">
        <v>600000</v>
      </c>
      <c r="L117" s="103">
        <f>K117</f>
        <v>600000</v>
      </c>
      <c r="M117" s="110">
        <v>600000</v>
      </c>
      <c r="N117" s="87">
        <f t="shared" si="21"/>
        <v>600000</v>
      </c>
      <c r="O117" s="75">
        <v>600000</v>
      </c>
      <c r="P117" s="170">
        <f t="shared" si="23"/>
        <v>600000</v>
      </c>
      <c r="Q117" s="245">
        <v>0</v>
      </c>
      <c r="R117" s="87">
        <f t="shared" si="22"/>
        <v>0</v>
      </c>
      <c r="S117" s="205">
        <v>100000</v>
      </c>
      <c r="T117" s="103">
        <f>S117</f>
        <v>100000</v>
      </c>
      <c r="Y117" s="15">
        <f t="shared" si="14"/>
        <v>53985228.874539465</v>
      </c>
    </row>
    <row r="118" spans="1:25" ht="15.5" x14ac:dyDescent="0.35">
      <c r="B118" s="3" t="s">
        <v>352</v>
      </c>
      <c r="C118" s="153" t="s">
        <v>357</v>
      </c>
      <c r="D118" s="3" t="s">
        <v>69</v>
      </c>
      <c r="E118" s="163" t="s">
        <v>183</v>
      </c>
      <c r="F118" s="176" t="s">
        <v>161</v>
      </c>
      <c r="G118" s="75">
        <v>75000</v>
      </c>
      <c r="H118" s="16">
        <f t="shared" si="19"/>
        <v>75000</v>
      </c>
      <c r="I118" s="206">
        <v>0</v>
      </c>
      <c r="J118" s="16">
        <f>I118</f>
        <v>0</v>
      </c>
      <c r="K118" s="224">
        <v>75000</v>
      </c>
      <c r="L118" s="16">
        <f>K118</f>
        <v>75000</v>
      </c>
      <c r="M118" s="108">
        <v>75000</v>
      </c>
      <c r="N118" s="87">
        <f t="shared" si="21"/>
        <v>75000</v>
      </c>
      <c r="O118" s="75">
        <v>75000</v>
      </c>
      <c r="P118" s="16">
        <f t="shared" si="23"/>
        <v>75000</v>
      </c>
      <c r="Q118" s="246">
        <v>0</v>
      </c>
      <c r="R118" s="87">
        <f t="shared" si="22"/>
        <v>0</v>
      </c>
      <c r="S118" s="206">
        <v>0</v>
      </c>
      <c r="T118" s="16">
        <f>S118</f>
        <v>0</v>
      </c>
      <c r="Y118" s="15">
        <f t="shared" si="14"/>
        <v>51950343.845739298</v>
      </c>
    </row>
    <row r="119" spans="1:25" ht="15.5" x14ac:dyDescent="0.35">
      <c r="B119" s="3" t="s">
        <v>86</v>
      </c>
      <c r="C119" s="153" t="s">
        <v>70</v>
      </c>
      <c r="D119" s="26" t="s">
        <v>70</v>
      </c>
      <c r="E119" s="134" t="s">
        <v>182</v>
      </c>
      <c r="F119" s="176" t="s">
        <v>114</v>
      </c>
      <c r="G119" s="75">
        <v>36000</v>
      </c>
      <c r="H119" s="16">
        <f t="shared" si="19"/>
        <v>36000</v>
      </c>
      <c r="I119" s="75">
        <v>36000</v>
      </c>
      <c r="J119" s="16">
        <f>I119</f>
        <v>36000</v>
      </c>
      <c r="K119" s="75">
        <v>36000</v>
      </c>
      <c r="L119" s="16">
        <f>K119</f>
        <v>36000</v>
      </c>
      <c r="M119" s="53">
        <v>36000</v>
      </c>
      <c r="N119" s="87">
        <f t="shared" si="21"/>
        <v>36000</v>
      </c>
      <c r="O119" s="75">
        <v>36000</v>
      </c>
      <c r="P119" s="16">
        <f t="shared" si="23"/>
        <v>36000</v>
      </c>
      <c r="Q119" s="53">
        <v>36000</v>
      </c>
      <c r="R119" s="87">
        <f t="shared" si="22"/>
        <v>36000</v>
      </c>
      <c r="S119" s="75">
        <v>36000</v>
      </c>
      <c r="T119" s="16">
        <f>S119</f>
        <v>36000</v>
      </c>
      <c r="Y119" s="15">
        <f t="shared" si="14"/>
        <v>27702133.109324418</v>
      </c>
    </row>
    <row r="120" spans="1:25" ht="15.5" x14ac:dyDescent="0.35">
      <c r="B120" s="3" t="s">
        <v>351</v>
      </c>
      <c r="C120" s="153" t="s">
        <v>71</v>
      </c>
      <c r="D120" s="3" t="s">
        <v>71</v>
      </c>
      <c r="E120" s="164"/>
      <c r="F120" s="186"/>
      <c r="G120" s="78">
        <v>0</v>
      </c>
      <c r="H120" s="15">
        <f t="shared" si="19"/>
        <v>0</v>
      </c>
      <c r="I120" s="78">
        <v>0</v>
      </c>
      <c r="J120" s="15">
        <f>H120</f>
        <v>0</v>
      </c>
      <c r="K120" s="78">
        <v>0</v>
      </c>
      <c r="L120" s="15">
        <f>J120</f>
        <v>0</v>
      </c>
      <c r="M120" s="52">
        <v>0</v>
      </c>
      <c r="N120" s="16">
        <f>L120</f>
        <v>0</v>
      </c>
      <c r="O120" s="78">
        <v>0</v>
      </c>
      <c r="P120" s="15">
        <f t="shared" si="23"/>
        <v>0</v>
      </c>
      <c r="Q120" s="52">
        <v>0</v>
      </c>
      <c r="R120" s="16">
        <f>P120</f>
        <v>0</v>
      </c>
      <c r="S120" s="78">
        <v>0</v>
      </c>
      <c r="T120" s="15">
        <f>N120</f>
        <v>0</v>
      </c>
      <c r="Y120" s="15">
        <f t="shared" si="14"/>
        <v>6579367.6799748819</v>
      </c>
    </row>
    <row r="121" spans="1:25" ht="15.5" x14ac:dyDescent="0.35">
      <c r="B121" s="3" t="s">
        <v>86</v>
      </c>
      <c r="C121" s="153" t="s">
        <v>85</v>
      </c>
      <c r="D121" s="25" t="s">
        <v>85</v>
      </c>
      <c r="E121" s="134" t="s">
        <v>184</v>
      </c>
      <c r="F121" s="176"/>
      <c r="G121" s="79">
        <v>1.2800000000000001E-2</v>
      </c>
      <c r="H121" s="15">
        <f>Table323[[#This Row],[Base Variables ]]*H31</f>
        <v>256</v>
      </c>
      <c r="I121" s="79">
        <v>1.2800000000000001E-2</v>
      </c>
      <c r="J121" s="15">
        <f>Table323[[#This Row],[P1 Adjusted variables ]]*J31</f>
        <v>256</v>
      </c>
      <c r="K121" s="228">
        <v>0</v>
      </c>
      <c r="L121" s="15">
        <f>K121*L31</f>
        <v>0</v>
      </c>
      <c r="M121" s="247">
        <v>1.2800000000000001E-2</v>
      </c>
      <c r="N121" s="16">
        <f>M121*N31</f>
        <v>256</v>
      </c>
      <c r="O121" s="79">
        <v>1.2800000000000001E-2</v>
      </c>
      <c r="P121" s="15">
        <f>Table323[[#This Row],[Base Variables ]]*P31</f>
        <v>0</v>
      </c>
      <c r="Q121" s="248">
        <v>0</v>
      </c>
      <c r="R121" s="16">
        <f>Q121*R31</f>
        <v>0</v>
      </c>
      <c r="S121" s="79">
        <v>1.2800000000000001E-2</v>
      </c>
      <c r="T121" s="15">
        <f>N121</f>
        <v>256</v>
      </c>
      <c r="Y121" s="15">
        <f t="shared" si="14"/>
        <v>7155661.7936438872</v>
      </c>
    </row>
    <row r="122" spans="1:25" ht="15.5" x14ac:dyDescent="0.35">
      <c r="B122" s="3" t="s">
        <v>86</v>
      </c>
      <c r="C122" s="153" t="s">
        <v>85</v>
      </c>
      <c r="D122" s="280" t="s">
        <v>72</v>
      </c>
      <c r="E122" s="156" t="s">
        <v>130</v>
      </c>
      <c r="F122" s="185"/>
      <c r="G122" s="76">
        <v>143242.57</v>
      </c>
      <c r="H122" s="16">
        <f>SUM(H123:H125)</f>
        <v>170000</v>
      </c>
      <c r="I122" s="76">
        <v>143242.57</v>
      </c>
      <c r="J122" s="16">
        <f>SUM(J123:J125)</f>
        <v>170000</v>
      </c>
      <c r="K122" s="76">
        <v>143242.57</v>
      </c>
      <c r="L122" s="16">
        <f>SUM(L123:L125)</f>
        <v>170000</v>
      </c>
      <c r="M122" s="54">
        <v>143242.57</v>
      </c>
      <c r="N122" s="16">
        <f>SUM(N123:N125)</f>
        <v>170000</v>
      </c>
      <c r="O122" s="76">
        <v>143242.57</v>
      </c>
      <c r="P122" s="16">
        <f>SUM(P123:P125)</f>
        <v>170000</v>
      </c>
      <c r="Q122" s="54">
        <v>143242.57</v>
      </c>
      <c r="R122" s="16">
        <f>SUM(R123:R125)</f>
        <v>170000</v>
      </c>
      <c r="S122" s="76">
        <v>143242.57</v>
      </c>
      <c r="T122" s="16">
        <f>SUM(T123:T125)</f>
        <v>170000</v>
      </c>
      <c r="Y122" s="15">
        <f t="shared" si="14"/>
        <v>6695296.9099965552</v>
      </c>
    </row>
    <row r="123" spans="1:25" ht="15.5" x14ac:dyDescent="0.35">
      <c r="B123" s="3" t="s">
        <v>86</v>
      </c>
      <c r="C123" s="153" t="s">
        <v>85</v>
      </c>
      <c r="D123" s="280" t="s">
        <v>103</v>
      </c>
      <c r="E123" s="274" t="s">
        <v>185</v>
      </c>
      <c r="F123" s="271" t="s">
        <v>114</v>
      </c>
      <c r="G123" s="77">
        <v>120000</v>
      </c>
      <c r="H123" s="15">
        <f t="shared" si="19"/>
        <v>120000</v>
      </c>
      <c r="I123" s="77">
        <v>120000</v>
      </c>
      <c r="J123" s="15">
        <f>H123</f>
        <v>120000</v>
      </c>
      <c r="K123" s="77">
        <v>120000</v>
      </c>
      <c r="L123" s="15">
        <f>J123</f>
        <v>120000</v>
      </c>
      <c r="M123" s="48">
        <v>120000</v>
      </c>
      <c r="N123" s="16">
        <f>L123</f>
        <v>120000</v>
      </c>
      <c r="O123" s="77">
        <v>120000</v>
      </c>
      <c r="P123" s="15">
        <f t="shared" ref="P123:P126" si="24">O123</f>
        <v>120000</v>
      </c>
      <c r="Q123" s="48">
        <v>120000</v>
      </c>
      <c r="R123" s="16">
        <f>P123</f>
        <v>120000</v>
      </c>
      <c r="S123" s="77">
        <v>120000</v>
      </c>
      <c r="T123" s="15">
        <f>N123</f>
        <v>120000</v>
      </c>
      <c r="Y123" s="15">
        <f t="shared" si="14"/>
        <v>10311026.390864911</v>
      </c>
    </row>
    <row r="124" spans="1:25" ht="15.5" x14ac:dyDescent="0.35">
      <c r="B124" s="3" t="s">
        <v>86</v>
      </c>
      <c r="C124" s="153" t="s">
        <v>85</v>
      </c>
      <c r="D124" s="280" t="s">
        <v>86</v>
      </c>
      <c r="E124" s="274" t="s">
        <v>186</v>
      </c>
      <c r="F124" s="271" t="s">
        <v>114</v>
      </c>
      <c r="G124" s="77">
        <v>50000</v>
      </c>
      <c r="H124" s="15">
        <f t="shared" si="19"/>
        <v>50000</v>
      </c>
      <c r="I124" s="77">
        <v>50000</v>
      </c>
      <c r="J124" s="15">
        <f>H124</f>
        <v>50000</v>
      </c>
      <c r="K124" s="77">
        <v>50000</v>
      </c>
      <c r="L124" s="15">
        <f>J124</f>
        <v>50000</v>
      </c>
      <c r="M124" s="48">
        <v>50000</v>
      </c>
      <c r="N124" s="16">
        <f>L124</f>
        <v>50000</v>
      </c>
      <c r="O124" s="77">
        <v>50000</v>
      </c>
      <c r="P124" s="15">
        <f t="shared" si="24"/>
        <v>50000</v>
      </c>
      <c r="Q124" s="48">
        <v>50000</v>
      </c>
      <c r="R124" s="16">
        <f>P124</f>
        <v>50000</v>
      </c>
      <c r="S124" s="77">
        <v>50000</v>
      </c>
      <c r="T124" s="15">
        <f>N124</f>
        <v>50000</v>
      </c>
      <c r="Y124" s="15">
        <f t="shared" si="14"/>
        <v>27200762.117929082</v>
      </c>
    </row>
    <row r="125" spans="1:25" ht="15.5" x14ac:dyDescent="0.35">
      <c r="B125" s="3" t="s">
        <v>86</v>
      </c>
      <c r="C125" s="153" t="s">
        <v>73</v>
      </c>
      <c r="D125" s="111" t="s">
        <v>73</v>
      </c>
      <c r="E125" s="349" t="s">
        <v>146</v>
      </c>
      <c r="F125" s="271"/>
      <c r="G125" s="77">
        <v>0</v>
      </c>
      <c r="H125" s="15">
        <f t="shared" si="19"/>
        <v>0</v>
      </c>
      <c r="I125" s="77">
        <v>0</v>
      </c>
      <c r="J125" s="15">
        <f>H125</f>
        <v>0</v>
      </c>
      <c r="K125" s="77">
        <v>0</v>
      </c>
      <c r="L125" s="15">
        <f>J125</f>
        <v>0</v>
      </c>
      <c r="M125" s="48">
        <v>0</v>
      </c>
      <c r="N125" s="16">
        <f>L125</f>
        <v>0</v>
      </c>
      <c r="O125" s="77">
        <v>0</v>
      </c>
      <c r="P125" s="15">
        <f t="shared" si="24"/>
        <v>0</v>
      </c>
      <c r="Q125" s="48">
        <v>0</v>
      </c>
      <c r="R125" s="16">
        <f>P125</f>
        <v>0</v>
      </c>
      <c r="S125" s="77">
        <v>0</v>
      </c>
      <c r="T125" s="15">
        <f>N125</f>
        <v>0</v>
      </c>
      <c r="Y125" s="15">
        <f t="shared" si="14"/>
        <v>48410136.17772904</v>
      </c>
    </row>
    <row r="126" spans="1:25" ht="15.5" x14ac:dyDescent="0.35">
      <c r="B126" s="3" t="s">
        <v>351</v>
      </c>
      <c r="C126" s="135" t="s">
        <v>74</v>
      </c>
      <c r="D126" s="115" t="s">
        <v>74</v>
      </c>
      <c r="E126" s="147" t="s">
        <v>200</v>
      </c>
      <c r="F126" s="176" t="s">
        <v>116</v>
      </c>
      <c r="G126" s="75">
        <v>50000</v>
      </c>
      <c r="H126" s="16">
        <f t="shared" si="19"/>
        <v>50000</v>
      </c>
      <c r="I126" s="112">
        <v>50000</v>
      </c>
      <c r="J126" s="16">
        <f>H126</f>
        <v>50000</v>
      </c>
      <c r="K126" s="229">
        <v>0</v>
      </c>
      <c r="L126" s="16">
        <f>K126</f>
        <v>0</v>
      </c>
      <c r="M126" s="113">
        <v>50000</v>
      </c>
      <c r="N126" s="16">
        <f>M126</f>
        <v>50000</v>
      </c>
      <c r="O126" s="75">
        <v>50000</v>
      </c>
      <c r="P126" s="16">
        <f t="shared" si="24"/>
        <v>50000</v>
      </c>
      <c r="Q126" s="249">
        <v>0</v>
      </c>
      <c r="R126" s="16">
        <f>Q126</f>
        <v>0</v>
      </c>
      <c r="S126" s="112">
        <v>50000</v>
      </c>
      <c r="T126" s="16">
        <f>N126</f>
        <v>50000</v>
      </c>
      <c r="Y126" s="15">
        <f t="shared" si="14"/>
        <v>27379597.699805841</v>
      </c>
    </row>
    <row r="127" spans="1:25" ht="15.5" x14ac:dyDescent="0.35">
      <c r="B127" s="3" t="s">
        <v>351</v>
      </c>
      <c r="C127" s="135" t="s">
        <v>74</v>
      </c>
      <c r="D127" s="283" t="s">
        <v>75</v>
      </c>
      <c r="E127" s="160" t="s">
        <v>187</v>
      </c>
      <c r="F127" s="185"/>
      <c r="G127" s="76" t="s">
        <v>212</v>
      </c>
      <c r="H127" s="167">
        <f>SUM(H128:H133)</f>
        <v>780000</v>
      </c>
      <c r="I127" s="37" t="s">
        <v>212</v>
      </c>
      <c r="J127" s="87">
        <f>SUM(J128:J133)</f>
        <v>780000</v>
      </c>
      <c r="K127" s="37" t="s">
        <v>229</v>
      </c>
      <c r="L127" s="87">
        <f>SUM(L128:L133)</f>
        <v>65000</v>
      </c>
      <c r="M127" s="43">
        <v>709283</v>
      </c>
      <c r="N127" s="87">
        <f>SUM(N128:N133)</f>
        <v>780000</v>
      </c>
      <c r="O127" s="76" t="s">
        <v>212</v>
      </c>
      <c r="P127" s="167">
        <f>SUM(P128:P133)</f>
        <v>780000</v>
      </c>
      <c r="Q127" s="37" t="s">
        <v>229</v>
      </c>
      <c r="R127" s="87">
        <f>SUM(R128:R133)</f>
        <v>65000</v>
      </c>
      <c r="S127" s="37" t="s">
        <v>212</v>
      </c>
      <c r="T127" s="87">
        <f>SUM(T128:T133)</f>
        <v>780000</v>
      </c>
      <c r="Y127" s="15">
        <f t="shared" si="14"/>
        <v>10014335.077508351</v>
      </c>
    </row>
    <row r="128" spans="1:25" ht="15.5" x14ac:dyDescent="0.35">
      <c r="B128" s="3" t="s">
        <v>351</v>
      </c>
      <c r="C128" s="135" t="s">
        <v>74</v>
      </c>
      <c r="D128" s="280" t="s">
        <v>76</v>
      </c>
      <c r="E128" s="284" t="s">
        <v>188</v>
      </c>
      <c r="F128" s="271" t="s">
        <v>114</v>
      </c>
      <c r="G128" s="77">
        <v>90000</v>
      </c>
      <c r="H128" s="15">
        <f t="shared" si="19"/>
        <v>90000</v>
      </c>
      <c r="I128" s="114">
        <v>90000</v>
      </c>
      <c r="J128" s="15">
        <f t="shared" ref="J128:J138" si="25">I128</f>
        <v>90000</v>
      </c>
      <c r="K128" s="202">
        <v>9000</v>
      </c>
      <c r="L128" s="15">
        <f t="shared" ref="L128:L138" si="26">K128</f>
        <v>9000</v>
      </c>
      <c r="M128" s="93">
        <v>90000</v>
      </c>
      <c r="N128" s="16">
        <f>M128</f>
        <v>90000</v>
      </c>
      <c r="O128" s="77">
        <v>90000</v>
      </c>
      <c r="P128" s="15">
        <f t="shared" ref="P128:P137" si="27">O128</f>
        <v>90000</v>
      </c>
      <c r="Q128" s="209">
        <v>9000</v>
      </c>
      <c r="R128" s="16">
        <f>Q128</f>
        <v>9000</v>
      </c>
      <c r="S128" s="114">
        <v>90000</v>
      </c>
      <c r="T128" s="15">
        <f t="shared" ref="T128:T138" si="28">S128</f>
        <v>90000</v>
      </c>
      <c r="Y128" s="15">
        <f t="shared" si="14"/>
        <v>33063179.533961665</v>
      </c>
    </row>
    <row r="129" spans="2:25" ht="15.5" x14ac:dyDescent="0.35">
      <c r="B129" s="3" t="s">
        <v>351</v>
      </c>
      <c r="C129" s="135" t="s">
        <v>74</v>
      </c>
      <c r="D129" s="280" t="s">
        <v>77</v>
      </c>
      <c r="E129" s="274" t="s">
        <v>189</v>
      </c>
      <c r="F129" s="271" t="s">
        <v>114</v>
      </c>
      <c r="G129" s="77">
        <v>200000</v>
      </c>
      <c r="H129" s="15">
        <f t="shared" si="19"/>
        <v>200000</v>
      </c>
      <c r="I129" s="77">
        <v>200000</v>
      </c>
      <c r="J129" s="15">
        <f t="shared" si="25"/>
        <v>200000</v>
      </c>
      <c r="K129" s="203">
        <v>20000</v>
      </c>
      <c r="L129" s="15">
        <f t="shared" si="26"/>
        <v>20000</v>
      </c>
      <c r="M129" s="48">
        <v>200000</v>
      </c>
      <c r="N129" s="16">
        <f t="shared" ref="N129:N132" si="29">M129</f>
        <v>200000</v>
      </c>
      <c r="O129" s="77">
        <v>200000</v>
      </c>
      <c r="P129" s="15">
        <f t="shared" si="27"/>
        <v>200000</v>
      </c>
      <c r="Q129" s="207">
        <v>20000</v>
      </c>
      <c r="R129" s="16">
        <f t="shared" ref="R129:R132" si="30">Q129</f>
        <v>20000</v>
      </c>
      <c r="S129" s="77">
        <v>200000</v>
      </c>
      <c r="T129" s="15">
        <f t="shared" si="28"/>
        <v>200000</v>
      </c>
      <c r="Y129" s="15">
        <f t="shared" si="14"/>
        <v>29159041.093249168</v>
      </c>
    </row>
    <row r="130" spans="2:25" ht="15.5" x14ac:dyDescent="0.35">
      <c r="B130" s="3" t="s">
        <v>351</v>
      </c>
      <c r="C130" s="135" t="s">
        <v>74</v>
      </c>
      <c r="D130" s="280" t="s">
        <v>78</v>
      </c>
      <c r="E130" s="274" t="s">
        <v>176</v>
      </c>
      <c r="F130" s="271" t="s">
        <v>114</v>
      </c>
      <c r="G130" s="77">
        <v>35000</v>
      </c>
      <c r="H130" s="15">
        <f t="shared" si="19"/>
        <v>35000</v>
      </c>
      <c r="I130" s="77">
        <v>35000</v>
      </c>
      <c r="J130" s="15">
        <f t="shared" si="25"/>
        <v>35000</v>
      </c>
      <c r="K130" s="203">
        <v>0</v>
      </c>
      <c r="L130" s="15">
        <f t="shared" si="26"/>
        <v>0</v>
      </c>
      <c r="M130" s="48">
        <v>35000</v>
      </c>
      <c r="N130" s="16">
        <f t="shared" si="29"/>
        <v>35000</v>
      </c>
      <c r="O130" s="77">
        <v>35000</v>
      </c>
      <c r="P130" s="15">
        <f t="shared" si="27"/>
        <v>35000</v>
      </c>
      <c r="Q130" s="207">
        <v>0</v>
      </c>
      <c r="R130" s="16">
        <f t="shared" si="30"/>
        <v>0</v>
      </c>
      <c r="S130" s="77">
        <v>35000</v>
      </c>
      <c r="T130" s="15">
        <f t="shared" si="28"/>
        <v>35000</v>
      </c>
      <c r="Y130" s="15">
        <f t="shared" si="14"/>
        <v>11771698.993506012</v>
      </c>
    </row>
    <row r="131" spans="2:25" ht="15.5" x14ac:dyDescent="0.35">
      <c r="B131" s="3" t="s">
        <v>351</v>
      </c>
      <c r="C131" s="135" t="s">
        <v>74</v>
      </c>
      <c r="D131" s="280" t="s">
        <v>80</v>
      </c>
      <c r="E131" s="274" t="s">
        <v>177</v>
      </c>
      <c r="F131" s="271" t="s">
        <v>114</v>
      </c>
      <c r="G131" s="77">
        <v>95000</v>
      </c>
      <c r="H131" s="15">
        <f t="shared" si="19"/>
        <v>95000</v>
      </c>
      <c r="I131" s="77">
        <v>95000</v>
      </c>
      <c r="J131" s="15">
        <f t="shared" si="25"/>
        <v>95000</v>
      </c>
      <c r="K131" s="203">
        <v>0</v>
      </c>
      <c r="L131" s="15">
        <f t="shared" si="26"/>
        <v>0</v>
      </c>
      <c r="M131" s="48">
        <v>95000</v>
      </c>
      <c r="N131" s="16">
        <f t="shared" si="29"/>
        <v>95000</v>
      </c>
      <c r="O131" s="77">
        <v>95000</v>
      </c>
      <c r="P131" s="15">
        <f t="shared" si="27"/>
        <v>95000</v>
      </c>
      <c r="Q131" s="207">
        <v>0</v>
      </c>
      <c r="R131" s="16">
        <f t="shared" si="30"/>
        <v>0</v>
      </c>
      <c r="S131" s="77">
        <v>95000</v>
      </c>
      <c r="T131" s="15">
        <f t="shared" si="28"/>
        <v>95000</v>
      </c>
      <c r="Y131" s="15">
        <f t="shared" si="14"/>
        <v>10788053.80419522</v>
      </c>
    </row>
    <row r="132" spans="2:25" ht="15.5" x14ac:dyDescent="0.35">
      <c r="B132" s="3" t="s">
        <v>351</v>
      </c>
      <c r="C132" s="135" t="s">
        <v>74</v>
      </c>
      <c r="D132" s="280" t="s">
        <v>79</v>
      </c>
      <c r="E132" s="134" t="s">
        <v>190</v>
      </c>
      <c r="F132" s="271" t="s">
        <v>114</v>
      </c>
      <c r="G132" s="77">
        <v>350000</v>
      </c>
      <c r="H132" s="15">
        <f t="shared" si="19"/>
        <v>350000</v>
      </c>
      <c r="I132" s="77">
        <v>350000</v>
      </c>
      <c r="J132" s="15">
        <f t="shared" si="25"/>
        <v>350000</v>
      </c>
      <c r="K132" s="203">
        <v>35000</v>
      </c>
      <c r="L132" s="15">
        <f t="shared" si="26"/>
        <v>35000</v>
      </c>
      <c r="M132" s="48">
        <v>350000</v>
      </c>
      <c r="N132" s="16">
        <f t="shared" si="29"/>
        <v>350000</v>
      </c>
      <c r="O132" s="77">
        <v>350000</v>
      </c>
      <c r="P132" s="15">
        <f t="shared" si="27"/>
        <v>350000</v>
      </c>
      <c r="Q132" s="207">
        <v>35000</v>
      </c>
      <c r="R132" s="16">
        <f t="shared" si="30"/>
        <v>35000</v>
      </c>
      <c r="S132" s="77">
        <v>350000</v>
      </c>
      <c r="T132" s="15">
        <f t="shared" si="28"/>
        <v>350000</v>
      </c>
      <c r="Y132" s="15">
        <f t="shared" si="14"/>
        <v>25415625.886477765</v>
      </c>
    </row>
    <row r="133" spans="2:25" ht="15.5" x14ac:dyDescent="0.35">
      <c r="B133" s="3" t="s">
        <v>351</v>
      </c>
      <c r="C133" s="153" t="s">
        <v>81</v>
      </c>
      <c r="D133" s="3" t="s">
        <v>81</v>
      </c>
      <c r="E133" s="274" t="s">
        <v>178</v>
      </c>
      <c r="F133" s="271" t="s">
        <v>114</v>
      </c>
      <c r="G133" s="77">
        <v>10000</v>
      </c>
      <c r="H133" s="15">
        <f t="shared" si="19"/>
        <v>10000</v>
      </c>
      <c r="I133" s="77">
        <v>10000</v>
      </c>
      <c r="J133" s="15">
        <f t="shared" si="25"/>
        <v>10000</v>
      </c>
      <c r="K133" s="203">
        <v>1000</v>
      </c>
      <c r="L133" s="15">
        <f t="shared" si="26"/>
        <v>1000</v>
      </c>
      <c r="M133" s="48">
        <v>10000</v>
      </c>
      <c r="N133" s="16">
        <f>M133</f>
        <v>10000</v>
      </c>
      <c r="O133" s="77">
        <v>10000</v>
      </c>
      <c r="P133" s="15">
        <f t="shared" si="27"/>
        <v>10000</v>
      </c>
      <c r="Q133" s="207">
        <v>1000</v>
      </c>
      <c r="R133" s="16">
        <f>Q133</f>
        <v>1000</v>
      </c>
      <c r="S133" s="77">
        <v>10000</v>
      </c>
      <c r="T133" s="15">
        <f t="shared" si="28"/>
        <v>10000</v>
      </c>
      <c r="Y133" s="15">
        <f t="shared" si="14"/>
        <v>24511627.07143705</v>
      </c>
    </row>
    <row r="134" spans="2:25" ht="15.5" x14ac:dyDescent="0.35">
      <c r="B134" s="3"/>
      <c r="C134" s="153" t="s">
        <v>358</v>
      </c>
      <c r="D134" s="3" t="s">
        <v>64</v>
      </c>
      <c r="E134" s="281" t="s">
        <v>191</v>
      </c>
      <c r="F134" s="176"/>
      <c r="G134" s="75">
        <v>0</v>
      </c>
      <c r="H134" s="15">
        <f t="shared" si="19"/>
        <v>0</v>
      </c>
      <c r="I134" s="75">
        <v>0</v>
      </c>
      <c r="J134" s="15">
        <f t="shared" si="25"/>
        <v>0</v>
      </c>
      <c r="K134" s="75">
        <v>0</v>
      </c>
      <c r="L134" s="15">
        <f t="shared" si="26"/>
        <v>0</v>
      </c>
      <c r="M134" s="53">
        <v>0</v>
      </c>
      <c r="N134" s="16">
        <f t="shared" ref="N134:N138" si="31">L134</f>
        <v>0</v>
      </c>
      <c r="O134" s="75">
        <v>0</v>
      </c>
      <c r="P134" s="15">
        <f t="shared" si="27"/>
        <v>0</v>
      </c>
      <c r="Q134" s="53">
        <v>0</v>
      </c>
      <c r="R134" s="16">
        <f t="shared" ref="R134:R138" si="32">P134</f>
        <v>0</v>
      </c>
      <c r="S134" s="75">
        <v>0</v>
      </c>
      <c r="T134" s="15">
        <f t="shared" si="28"/>
        <v>0</v>
      </c>
      <c r="Y134" s="15">
        <f t="shared" si="14"/>
        <v>6892843.7081156764</v>
      </c>
    </row>
    <row r="135" spans="2:25" ht="15.5" x14ac:dyDescent="0.35">
      <c r="B135" s="3" t="s">
        <v>86</v>
      </c>
      <c r="C135" s="153" t="s">
        <v>26</v>
      </c>
      <c r="D135" s="3" t="s">
        <v>82</v>
      </c>
      <c r="E135" s="274" t="s">
        <v>192</v>
      </c>
      <c r="F135" s="271" t="s">
        <v>114</v>
      </c>
      <c r="G135" s="75">
        <v>25000</v>
      </c>
      <c r="H135" s="16">
        <f t="shared" si="19"/>
        <v>25000</v>
      </c>
      <c r="I135" s="75">
        <v>25000</v>
      </c>
      <c r="J135" s="16">
        <f t="shared" si="25"/>
        <v>25000</v>
      </c>
      <c r="K135" s="75">
        <v>25000</v>
      </c>
      <c r="L135" s="16">
        <f t="shared" si="26"/>
        <v>25000</v>
      </c>
      <c r="M135" s="53">
        <v>25000</v>
      </c>
      <c r="N135" s="16">
        <f t="shared" si="31"/>
        <v>25000</v>
      </c>
      <c r="O135" s="75">
        <v>25000</v>
      </c>
      <c r="P135" s="16">
        <f t="shared" si="27"/>
        <v>25000</v>
      </c>
      <c r="Q135" s="53">
        <v>25000</v>
      </c>
      <c r="R135" s="16">
        <f t="shared" si="32"/>
        <v>25000</v>
      </c>
      <c r="S135" s="75">
        <v>25000</v>
      </c>
      <c r="T135" s="16">
        <f t="shared" si="28"/>
        <v>25000</v>
      </c>
      <c r="Y135" s="15">
        <f t="shared" si="14"/>
        <v>26155512.477259845</v>
      </c>
    </row>
    <row r="136" spans="2:25" ht="15.5" x14ac:dyDescent="0.35">
      <c r="B136" s="3" t="s">
        <v>86</v>
      </c>
      <c r="C136" s="153" t="s">
        <v>26</v>
      </c>
      <c r="D136" s="3" t="s">
        <v>83</v>
      </c>
      <c r="E136" s="134" t="s">
        <v>179</v>
      </c>
      <c r="F136" s="271" t="s">
        <v>114</v>
      </c>
      <c r="G136" s="75">
        <v>20000</v>
      </c>
      <c r="H136" s="16">
        <f t="shared" si="19"/>
        <v>20000</v>
      </c>
      <c r="I136" s="75">
        <v>20000</v>
      </c>
      <c r="J136" s="16">
        <f t="shared" si="25"/>
        <v>20000</v>
      </c>
      <c r="K136" s="75">
        <v>20000</v>
      </c>
      <c r="L136" s="16">
        <f t="shared" si="26"/>
        <v>20000</v>
      </c>
      <c r="M136" s="53">
        <v>20000</v>
      </c>
      <c r="N136" s="16">
        <f t="shared" si="31"/>
        <v>20000</v>
      </c>
      <c r="O136" s="75">
        <v>20000</v>
      </c>
      <c r="P136" s="16">
        <f t="shared" si="27"/>
        <v>20000</v>
      </c>
      <c r="Q136" s="53">
        <v>20000</v>
      </c>
      <c r="R136" s="16">
        <f t="shared" si="32"/>
        <v>20000</v>
      </c>
      <c r="S136" s="75">
        <v>20000</v>
      </c>
      <c r="T136" s="16">
        <f t="shared" si="28"/>
        <v>20000</v>
      </c>
      <c r="Y136" s="15">
        <f t="shared" si="14"/>
        <v>27502556.586930856</v>
      </c>
    </row>
    <row r="137" spans="2:25" ht="15.5" x14ac:dyDescent="0.35">
      <c r="B137" s="3" t="s">
        <v>86</v>
      </c>
      <c r="C137" s="153" t="s">
        <v>26</v>
      </c>
      <c r="D137" s="3" t="s">
        <v>84</v>
      </c>
      <c r="E137" s="134" t="s">
        <v>193</v>
      </c>
      <c r="F137" s="271" t="s">
        <v>114</v>
      </c>
      <c r="G137" s="75">
        <v>15000</v>
      </c>
      <c r="H137" s="16">
        <f t="shared" si="19"/>
        <v>15000</v>
      </c>
      <c r="I137" s="75">
        <v>15000</v>
      </c>
      <c r="J137" s="16">
        <f t="shared" si="25"/>
        <v>15000</v>
      </c>
      <c r="K137" s="75">
        <v>15000</v>
      </c>
      <c r="L137" s="16">
        <f t="shared" si="26"/>
        <v>15000</v>
      </c>
      <c r="M137" s="53">
        <v>15000</v>
      </c>
      <c r="N137" s="16">
        <f t="shared" si="31"/>
        <v>15000</v>
      </c>
      <c r="O137" s="75">
        <v>15000</v>
      </c>
      <c r="P137" s="16">
        <f t="shared" si="27"/>
        <v>15000</v>
      </c>
      <c r="Q137" s="53">
        <v>15000</v>
      </c>
      <c r="R137" s="16">
        <f t="shared" si="32"/>
        <v>15000</v>
      </c>
      <c r="S137" s="75">
        <v>15000</v>
      </c>
      <c r="T137" s="16">
        <f t="shared" si="28"/>
        <v>15000</v>
      </c>
      <c r="Y137" s="15">
        <f t="shared" si="14"/>
        <v>7367931.845185712</v>
      </c>
    </row>
    <row r="138" spans="2:25" x14ac:dyDescent="0.35">
      <c r="B138" s="111"/>
      <c r="C138" s="319"/>
      <c r="D138" s="319"/>
      <c r="E138" s="134" t="s">
        <v>189</v>
      </c>
      <c r="F138" s="271" t="s">
        <v>114</v>
      </c>
      <c r="G138" s="75">
        <v>200000</v>
      </c>
      <c r="H138" s="16">
        <f>G138</f>
        <v>200000</v>
      </c>
      <c r="I138" s="75">
        <v>200000</v>
      </c>
      <c r="J138" s="16">
        <f t="shared" si="25"/>
        <v>200000</v>
      </c>
      <c r="K138" s="75">
        <v>200000</v>
      </c>
      <c r="L138" s="16">
        <f t="shared" si="26"/>
        <v>200000</v>
      </c>
      <c r="M138" s="53">
        <v>200000</v>
      </c>
      <c r="N138" s="16">
        <f t="shared" si="31"/>
        <v>200000</v>
      </c>
      <c r="O138" s="75">
        <v>200000</v>
      </c>
      <c r="P138" s="16">
        <f>O138</f>
        <v>200000</v>
      </c>
      <c r="Q138" s="53">
        <v>200000</v>
      </c>
      <c r="R138" s="16">
        <f t="shared" si="32"/>
        <v>200000</v>
      </c>
      <c r="S138" s="75">
        <v>200000</v>
      </c>
      <c r="T138" s="16">
        <f t="shared" si="28"/>
        <v>200000</v>
      </c>
      <c r="Y138" s="15">
        <f t="shared" si="14"/>
        <v>11722659.671373375</v>
      </c>
    </row>
    <row r="139" spans="2:25" ht="15.5" x14ac:dyDescent="0.35">
      <c r="B139" s="18" t="s">
        <v>144</v>
      </c>
      <c r="C139" s="18"/>
      <c r="D139" s="18"/>
      <c r="E139" s="3"/>
      <c r="F139" s="107"/>
      <c r="G139" s="107"/>
      <c r="M139" s="44"/>
      <c r="O139" s="44"/>
      <c r="Q139" s="44"/>
      <c r="Y139" s="15">
        <f t="shared" si="14"/>
        <v>10519120.406502701</v>
      </c>
    </row>
    <row r="140" spans="2:25" x14ac:dyDescent="0.35">
      <c r="Y140" s="15">
        <f t="shared" si="14"/>
        <v>5922792.6876044292</v>
      </c>
    </row>
    <row r="141" spans="2:25" x14ac:dyDescent="0.35">
      <c r="Y141" s="15">
        <f t="shared" si="14"/>
        <v>9328820.2311579008</v>
      </c>
    </row>
    <row r="142" spans="2:25" x14ac:dyDescent="0.35">
      <c r="Y142" s="15">
        <f t="shared" si="14"/>
        <v>11617664.836936232</v>
      </c>
    </row>
    <row r="143" spans="2:25" x14ac:dyDescent="0.35">
      <c r="Y143" s="15">
        <f t="shared" si="14"/>
        <v>9899647.0345481746</v>
      </c>
    </row>
    <row r="144" spans="2:25" x14ac:dyDescent="0.35">
      <c r="Y144" s="15">
        <f t="shared" si="14"/>
        <v>11978410.35646992</v>
      </c>
    </row>
    <row r="145" spans="2:25" x14ac:dyDescent="0.35">
      <c r="Y145" s="15">
        <f t="shared" si="14"/>
        <v>13979757.217676222</v>
      </c>
    </row>
    <row r="146" spans="2:25" x14ac:dyDescent="0.35">
      <c r="Y146" s="15">
        <f t="shared" si="14"/>
        <v>9277900.8681647182</v>
      </c>
    </row>
    <row r="147" spans="2:25" x14ac:dyDescent="0.35">
      <c r="Y147" s="15">
        <f t="shared" si="14"/>
        <v>2763581.9967303886</v>
      </c>
    </row>
    <row r="148" spans="2:25" x14ac:dyDescent="0.35">
      <c r="Y148" s="15">
        <f>SUM(H152:H159,H172,H175,H179,H183,H189:H191,H196:H201,H205,H211,H219,H226,H231:H235,H238,H240:H242,H245,H249:H250,H258:H261,H182)</f>
        <v>30902562.609050907</v>
      </c>
    </row>
    <row r="149" spans="2:25" x14ac:dyDescent="0.35">
      <c r="Y149" s="15">
        <f t="shared" si="14"/>
        <v>82119819.701742008</v>
      </c>
    </row>
    <row r="150" spans="2:25" ht="15.5" x14ac:dyDescent="0.35">
      <c r="E150" s="350" t="s">
        <v>359</v>
      </c>
      <c r="F150" s="350"/>
      <c r="G150" s="350"/>
      <c r="H150" s="350"/>
      <c r="I150" s="350"/>
      <c r="J150" s="350"/>
      <c r="L150" s="269" t="s">
        <v>360</v>
      </c>
      <c r="M150" s="269"/>
      <c r="N150" s="269"/>
      <c r="O150" s="269"/>
      <c r="P150" s="269"/>
      <c r="Q150" s="269"/>
    </row>
    <row r="151" spans="2:25" x14ac:dyDescent="0.35">
      <c r="E151" t="s">
        <v>361</v>
      </c>
      <c r="F151" t="s">
        <v>362</v>
      </c>
      <c r="G151" t="s">
        <v>363</v>
      </c>
      <c r="H151" t="s">
        <v>364</v>
      </c>
      <c r="I151" t="s">
        <v>288</v>
      </c>
      <c r="J151" t="s">
        <v>365</v>
      </c>
      <c r="L151" t="s">
        <v>361</v>
      </c>
      <c r="M151" t="s">
        <v>362</v>
      </c>
      <c r="N151" t="s">
        <v>363</v>
      </c>
      <c r="O151" t="s">
        <v>364</v>
      </c>
      <c r="P151" t="s">
        <v>288</v>
      </c>
      <c r="Q151" t="s">
        <v>365</v>
      </c>
    </row>
    <row r="152" spans="2:25" ht="15.5" x14ac:dyDescent="0.35">
      <c r="B152" s="3" t="s">
        <v>345</v>
      </c>
      <c r="C152" s="135" t="s">
        <v>346</v>
      </c>
      <c r="D152" s="351" t="s">
        <v>3</v>
      </c>
      <c r="E152" s="2">
        <v>0</v>
      </c>
      <c r="F152" s="2">
        <v>2450321.9884000001</v>
      </c>
      <c r="G152" s="2">
        <v>3500000</v>
      </c>
      <c r="H152" s="2">
        <v>2973531.9961333335</v>
      </c>
      <c r="I152" s="2">
        <v>1049678.0115999999</v>
      </c>
      <c r="J152" s="4">
        <v>0.29990800331428569</v>
      </c>
      <c r="L152" s="7">
        <v>0</v>
      </c>
      <c r="M152" s="7">
        <v>15707.192233333335</v>
      </c>
      <c r="N152" s="7">
        <v>33333.333333333336</v>
      </c>
      <c r="O152" s="7">
        <f>AVERAGE(M152:N152)</f>
        <v>24520.262783333335</v>
      </c>
      <c r="P152" s="7">
        <v>17626.141100000001</v>
      </c>
      <c r="Q152" s="4">
        <v>0.52878423299999999</v>
      </c>
    </row>
    <row r="153" spans="2:25" ht="15.5" x14ac:dyDescent="0.35">
      <c r="B153" s="352" t="s">
        <v>345</v>
      </c>
      <c r="C153" s="353" t="s">
        <v>347</v>
      </c>
      <c r="D153" s="354" t="s">
        <v>289</v>
      </c>
      <c r="E153" s="2">
        <v>0</v>
      </c>
      <c r="F153" s="2">
        <v>0</v>
      </c>
      <c r="G153" s="2">
        <v>98526.933099999995</v>
      </c>
      <c r="H153" s="2">
        <v>98526.933099999995</v>
      </c>
      <c r="I153" s="2">
        <v>98526.933099999995</v>
      </c>
      <c r="J153" s="4">
        <v>1</v>
      </c>
      <c r="L153" s="7">
        <v>0</v>
      </c>
      <c r="M153" s="7">
        <v>0</v>
      </c>
      <c r="N153" s="7">
        <v>631.58290448717946</v>
      </c>
      <c r="O153" s="7">
        <f t="shared" ref="O153:O216" si="33">AVERAGE(M153:N153)</f>
        <v>315.79145224358973</v>
      </c>
      <c r="P153" s="7">
        <v>631.58290448717946</v>
      </c>
      <c r="Q153" s="4">
        <v>1</v>
      </c>
    </row>
    <row r="154" spans="2:25" ht="15.5" x14ac:dyDescent="0.35">
      <c r="B154" s="3" t="s">
        <v>345</v>
      </c>
      <c r="C154" s="135" t="s">
        <v>346</v>
      </c>
      <c r="D154" s="351" t="s">
        <v>4</v>
      </c>
      <c r="E154" s="2">
        <v>0</v>
      </c>
      <c r="F154" s="2">
        <v>0</v>
      </c>
      <c r="G154" s="2">
        <v>0</v>
      </c>
      <c r="H154" s="2" t="s">
        <v>309</v>
      </c>
      <c r="I154" s="2">
        <v>0</v>
      </c>
      <c r="J154" s="4" t="s">
        <v>309</v>
      </c>
      <c r="L154" s="7">
        <v>0</v>
      </c>
      <c r="M154" s="7">
        <v>0</v>
      </c>
      <c r="N154" s="7">
        <v>0</v>
      </c>
      <c r="O154" s="7">
        <f t="shared" si="33"/>
        <v>0</v>
      </c>
      <c r="P154" s="7">
        <v>0</v>
      </c>
      <c r="Q154" s="4" t="s">
        <v>309</v>
      </c>
    </row>
    <row r="155" spans="2:25" ht="15.5" x14ac:dyDescent="0.35">
      <c r="B155" s="352" t="s">
        <v>345</v>
      </c>
      <c r="C155" s="353" t="s">
        <v>347</v>
      </c>
      <c r="D155" s="355" t="s">
        <v>292</v>
      </c>
      <c r="E155" s="2">
        <v>20133.764589999999</v>
      </c>
      <c r="F155" s="2">
        <v>20133.764589999999</v>
      </c>
      <c r="G155" s="2">
        <v>20133.764589999999</v>
      </c>
      <c r="H155" s="2">
        <v>5033.4411474999997</v>
      </c>
      <c r="I155" s="2">
        <v>0</v>
      </c>
      <c r="J155" s="4">
        <v>0</v>
      </c>
      <c r="L155" s="7">
        <v>0</v>
      </c>
      <c r="M155" s="7">
        <v>0</v>
      </c>
      <c r="N155" s="7">
        <v>129.06259352564101</v>
      </c>
      <c r="O155" s="7">
        <f t="shared" si="33"/>
        <v>64.531296762820503</v>
      </c>
      <c r="P155" s="7">
        <v>129.06259352564101</v>
      </c>
      <c r="Q155" s="4">
        <v>1</v>
      </c>
    </row>
    <row r="156" spans="2:25" ht="15.5" x14ac:dyDescent="0.35">
      <c r="B156" s="3" t="s">
        <v>1</v>
      </c>
      <c r="C156" s="343" t="s">
        <v>348</v>
      </c>
      <c r="D156" s="18" t="s">
        <v>1</v>
      </c>
      <c r="E156" s="2">
        <v>0</v>
      </c>
      <c r="F156" s="2">
        <v>0</v>
      </c>
      <c r="G156" s="2">
        <v>0</v>
      </c>
      <c r="H156" s="2" t="s">
        <v>309</v>
      </c>
      <c r="I156" s="2">
        <v>0</v>
      </c>
      <c r="J156" s="4" t="s">
        <v>309</v>
      </c>
      <c r="L156" s="7">
        <v>0</v>
      </c>
      <c r="M156" s="7">
        <v>0</v>
      </c>
      <c r="N156" s="7">
        <v>0</v>
      </c>
      <c r="O156" s="7">
        <f t="shared" si="33"/>
        <v>0</v>
      </c>
      <c r="P156" s="7">
        <v>0</v>
      </c>
      <c r="Q156" s="4" t="s">
        <v>309</v>
      </c>
    </row>
    <row r="157" spans="2:25" ht="15.5" x14ac:dyDescent="0.35">
      <c r="B157" s="352" t="s">
        <v>1</v>
      </c>
      <c r="C157" s="356" t="s">
        <v>348</v>
      </c>
      <c r="D157" s="357" t="s">
        <v>20</v>
      </c>
      <c r="E157" s="2">
        <v>0</v>
      </c>
      <c r="F157" s="2">
        <v>0</v>
      </c>
      <c r="G157" s="2">
        <v>150012</v>
      </c>
      <c r="H157" s="2">
        <v>150012</v>
      </c>
      <c r="I157" s="2">
        <v>150012</v>
      </c>
      <c r="J157" s="4">
        <v>1</v>
      </c>
      <c r="L157" s="7">
        <v>0</v>
      </c>
      <c r="M157" s="7">
        <v>0</v>
      </c>
      <c r="N157" s="7">
        <v>1428.6857142857143</v>
      </c>
      <c r="O157" s="7">
        <f t="shared" si="33"/>
        <v>714.34285714285716</v>
      </c>
      <c r="P157" s="7">
        <v>1428.6857142857143</v>
      </c>
      <c r="Q157" s="4">
        <v>1</v>
      </c>
    </row>
    <row r="158" spans="2:25" ht="15.5" x14ac:dyDescent="0.35">
      <c r="B158" s="3" t="s">
        <v>1</v>
      </c>
      <c r="C158" s="343" t="s">
        <v>348</v>
      </c>
      <c r="D158" s="358" t="s">
        <v>5</v>
      </c>
      <c r="E158" s="2">
        <v>0</v>
      </c>
      <c r="F158" s="2">
        <v>0</v>
      </c>
      <c r="G158" s="2">
        <v>46490</v>
      </c>
      <c r="H158" s="2">
        <v>46490</v>
      </c>
      <c r="I158" s="2">
        <v>46490</v>
      </c>
      <c r="J158" s="4">
        <v>1</v>
      </c>
      <c r="L158" s="7">
        <v>0</v>
      </c>
      <c r="M158" s="7">
        <v>0</v>
      </c>
      <c r="N158" s="7">
        <v>442.76190476190476</v>
      </c>
      <c r="O158" s="7">
        <f t="shared" si="33"/>
        <v>221.38095238095238</v>
      </c>
      <c r="P158" s="7">
        <v>442.76190476190476</v>
      </c>
      <c r="Q158" s="4">
        <v>1</v>
      </c>
    </row>
    <row r="159" spans="2:25" ht="15.5" x14ac:dyDescent="0.35">
      <c r="B159" s="352" t="s">
        <v>1</v>
      </c>
      <c r="C159" s="353" t="s">
        <v>349</v>
      </c>
      <c r="D159" s="359" t="s">
        <v>349</v>
      </c>
      <c r="E159" s="2">
        <v>0</v>
      </c>
      <c r="F159" s="2">
        <v>18106699</v>
      </c>
      <c r="G159" s="2">
        <v>19946248.000000004</v>
      </c>
      <c r="H159" s="2">
        <v>18941803.666666668</v>
      </c>
      <c r="I159" s="2">
        <v>1839549.0000000037</v>
      </c>
      <c r="J159" s="4">
        <v>9.2225314755938231E-2</v>
      </c>
      <c r="L159" s="7">
        <v>0</v>
      </c>
      <c r="M159" s="7">
        <v>172444.75238095238</v>
      </c>
      <c r="N159" s="7">
        <v>204048.52173913043</v>
      </c>
      <c r="O159" s="7">
        <f t="shared" si="33"/>
        <v>188246.63706004142</v>
      </c>
      <c r="P159" s="7">
        <v>31603.769358178048</v>
      </c>
      <c r="Q159" s="4">
        <v>0.15488359870885252</v>
      </c>
    </row>
    <row r="160" spans="2:25" ht="15.5" x14ac:dyDescent="0.35">
      <c r="B160" s="3" t="s">
        <v>1</v>
      </c>
      <c r="C160" s="135" t="s">
        <v>349</v>
      </c>
      <c r="D160" s="360" t="s">
        <v>6</v>
      </c>
      <c r="E160" s="2">
        <v>15358283</v>
      </c>
      <c r="F160" s="2">
        <v>15358283</v>
      </c>
      <c r="G160" s="2">
        <v>28491418.784700003</v>
      </c>
      <c r="H160" s="2">
        <v>20328137.696175002</v>
      </c>
      <c r="I160" s="2">
        <v>13133135.784700003</v>
      </c>
      <c r="J160" s="4">
        <v>0.46095057195791683</v>
      </c>
      <c r="L160" s="7">
        <v>146269.3619047619</v>
      </c>
      <c r="M160" s="7">
        <v>146269.3619047619</v>
      </c>
      <c r="N160" s="7">
        <v>197619.84782608695</v>
      </c>
      <c r="O160" s="7">
        <f t="shared" si="33"/>
        <v>171944.60486542442</v>
      </c>
      <c r="P160" s="7">
        <v>51350.485921325046</v>
      </c>
      <c r="Q160" s="4">
        <v>0.259844780198978</v>
      </c>
    </row>
    <row r="161" spans="2:17" ht="15.5" x14ac:dyDescent="0.35">
      <c r="B161" s="352" t="s">
        <v>1</v>
      </c>
      <c r="C161" s="353" t="s">
        <v>349</v>
      </c>
      <c r="D161" s="361" t="s">
        <v>7</v>
      </c>
      <c r="E161" s="2">
        <v>0</v>
      </c>
      <c r="F161" s="2">
        <v>0</v>
      </c>
      <c r="G161" s="2">
        <v>0</v>
      </c>
      <c r="H161" s="2" t="s">
        <v>309</v>
      </c>
      <c r="I161" s="2">
        <v>0</v>
      </c>
      <c r="J161" s="4" t="s">
        <v>309</v>
      </c>
      <c r="L161" s="7">
        <v>0</v>
      </c>
      <c r="M161" s="7">
        <v>0</v>
      </c>
      <c r="N161" s="7">
        <v>0</v>
      </c>
      <c r="O161" s="7">
        <f t="shared" si="33"/>
        <v>0</v>
      </c>
      <c r="P161" s="7">
        <v>0</v>
      </c>
      <c r="Q161" s="4" t="s">
        <v>309</v>
      </c>
    </row>
    <row r="162" spans="2:17" ht="15.5" x14ac:dyDescent="0.35">
      <c r="B162" s="3" t="s">
        <v>1</v>
      </c>
      <c r="C162" s="135" t="s">
        <v>349</v>
      </c>
      <c r="D162" s="362" t="s">
        <v>15</v>
      </c>
      <c r="E162" s="2">
        <v>0</v>
      </c>
      <c r="F162" s="2">
        <v>231284</v>
      </c>
      <c r="G162" s="2">
        <v>319998.34359</v>
      </c>
      <c r="H162" s="2">
        <v>275641.17179499997</v>
      </c>
      <c r="I162" s="2">
        <v>88714.343590000004</v>
      </c>
      <c r="J162" s="4">
        <v>0.27723375875865736</v>
      </c>
      <c r="L162" s="7">
        <v>0</v>
      </c>
      <c r="M162" s="7">
        <v>2051.2714332692308</v>
      </c>
      <c r="N162" s="7">
        <v>2202.7047619047621</v>
      </c>
      <c r="O162" s="7">
        <f t="shared" si="33"/>
        <v>2126.9880975869964</v>
      </c>
      <c r="P162" s="7">
        <v>151.43332863553132</v>
      </c>
      <c r="Q162" s="4">
        <v>6.8748808852885576E-2</v>
      </c>
    </row>
    <row r="163" spans="2:17" ht="15.5" x14ac:dyDescent="0.35">
      <c r="B163" s="352" t="s">
        <v>1</v>
      </c>
      <c r="C163" s="353" t="s">
        <v>349</v>
      </c>
      <c r="D163" s="362" t="s">
        <v>16</v>
      </c>
      <c r="E163" s="2">
        <v>0</v>
      </c>
      <c r="F163" s="2">
        <v>0</v>
      </c>
      <c r="G163" s="2">
        <v>241357</v>
      </c>
      <c r="H163" s="2">
        <v>241357</v>
      </c>
      <c r="I163" s="2">
        <v>241357</v>
      </c>
      <c r="J163" s="4">
        <v>1</v>
      </c>
      <c r="L163" s="7">
        <v>0</v>
      </c>
      <c r="M163" s="7">
        <v>0</v>
      </c>
      <c r="N163" s="7">
        <v>2298.638095238095</v>
      </c>
      <c r="O163" s="7">
        <f t="shared" si="33"/>
        <v>1149.3190476190475</v>
      </c>
      <c r="P163" s="7">
        <v>2298.638095238095</v>
      </c>
      <c r="Q163" s="4">
        <v>1</v>
      </c>
    </row>
    <row r="164" spans="2:17" ht="15.5" x14ac:dyDescent="0.35">
      <c r="B164" s="3" t="s">
        <v>1</v>
      </c>
      <c r="C164" s="135" t="s">
        <v>349</v>
      </c>
      <c r="D164" s="360" t="s">
        <v>8</v>
      </c>
      <c r="E164" s="2">
        <v>0</v>
      </c>
      <c r="F164" s="2">
        <v>0</v>
      </c>
      <c r="G164" s="2">
        <v>0</v>
      </c>
      <c r="H164" s="2" t="s">
        <v>309</v>
      </c>
      <c r="I164" s="2">
        <v>0</v>
      </c>
      <c r="J164" s="4" t="s">
        <v>309</v>
      </c>
      <c r="L164" s="7">
        <v>0</v>
      </c>
      <c r="M164" s="7">
        <v>0</v>
      </c>
      <c r="N164" s="7">
        <v>0</v>
      </c>
      <c r="O164" s="7">
        <f t="shared" si="33"/>
        <v>0</v>
      </c>
      <c r="P164" s="7">
        <v>0</v>
      </c>
      <c r="Q164" s="4" t="s">
        <v>309</v>
      </c>
    </row>
    <row r="165" spans="2:17" ht="15.5" x14ac:dyDescent="0.35">
      <c r="B165" s="352" t="s">
        <v>1</v>
      </c>
      <c r="C165" s="353" t="s">
        <v>349</v>
      </c>
      <c r="D165" s="363" t="s">
        <v>97</v>
      </c>
      <c r="E165" s="2">
        <v>0</v>
      </c>
      <c r="F165" s="2">
        <v>0</v>
      </c>
      <c r="G165" s="2">
        <v>371203</v>
      </c>
      <c r="H165" s="2">
        <v>371203</v>
      </c>
      <c r="I165" s="2">
        <v>371203</v>
      </c>
      <c r="J165" s="4">
        <v>1</v>
      </c>
      <c r="L165" s="7">
        <v>0</v>
      </c>
      <c r="M165" s="7">
        <v>0</v>
      </c>
      <c r="N165" s="7">
        <v>3535.2666666666669</v>
      </c>
      <c r="O165" s="7">
        <f t="shared" si="33"/>
        <v>1767.6333333333334</v>
      </c>
      <c r="P165" s="7">
        <v>3535.2666666666669</v>
      </c>
      <c r="Q165" s="4">
        <v>1</v>
      </c>
    </row>
    <row r="166" spans="2:17" ht="15.5" x14ac:dyDescent="0.35">
      <c r="B166" s="3" t="s">
        <v>1</v>
      </c>
      <c r="C166" s="135" t="s">
        <v>349</v>
      </c>
      <c r="D166" s="364" t="s">
        <v>98</v>
      </c>
      <c r="E166" s="2">
        <v>0</v>
      </c>
      <c r="F166" s="2">
        <v>0</v>
      </c>
      <c r="G166" s="2">
        <v>1367211</v>
      </c>
      <c r="H166" s="2">
        <v>1367211</v>
      </c>
      <c r="I166" s="2">
        <v>1367211</v>
      </c>
      <c r="J166" s="4">
        <v>1</v>
      </c>
      <c r="L166" s="7">
        <v>0</v>
      </c>
      <c r="M166" s="7">
        <v>0</v>
      </c>
      <c r="N166" s="7">
        <v>13021.057142857142</v>
      </c>
      <c r="O166" s="7">
        <f t="shared" si="33"/>
        <v>6510.528571428571</v>
      </c>
      <c r="P166" s="7">
        <v>13021.057142857142</v>
      </c>
      <c r="Q166" s="4">
        <v>1</v>
      </c>
    </row>
    <row r="167" spans="2:17" ht="15.5" x14ac:dyDescent="0.35">
      <c r="B167" s="352" t="s">
        <v>1</v>
      </c>
      <c r="C167" s="353" t="s">
        <v>349</v>
      </c>
      <c r="D167" s="363" t="s">
        <v>9</v>
      </c>
      <c r="E167" s="2">
        <v>0</v>
      </c>
      <c r="F167" s="2">
        <v>0</v>
      </c>
      <c r="G167" s="2">
        <v>0</v>
      </c>
      <c r="H167" s="2" t="s">
        <v>309</v>
      </c>
      <c r="I167" s="2">
        <v>0</v>
      </c>
      <c r="J167" s="4" t="s">
        <v>309</v>
      </c>
      <c r="L167" s="7">
        <v>0</v>
      </c>
      <c r="M167" s="7">
        <v>0</v>
      </c>
      <c r="N167" s="7">
        <v>0</v>
      </c>
      <c r="O167" s="7">
        <f t="shared" si="33"/>
        <v>0</v>
      </c>
      <c r="P167" s="7">
        <v>0</v>
      </c>
      <c r="Q167" s="4" t="s">
        <v>309</v>
      </c>
    </row>
    <row r="168" spans="2:17" ht="15.5" x14ac:dyDescent="0.35">
      <c r="B168" s="3" t="s">
        <v>86</v>
      </c>
      <c r="C168" s="153" t="s">
        <v>10</v>
      </c>
      <c r="D168" s="364" t="s">
        <v>10</v>
      </c>
      <c r="E168" s="2">
        <v>0</v>
      </c>
      <c r="F168" s="2">
        <v>0</v>
      </c>
      <c r="G168" s="2">
        <v>24845.922259999999</v>
      </c>
      <c r="H168" s="2">
        <v>24845.922259999999</v>
      </c>
      <c r="I168" s="2">
        <v>24845.922259999999</v>
      </c>
      <c r="J168" s="4">
        <v>1</v>
      </c>
      <c r="L168" s="7">
        <v>0</v>
      </c>
      <c r="M168" s="7">
        <v>0</v>
      </c>
      <c r="N168" s="7">
        <v>159.26873243589742</v>
      </c>
      <c r="O168" s="7">
        <f t="shared" si="33"/>
        <v>79.63436621794871</v>
      </c>
      <c r="P168" s="7">
        <v>159.26873243589742</v>
      </c>
      <c r="Q168" s="4">
        <v>1</v>
      </c>
    </row>
    <row r="169" spans="2:17" ht="15.5" x14ac:dyDescent="0.35">
      <c r="B169" s="352" t="s">
        <v>86</v>
      </c>
      <c r="C169" s="365" t="s">
        <v>11</v>
      </c>
      <c r="D169" s="363" t="s">
        <v>11</v>
      </c>
      <c r="E169" s="2">
        <v>0</v>
      </c>
      <c r="F169" s="2">
        <v>10000</v>
      </c>
      <c r="G169" s="2">
        <v>50120.22249</v>
      </c>
      <c r="H169" s="2">
        <v>30060.111245</v>
      </c>
      <c r="I169" s="2">
        <v>40120.22249</v>
      </c>
      <c r="J169" s="4">
        <v>0.80047973645777004</v>
      </c>
      <c r="L169" s="7">
        <v>0</v>
      </c>
      <c r="M169" s="7">
        <v>95.238095238095241</v>
      </c>
      <c r="N169" s="7">
        <v>321.2834775</v>
      </c>
      <c r="O169" s="7">
        <f t="shared" si="33"/>
        <v>208.26078636904762</v>
      </c>
      <c r="P169" s="7">
        <v>226.04538226190476</v>
      </c>
      <c r="Q169" s="4">
        <v>0.70356989416582982</v>
      </c>
    </row>
    <row r="170" spans="2:17" ht="15.5" x14ac:dyDescent="0.35">
      <c r="B170" s="3" t="s">
        <v>1</v>
      </c>
      <c r="C170" s="153" t="s">
        <v>349</v>
      </c>
      <c r="D170" s="364" t="s">
        <v>12</v>
      </c>
      <c r="E170" s="2">
        <v>0</v>
      </c>
      <c r="F170" s="2">
        <v>332212.5</v>
      </c>
      <c r="G170" s="2">
        <v>591438</v>
      </c>
      <c r="H170" s="2">
        <v>461825.25</v>
      </c>
      <c r="I170" s="2">
        <v>259225.5</v>
      </c>
      <c r="J170" s="4">
        <v>0.43829699816379741</v>
      </c>
      <c r="L170" s="7">
        <v>0</v>
      </c>
      <c r="M170" s="7">
        <v>3225.3640776699031</v>
      </c>
      <c r="N170" s="7">
        <v>6428.673913043478</v>
      </c>
      <c r="O170" s="7">
        <f t="shared" si="33"/>
        <v>4827.0189953566905</v>
      </c>
      <c r="P170" s="7">
        <v>3203.309835373575</v>
      </c>
      <c r="Q170" s="4">
        <v>0.49828469738902287</v>
      </c>
    </row>
    <row r="171" spans="2:17" ht="15.5" x14ac:dyDescent="0.35">
      <c r="B171" s="352" t="s">
        <v>1</v>
      </c>
      <c r="C171" s="365" t="s">
        <v>349</v>
      </c>
      <c r="D171" s="363" t="s">
        <v>13</v>
      </c>
      <c r="E171" s="2">
        <v>0</v>
      </c>
      <c r="F171" s="2">
        <v>332212.5</v>
      </c>
      <c r="G171" s="2">
        <v>527361</v>
      </c>
      <c r="H171" s="2">
        <v>429786.75</v>
      </c>
      <c r="I171" s="2">
        <v>195148.5</v>
      </c>
      <c r="J171" s="4">
        <v>0.37004727312031038</v>
      </c>
      <c r="L171" s="7">
        <v>0</v>
      </c>
      <c r="M171" s="7">
        <v>3225.3640776699031</v>
      </c>
      <c r="N171" s="7">
        <v>5022.4857142857145</v>
      </c>
      <c r="O171" s="7">
        <f t="shared" si="33"/>
        <v>4123.9248959778088</v>
      </c>
      <c r="P171" s="7">
        <v>1797.1216366158114</v>
      </c>
      <c r="Q171" s="4">
        <v>0.35781518133623874</v>
      </c>
    </row>
    <row r="172" spans="2:17" ht="15.5" x14ac:dyDescent="0.35">
      <c r="B172" s="3" t="s">
        <v>86</v>
      </c>
      <c r="C172" s="153" t="s">
        <v>350</v>
      </c>
      <c r="D172" s="366" t="s">
        <v>87</v>
      </c>
      <c r="E172" s="2">
        <v>0</v>
      </c>
      <c r="F172" s="2">
        <v>0</v>
      </c>
      <c r="G172" s="2">
        <v>0</v>
      </c>
      <c r="H172" s="2" t="s">
        <v>309</v>
      </c>
      <c r="I172" s="2">
        <v>0</v>
      </c>
      <c r="J172" s="4" t="s">
        <v>309</v>
      </c>
      <c r="L172" s="7">
        <v>0</v>
      </c>
      <c r="M172" s="7">
        <v>0</v>
      </c>
      <c r="N172" s="7">
        <v>0</v>
      </c>
      <c r="O172" s="7">
        <f t="shared" si="33"/>
        <v>0</v>
      </c>
      <c r="P172" s="7">
        <v>0</v>
      </c>
      <c r="Q172" s="4" t="s">
        <v>309</v>
      </c>
    </row>
    <row r="173" spans="2:17" ht="15.5" x14ac:dyDescent="0.35">
      <c r="B173" s="352" t="s">
        <v>86</v>
      </c>
      <c r="C173" s="365" t="s">
        <v>350</v>
      </c>
      <c r="D173" s="363" t="s">
        <v>88</v>
      </c>
      <c r="E173" s="2">
        <v>0</v>
      </c>
      <c r="F173" s="2">
        <v>9837.41</v>
      </c>
      <c r="G173" s="2">
        <v>60000</v>
      </c>
      <c r="H173" s="2">
        <v>34918.705000000002</v>
      </c>
      <c r="I173" s="2">
        <v>50162.59</v>
      </c>
      <c r="J173" s="4">
        <v>0.83604316666666656</v>
      </c>
      <c r="L173" s="7">
        <v>0</v>
      </c>
      <c r="M173" s="7">
        <v>93.689619047619047</v>
      </c>
      <c r="N173" s="7">
        <v>582.52427184466023</v>
      </c>
      <c r="O173" s="7">
        <f t="shared" si="33"/>
        <v>338.10694544613966</v>
      </c>
      <c r="P173" s="7">
        <v>488.8346527970412</v>
      </c>
      <c r="Q173" s="4">
        <v>0.839166153968254</v>
      </c>
    </row>
    <row r="174" spans="2:17" ht="15.5" x14ac:dyDescent="0.35">
      <c r="B174" s="3" t="s">
        <v>86</v>
      </c>
      <c r="C174" s="153" t="s">
        <v>350</v>
      </c>
      <c r="D174" s="364" t="s">
        <v>3</v>
      </c>
      <c r="E174" s="2">
        <v>0</v>
      </c>
      <c r="F174" s="2">
        <v>0</v>
      </c>
      <c r="G174" s="2">
        <v>12292.56</v>
      </c>
      <c r="H174" s="2">
        <v>12292.56</v>
      </c>
      <c r="I174" s="2">
        <v>12292.56</v>
      </c>
      <c r="J174" s="4">
        <v>1</v>
      </c>
      <c r="L174" s="7">
        <v>0</v>
      </c>
      <c r="M174" s="7">
        <v>0</v>
      </c>
      <c r="N174" s="7">
        <v>117.07199999999999</v>
      </c>
      <c r="O174" s="7">
        <f t="shared" si="33"/>
        <v>58.535999999999994</v>
      </c>
      <c r="P174" s="7">
        <v>117.07199999999999</v>
      </c>
      <c r="Q174" s="4">
        <v>1</v>
      </c>
    </row>
    <row r="175" spans="2:17" ht="15.5" x14ac:dyDescent="0.35">
      <c r="B175" s="352" t="s">
        <v>1</v>
      </c>
      <c r="C175" s="365" t="s">
        <v>14</v>
      </c>
      <c r="D175" s="367" t="s">
        <v>90</v>
      </c>
      <c r="E175" s="2">
        <v>0</v>
      </c>
      <c r="F175" s="2">
        <v>0</v>
      </c>
      <c r="G175" s="2">
        <v>0</v>
      </c>
      <c r="H175" s="2" t="s">
        <v>309</v>
      </c>
      <c r="I175" s="2">
        <v>0</v>
      </c>
      <c r="J175" s="4" t="s">
        <v>309</v>
      </c>
      <c r="L175" s="7">
        <v>0</v>
      </c>
      <c r="M175" s="7">
        <v>0</v>
      </c>
      <c r="N175" s="7">
        <v>0</v>
      </c>
      <c r="O175" s="7">
        <f t="shared" si="33"/>
        <v>0</v>
      </c>
      <c r="P175" s="7">
        <v>0</v>
      </c>
      <c r="Q175" s="4" t="s">
        <v>309</v>
      </c>
    </row>
    <row r="176" spans="2:17" ht="15.5" x14ac:dyDescent="0.35">
      <c r="B176" s="3" t="s">
        <v>1</v>
      </c>
      <c r="C176" s="153" t="s">
        <v>14</v>
      </c>
      <c r="D176" s="24" t="s">
        <v>14</v>
      </c>
      <c r="E176" s="2">
        <v>1233107.9600000002</v>
      </c>
      <c r="F176" s="2">
        <v>1233107.9600000002</v>
      </c>
      <c r="G176" s="2">
        <v>1586283.6229099999</v>
      </c>
      <c r="H176" s="2">
        <v>1382425.3557275003</v>
      </c>
      <c r="I176" s="2">
        <v>353175.66290999972</v>
      </c>
      <c r="J176" s="4">
        <v>0.22264345279068526</v>
      </c>
      <c r="L176" s="7">
        <v>10168.48476224359</v>
      </c>
      <c r="M176" s="7">
        <v>10168.48476224359</v>
      </c>
      <c r="N176" s="7">
        <v>14283.396521739132</v>
      </c>
      <c r="O176" s="7">
        <f t="shared" si="33"/>
        <v>12225.940641991361</v>
      </c>
      <c r="P176" s="7">
        <v>4114.9117594955424</v>
      </c>
      <c r="Q176" s="4">
        <v>0.28809056397984217</v>
      </c>
    </row>
    <row r="177" spans="2:17" ht="15.5" x14ac:dyDescent="0.35">
      <c r="B177" s="352" t="s">
        <v>1</v>
      </c>
      <c r="C177" s="365" t="s">
        <v>14</v>
      </c>
      <c r="D177" s="368" t="s">
        <v>19</v>
      </c>
      <c r="E177" s="2">
        <v>0</v>
      </c>
      <c r="F177" s="2">
        <v>909051</v>
      </c>
      <c r="G177" s="2">
        <v>997312.4</v>
      </c>
      <c r="H177" s="2">
        <v>953181.7</v>
      </c>
      <c r="I177" s="2">
        <v>88261.400000000023</v>
      </c>
      <c r="J177" s="4">
        <v>8.8499250585874614E-2</v>
      </c>
      <c r="L177" s="7">
        <v>0</v>
      </c>
      <c r="M177" s="7">
        <v>9682.6446601941752</v>
      </c>
      <c r="N177" s="7">
        <v>9880.9891304347821</v>
      </c>
      <c r="O177" s="7">
        <f t="shared" si="33"/>
        <v>9781.8168953144777</v>
      </c>
      <c r="P177" s="7">
        <v>198.34447024060682</v>
      </c>
      <c r="Q177" s="4">
        <v>2.0073341608046004E-2</v>
      </c>
    </row>
    <row r="178" spans="2:17" ht="15.5" x14ac:dyDescent="0.35">
      <c r="B178" s="3" t="s">
        <v>1</v>
      </c>
      <c r="C178" s="153" t="s">
        <v>14</v>
      </c>
      <c r="D178" s="99" t="s">
        <v>89</v>
      </c>
      <c r="E178" s="2">
        <v>0</v>
      </c>
      <c r="F178" s="2">
        <v>0</v>
      </c>
      <c r="G178" s="2">
        <v>174047</v>
      </c>
      <c r="H178" s="2">
        <v>174047</v>
      </c>
      <c r="I178" s="2">
        <v>174047</v>
      </c>
      <c r="J178" s="4">
        <v>1</v>
      </c>
      <c r="L178" s="7">
        <v>0</v>
      </c>
      <c r="M178" s="7">
        <v>0</v>
      </c>
      <c r="N178" s="7">
        <v>1657.5904761904762</v>
      </c>
      <c r="O178" s="7">
        <f t="shared" si="33"/>
        <v>828.79523809523812</v>
      </c>
      <c r="P178" s="7">
        <v>1657.5904761904762</v>
      </c>
      <c r="Q178" s="4">
        <v>1</v>
      </c>
    </row>
    <row r="179" spans="2:17" ht="15.5" x14ac:dyDescent="0.35">
      <c r="B179" s="352" t="s">
        <v>351</v>
      </c>
      <c r="C179" s="353" t="s">
        <v>17</v>
      </c>
      <c r="D179" s="102" t="s">
        <v>17</v>
      </c>
      <c r="E179" s="2">
        <v>0</v>
      </c>
      <c r="F179" s="2">
        <v>1910849.6030000001</v>
      </c>
      <c r="G179" s="2">
        <v>2262379.5737600001</v>
      </c>
      <c r="H179" s="2">
        <v>2070889.8865293332</v>
      </c>
      <c r="I179" s="2">
        <v>351529.97075999994</v>
      </c>
      <c r="J179" s="4">
        <v>0.15538063322228848</v>
      </c>
      <c r="L179" s="7">
        <v>0</v>
      </c>
      <c r="M179" s="7">
        <v>19423.242693600001</v>
      </c>
      <c r="N179" s="7">
        <v>21964.850230679611</v>
      </c>
      <c r="O179" s="7">
        <f t="shared" si="33"/>
        <v>20694.046462139806</v>
      </c>
      <c r="P179" s="7">
        <v>2541.6075370796098</v>
      </c>
      <c r="Q179" s="4">
        <v>0.11571249111134824</v>
      </c>
    </row>
    <row r="180" spans="2:17" ht="15.5" x14ac:dyDescent="0.35">
      <c r="B180" s="3" t="s">
        <v>351</v>
      </c>
      <c r="C180" s="347" t="s">
        <v>91</v>
      </c>
      <c r="D180" s="101" t="s">
        <v>91</v>
      </c>
      <c r="E180" s="2">
        <v>0</v>
      </c>
      <c r="F180" s="2">
        <v>1866202.0480000002</v>
      </c>
      <c r="G180" s="2">
        <v>2909971.55021</v>
      </c>
      <c r="H180" s="2">
        <v>2263581.5487366668</v>
      </c>
      <c r="I180" s="2">
        <v>1043769.5022099998</v>
      </c>
      <c r="J180" s="4">
        <v>0.35868718446222458</v>
      </c>
      <c r="L180" s="7">
        <v>0</v>
      </c>
      <c r="M180" s="7">
        <v>17773.352838095241</v>
      </c>
      <c r="N180" s="7">
        <v>19558.942213592236</v>
      </c>
      <c r="O180" s="7">
        <f t="shared" si="33"/>
        <v>18666.147525843739</v>
      </c>
      <c r="P180" s="7">
        <v>1785.5893754969948</v>
      </c>
      <c r="Q180" s="4">
        <v>9.129273740867859E-2</v>
      </c>
    </row>
    <row r="181" spans="2:17" ht="15.5" x14ac:dyDescent="0.35">
      <c r="B181" s="352" t="s">
        <v>351</v>
      </c>
      <c r="C181" s="356" t="s">
        <v>92</v>
      </c>
      <c r="D181" s="369" t="s">
        <v>92</v>
      </c>
      <c r="E181" s="2">
        <v>0</v>
      </c>
      <c r="F181" s="2">
        <v>173238.434828</v>
      </c>
      <c r="G181" s="2">
        <v>247808.52576000005</v>
      </c>
      <c r="H181" s="2">
        <v>210523.48029400001</v>
      </c>
      <c r="I181" s="2">
        <v>74570.09093200005</v>
      </c>
      <c r="J181" s="4">
        <v>0.30091818150042343</v>
      </c>
      <c r="L181" s="7">
        <v>0</v>
      </c>
      <c r="M181" s="7">
        <v>1649.889855504762</v>
      </c>
      <c r="N181" s="7">
        <v>2405.908017087379</v>
      </c>
      <c r="O181" s="7">
        <f t="shared" si="33"/>
        <v>2027.8989362960706</v>
      </c>
      <c r="P181" s="7">
        <v>756.01816158261704</v>
      </c>
      <c r="Q181" s="4">
        <v>0.31423402566232006</v>
      </c>
    </row>
    <row r="182" spans="2:17" ht="15.5" x14ac:dyDescent="0.35">
      <c r="B182" s="3" t="s">
        <v>352</v>
      </c>
      <c r="C182" s="135" t="s">
        <v>18</v>
      </c>
      <c r="D182" s="129" t="s">
        <v>18</v>
      </c>
      <c r="E182" s="2">
        <v>0</v>
      </c>
      <c r="F182" s="2">
        <v>120917</v>
      </c>
      <c r="G182" s="2">
        <v>146839</v>
      </c>
      <c r="H182" s="2">
        <v>138156.66666666666</v>
      </c>
      <c r="I182" s="2">
        <v>25922</v>
      </c>
      <c r="J182" s="4">
        <v>0.17653348224926621</v>
      </c>
      <c r="L182" s="7">
        <v>0</v>
      </c>
      <c r="M182" s="7">
        <v>1151.5904761904762</v>
      </c>
      <c r="N182" s="7">
        <v>1596.0760869565217</v>
      </c>
      <c r="O182" s="7">
        <f t="shared" si="33"/>
        <v>1373.8332815734989</v>
      </c>
      <c r="P182" s="7">
        <v>444.48561076604551</v>
      </c>
      <c r="Q182" s="4">
        <v>0.27848647968507134</v>
      </c>
    </row>
    <row r="183" spans="2:17" ht="15.5" x14ac:dyDescent="0.35">
      <c r="B183" s="352" t="s">
        <v>1</v>
      </c>
      <c r="C183" s="370" t="s">
        <v>353</v>
      </c>
      <c r="D183" s="371" t="s">
        <v>21</v>
      </c>
      <c r="E183" s="2">
        <v>0</v>
      </c>
      <c r="F183" s="2">
        <v>157100</v>
      </c>
      <c r="G183" s="2">
        <v>693109.05799999996</v>
      </c>
      <c r="H183" s="2">
        <v>340603.0193333333</v>
      </c>
      <c r="I183" s="2">
        <v>536009.05799999996</v>
      </c>
      <c r="J183" s="4">
        <v>0.77334014295914744</v>
      </c>
      <c r="L183" s="7">
        <v>0</v>
      </c>
      <c r="M183" s="7">
        <v>1525.2427184466019</v>
      </c>
      <c r="N183" s="7">
        <v>6601.038647619047</v>
      </c>
      <c r="O183" s="7">
        <f t="shared" si="33"/>
        <v>4063.1406830328242</v>
      </c>
      <c r="P183" s="7">
        <v>5075.7959291724455</v>
      </c>
      <c r="Q183" s="4">
        <v>0.76893898068650957</v>
      </c>
    </row>
    <row r="184" spans="2:17" ht="15.5" x14ac:dyDescent="0.35">
      <c r="B184" s="3" t="s">
        <v>1</v>
      </c>
      <c r="C184" s="348" t="s">
        <v>353</v>
      </c>
      <c r="D184" s="24" t="s">
        <v>22</v>
      </c>
      <c r="E184" s="2">
        <v>0</v>
      </c>
      <c r="F184" s="2">
        <v>75000</v>
      </c>
      <c r="G184" s="2">
        <v>85000</v>
      </c>
      <c r="H184" s="2">
        <v>81666.666666666672</v>
      </c>
      <c r="I184" s="2">
        <v>10000</v>
      </c>
      <c r="J184" s="4">
        <v>0.11764705882352941</v>
      </c>
      <c r="L184" s="7">
        <v>0</v>
      </c>
      <c r="M184" s="7">
        <v>809.52380952380952</v>
      </c>
      <c r="N184" s="7">
        <v>825.242718446602</v>
      </c>
      <c r="O184" s="7">
        <f t="shared" si="33"/>
        <v>817.38326398520576</v>
      </c>
      <c r="P184" s="7">
        <v>15.71890892279248</v>
      </c>
      <c r="Q184" s="4">
        <v>1.9047619047619122E-2</v>
      </c>
    </row>
    <row r="185" spans="2:17" ht="15.5" x14ac:dyDescent="0.35">
      <c r="B185" s="352" t="s">
        <v>1</v>
      </c>
      <c r="C185" s="370" t="s">
        <v>353</v>
      </c>
      <c r="D185" s="368" t="s">
        <v>23</v>
      </c>
      <c r="E185" s="2">
        <v>0</v>
      </c>
      <c r="F185" s="2">
        <v>72100</v>
      </c>
      <c r="G185" s="2">
        <v>96600</v>
      </c>
      <c r="H185" s="2">
        <v>80733.333333333328</v>
      </c>
      <c r="I185" s="2">
        <v>24500</v>
      </c>
      <c r="J185" s="4">
        <v>0.25362318840579712</v>
      </c>
      <c r="L185" s="7">
        <v>0</v>
      </c>
      <c r="M185" s="7">
        <v>700</v>
      </c>
      <c r="N185" s="7">
        <v>1050</v>
      </c>
      <c r="O185" s="7">
        <f t="shared" si="33"/>
        <v>875</v>
      </c>
      <c r="P185" s="7">
        <v>350</v>
      </c>
      <c r="Q185" s="4">
        <v>0.33333333333333331</v>
      </c>
    </row>
    <row r="186" spans="2:17" ht="15.5" x14ac:dyDescent="0.35">
      <c r="B186" s="3" t="s">
        <v>1</v>
      </c>
      <c r="C186" s="348" t="s">
        <v>353</v>
      </c>
      <c r="D186" s="24" t="s">
        <v>24</v>
      </c>
      <c r="E186" s="2">
        <v>0</v>
      </c>
      <c r="F186" s="2">
        <v>0</v>
      </c>
      <c r="G186" s="2">
        <v>301584.96000000002</v>
      </c>
      <c r="H186" s="2">
        <v>301584.96000000002</v>
      </c>
      <c r="I186" s="2">
        <v>301584.96000000002</v>
      </c>
      <c r="J186" s="4">
        <v>1</v>
      </c>
      <c r="L186" s="7">
        <v>0</v>
      </c>
      <c r="M186" s="7">
        <v>0</v>
      </c>
      <c r="N186" s="7">
        <v>2872.2377142857144</v>
      </c>
      <c r="O186" s="7">
        <f t="shared" si="33"/>
        <v>1436.1188571428572</v>
      </c>
      <c r="P186" s="7">
        <v>2872.2377142857144</v>
      </c>
      <c r="Q186" s="4">
        <v>1</v>
      </c>
    </row>
    <row r="187" spans="2:17" ht="15.5" x14ac:dyDescent="0.35">
      <c r="B187" s="352" t="s">
        <v>1</v>
      </c>
      <c r="C187" s="370" t="s">
        <v>353</v>
      </c>
      <c r="D187" s="368" t="s">
        <v>25</v>
      </c>
      <c r="E187" s="2">
        <v>0</v>
      </c>
      <c r="F187" s="2">
        <v>0</v>
      </c>
      <c r="G187" s="2">
        <v>233024.098</v>
      </c>
      <c r="H187" s="2">
        <v>233024.098</v>
      </c>
      <c r="I187" s="2">
        <v>233024.098</v>
      </c>
      <c r="J187" s="4">
        <v>1</v>
      </c>
      <c r="L187" s="7">
        <v>0</v>
      </c>
      <c r="M187" s="7">
        <v>0</v>
      </c>
      <c r="N187" s="7">
        <v>2219.2771238095238</v>
      </c>
      <c r="O187" s="7">
        <f t="shared" si="33"/>
        <v>1109.6385619047619</v>
      </c>
      <c r="P187" s="7">
        <v>2219.2771238095238</v>
      </c>
      <c r="Q187" s="4">
        <v>1</v>
      </c>
    </row>
    <row r="188" spans="2:17" ht="15.5" x14ac:dyDescent="0.35">
      <c r="B188" s="3" t="s">
        <v>86</v>
      </c>
      <c r="C188" s="153" t="s">
        <v>354</v>
      </c>
      <c r="D188" s="18" t="s">
        <v>26</v>
      </c>
      <c r="E188" s="2">
        <v>0</v>
      </c>
      <c r="F188" s="2">
        <v>0</v>
      </c>
      <c r="G188" s="2">
        <v>0</v>
      </c>
      <c r="H188" s="2" t="s">
        <v>309</v>
      </c>
      <c r="I188" s="2">
        <v>0</v>
      </c>
      <c r="J188" s="4" t="s">
        <v>309</v>
      </c>
      <c r="L188" s="7">
        <v>0</v>
      </c>
      <c r="M188" s="7">
        <v>0</v>
      </c>
      <c r="N188" s="7">
        <v>0</v>
      </c>
      <c r="O188" s="7">
        <f t="shared" si="33"/>
        <v>0</v>
      </c>
      <c r="P188" s="7">
        <v>0</v>
      </c>
      <c r="Q188" s="4" t="s">
        <v>309</v>
      </c>
    </row>
    <row r="189" spans="2:17" ht="15.5" x14ac:dyDescent="0.35">
      <c r="B189" s="352" t="s">
        <v>86</v>
      </c>
      <c r="C189" s="365" t="s">
        <v>354</v>
      </c>
      <c r="D189" s="352" t="s">
        <v>27</v>
      </c>
      <c r="E189" s="2">
        <v>0</v>
      </c>
      <c r="F189" s="2">
        <v>3500</v>
      </c>
      <c r="G189" s="2">
        <v>8567.5594000000001</v>
      </c>
      <c r="H189" s="2">
        <v>6033.7797</v>
      </c>
      <c r="I189" s="2">
        <v>5067.5594000000001</v>
      </c>
      <c r="J189" s="4">
        <v>0.59148226039728424</v>
      </c>
      <c r="L189" s="7">
        <v>0</v>
      </c>
      <c r="M189" s="7">
        <v>38.043478260869563</v>
      </c>
      <c r="N189" s="7">
        <v>54.920252564102562</v>
      </c>
      <c r="O189" s="7">
        <f t="shared" si="33"/>
        <v>46.481865412486059</v>
      </c>
      <c r="P189" s="7">
        <v>16.876774303232999</v>
      </c>
      <c r="Q189" s="4">
        <v>0.30729600676061236</v>
      </c>
    </row>
    <row r="190" spans="2:17" ht="15.5" x14ac:dyDescent="0.35">
      <c r="B190" s="3" t="s">
        <v>86</v>
      </c>
      <c r="C190" s="153" t="s">
        <v>354</v>
      </c>
      <c r="D190" s="3" t="s">
        <v>28</v>
      </c>
      <c r="E190" s="2">
        <v>0</v>
      </c>
      <c r="F190" s="2">
        <v>5140.5356400000001</v>
      </c>
      <c r="G190" s="2">
        <v>7000</v>
      </c>
      <c r="H190" s="2">
        <v>6070.26782</v>
      </c>
      <c r="I190" s="2">
        <v>1859.4643599999999</v>
      </c>
      <c r="J190" s="4">
        <v>0.26563776571428571</v>
      </c>
      <c r="L190" s="7">
        <v>0</v>
      </c>
      <c r="M190" s="7">
        <v>32.952151538461536</v>
      </c>
      <c r="N190" s="7">
        <v>76.086956521739125</v>
      </c>
      <c r="O190" s="7">
        <f t="shared" si="33"/>
        <v>54.519554030100331</v>
      </c>
      <c r="P190" s="7">
        <v>43.13480498327759</v>
      </c>
      <c r="Q190" s="4">
        <v>0.56691457978021975</v>
      </c>
    </row>
    <row r="191" spans="2:17" ht="15.5" x14ac:dyDescent="0.35">
      <c r="B191" s="352" t="s">
        <v>86</v>
      </c>
      <c r="C191" s="365" t="s">
        <v>354</v>
      </c>
      <c r="D191" s="367" t="s">
        <v>93</v>
      </c>
      <c r="E191" s="2">
        <v>750089.82547000004</v>
      </c>
      <c r="F191" s="2">
        <v>750089.82547000004</v>
      </c>
      <c r="G191" s="2">
        <v>1398042.53</v>
      </c>
      <c r="H191" s="2">
        <v>1084781.8388675</v>
      </c>
      <c r="I191" s="2">
        <v>647952.70452999999</v>
      </c>
      <c r="J191" s="4">
        <v>0.46347138275543015</v>
      </c>
      <c r="L191" s="7">
        <v>4808.2681119871795</v>
      </c>
      <c r="M191" s="7">
        <v>4808.2681119871795</v>
      </c>
      <c r="N191" s="7">
        <v>13573.228446601943</v>
      </c>
      <c r="O191" s="7">
        <f t="shared" si="33"/>
        <v>9190.7482792945611</v>
      </c>
      <c r="P191" s="7">
        <v>8764.9603346147633</v>
      </c>
      <c r="Q191" s="4">
        <v>0.64575354117826478</v>
      </c>
    </row>
    <row r="192" spans="2:17" ht="15.5" x14ac:dyDescent="0.35">
      <c r="B192" s="3" t="s">
        <v>86</v>
      </c>
      <c r="C192" s="153" t="s">
        <v>354</v>
      </c>
      <c r="D192" s="364" t="s">
        <v>29</v>
      </c>
      <c r="E192" s="2">
        <v>0</v>
      </c>
      <c r="F192" s="2">
        <v>0</v>
      </c>
      <c r="G192" s="2">
        <v>55000</v>
      </c>
      <c r="H192" s="2">
        <v>55000</v>
      </c>
      <c r="I192" s="2">
        <v>55000</v>
      </c>
      <c r="J192" s="4">
        <v>1</v>
      </c>
      <c r="L192" s="7">
        <v>0</v>
      </c>
      <c r="M192" s="7">
        <v>0</v>
      </c>
      <c r="N192" s="7">
        <v>533.98058252427188</v>
      </c>
      <c r="O192" s="7">
        <f t="shared" si="33"/>
        <v>266.99029126213594</v>
      </c>
      <c r="P192" s="7">
        <v>533.98058252427188</v>
      </c>
      <c r="Q192" s="4">
        <v>1</v>
      </c>
    </row>
    <row r="193" spans="2:17" ht="15.5" x14ac:dyDescent="0.35">
      <c r="B193" s="352" t="s">
        <v>86</v>
      </c>
      <c r="C193" s="365" t="s">
        <v>354</v>
      </c>
      <c r="D193" s="363" t="s">
        <v>30</v>
      </c>
      <c r="E193" s="2">
        <v>0</v>
      </c>
      <c r="F193" s="2">
        <v>1069670</v>
      </c>
      <c r="G193" s="2">
        <v>1306042.53</v>
      </c>
      <c r="H193" s="2">
        <v>1150345.8433333335</v>
      </c>
      <c r="I193" s="2">
        <v>236372.53000000003</v>
      </c>
      <c r="J193" s="4">
        <v>0.18098379231187825</v>
      </c>
      <c r="L193" s="7">
        <v>0</v>
      </c>
      <c r="M193" s="7">
        <v>10187.333333333334</v>
      </c>
      <c r="N193" s="7">
        <v>12680.024563106796</v>
      </c>
      <c r="O193" s="7">
        <f t="shared" si="33"/>
        <v>11433.678948220066</v>
      </c>
      <c r="P193" s="7">
        <v>2492.6912297734616</v>
      </c>
      <c r="Q193" s="4">
        <v>0.19658410102974713</v>
      </c>
    </row>
    <row r="194" spans="2:17" ht="15.5" x14ac:dyDescent="0.35">
      <c r="B194" s="3" t="s">
        <v>86</v>
      </c>
      <c r="C194" s="153" t="s">
        <v>354</v>
      </c>
      <c r="D194" s="364" t="s">
        <v>31</v>
      </c>
      <c r="E194" s="2">
        <v>0</v>
      </c>
      <c r="F194" s="2">
        <v>7000</v>
      </c>
      <c r="G194" s="2">
        <v>10000</v>
      </c>
      <c r="H194" s="2">
        <v>8500</v>
      </c>
      <c r="I194" s="2">
        <v>3000</v>
      </c>
      <c r="J194" s="4">
        <v>0.3</v>
      </c>
      <c r="L194" s="7">
        <v>0</v>
      </c>
      <c r="M194" s="7">
        <v>67.961165048543691</v>
      </c>
      <c r="N194" s="7">
        <v>95.238095238095241</v>
      </c>
      <c r="O194" s="7">
        <f t="shared" si="33"/>
        <v>81.599630143319473</v>
      </c>
      <c r="P194" s="7">
        <v>27.27693018955155</v>
      </c>
      <c r="Q194" s="4">
        <v>0.28640776699029125</v>
      </c>
    </row>
    <row r="195" spans="2:17" ht="15.5" x14ac:dyDescent="0.35">
      <c r="B195" s="352" t="s">
        <v>86</v>
      </c>
      <c r="C195" s="365" t="s">
        <v>354</v>
      </c>
      <c r="D195" s="363" t="s">
        <v>32</v>
      </c>
      <c r="E195" s="2">
        <v>0</v>
      </c>
      <c r="F195" s="2">
        <v>30000</v>
      </c>
      <c r="G195" s="2">
        <v>36000</v>
      </c>
      <c r="H195" s="2">
        <v>33000</v>
      </c>
      <c r="I195" s="2">
        <v>6000</v>
      </c>
      <c r="J195" s="4">
        <v>0.16666666666666666</v>
      </c>
      <c r="L195" s="7">
        <v>0</v>
      </c>
      <c r="M195" s="7">
        <v>291.26213592233012</v>
      </c>
      <c r="N195" s="7">
        <v>342.85714285714283</v>
      </c>
      <c r="O195" s="7">
        <f t="shared" si="33"/>
        <v>317.0596393897365</v>
      </c>
      <c r="P195" s="7">
        <v>51.595006934812716</v>
      </c>
      <c r="Q195" s="4">
        <v>0.15048543689320376</v>
      </c>
    </row>
    <row r="196" spans="2:17" ht="15.5" x14ac:dyDescent="0.35">
      <c r="B196" s="3" t="s">
        <v>86</v>
      </c>
      <c r="C196" s="153" t="s">
        <v>354</v>
      </c>
      <c r="D196" s="3" t="s">
        <v>33</v>
      </c>
      <c r="E196" s="2">
        <v>0</v>
      </c>
      <c r="F196" s="2">
        <v>20000</v>
      </c>
      <c r="G196" s="2">
        <v>69825.60910999999</v>
      </c>
      <c r="H196" s="2">
        <v>44912.804554999995</v>
      </c>
      <c r="I196" s="2">
        <v>49825.60910999999</v>
      </c>
      <c r="J196" s="4">
        <v>0.71357213700072508</v>
      </c>
      <c r="L196" s="7">
        <v>0</v>
      </c>
      <c r="M196" s="7">
        <v>190.47619047619048</v>
      </c>
      <c r="N196" s="7">
        <v>447.60005839743582</v>
      </c>
      <c r="O196" s="7">
        <f t="shared" si="33"/>
        <v>319.03812443681318</v>
      </c>
      <c r="P196" s="7">
        <v>257.12386792124533</v>
      </c>
      <c r="Q196" s="4">
        <v>0.57445003211536294</v>
      </c>
    </row>
    <row r="197" spans="2:17" ht="15.5" x14ac:dyDescent="0.35">
      <c r="B197" s="352" t="s">
        <v>86</v>
      </c>
      <c r="C197" s="365" t="s">
        <v>354</v>
      </c>
      <c r="D197" s="352" t="s">
        <v>34</v>
      </c>
      <c r="E197" s="2">
        <v>9852.6933100000006</v>
      </c>
      <c r="F197" s="2">
        <v>9852.6933100000006</v>
      </c>
      <c r="G197" s="2">
        <v>15645</v>
      </c>
      <c r="H197" s="2">
        <v>11374.423327500001</v>
      </c>
      <c r="I197" s="2">
        <v>5792.3066899999994</v>
      </c>
      <c r="J197" s="4">
        <v>0.37023372898689672</v>
      </c>
      <c r="L197" s="7">
        <v>63.158290448717949</v>
      </c>
      <c r="M197" s="7">
        <v>63.158290448717949</v>
      </c>
      <c r="N197" s="7">
        <v>149</v>
      </c>
      <c r="O197" s="7">
        <f t="shared" si="33"/>
        <v>106.07914522435897</v>
      </c>
      <c r="P197" s="7">
        <v>85.841709551282051</v>
      </c>
      <c r="Q197" s="4">
        <v>0.57611885604887281</v>
      </c>
    </row>
    <row r="198" spans="2:17" ht="15.5" x14ac:dyDescent="0.35">
      <c r="B198" s="3" t="s">
        <v>86</v>
      </c>
      <c r="C198" s="153" t="s">
        <v>354</v>
      </c>
      <c r="D198" s="3" t="s">
        <v>35</v>
      </c>
      <c r="E198" s="2">
        <v>0</v>
      </c>
      <c r="F198" s="2">
        <v>10000</v>
      </c>
      <c r="G198" s="2">
        <v>14993.228950000001</v>
      </c>
      <c r="H198" s="2">
        <v>12480.076316666667</v>
      </c>
      <c r="I198" s="2">
        <v>4993.2289500000006</v>
      </c>
      <c r="J198" s="4">
        <v>0.33303226187311707</v>
      </c>
      <c r="L198" s="7">
        <v>0</v>
      </c>
      <c r="M198" s="7">
        <v>96.110441987179485</v>
      </c>
      <c r="N198" s="7">
        <v>118.54285714285714</v>
      </c>
      <c r="O198" s="7">
        <f t="shared" si="33"/>
        <v>107.32664956501831</v>
      </c>
      <c r="P198" s="7">
        <v>22.43241515567766</v>
      </c>
      <c r="Q198" s="4">
        <v>0.18923464219058039</v>
      </c>
    </row>
    <row r="199" spans="2:17" ht="15.5" x14ac:dyDescent="0.35">
      <c r="B199" s="352" t="s">
        <v>86</v>
      </c>
      <c r="C199" s="365" t="s">
        <v>354</v>
      </c>
      <c r="D199" s="352" t="s">
        <v>36</v>
      </c>
      <c r="E199" s="2">
        <v>20133.764589999999</v>
      </c>
      <c r="F199" s="2">
        <v>20133.764589999999</v>
      </c>
      <c r="G199" s="2">
        <v>50000</v>
      </c>
      <c r="H199" s="2">
        <v>34954.941147500002</v>
      </c>
      <c r="I199" s="2">
        <v>29866.235410000001</v>
      </c>
      <c r="J199" s="4">
        <v>0.59732470820000005</v>
      </c>
      <c r="L199" s="7">
        <v>129.06259352564101</v>
      </c>
      <c r="M199" s="7">
        <v>129.06259352564101</v>
      </c>
      <c r="N199" s="7">
        <v>485.43689320388347</v>
      </c>
      <c r="O199" s="7">
        <f t="shared" si="33"/>
        <v>307.24974336476225</v>
      </c>
      <c r="P199" s="7">
        <v>356.37429967824244</v>
      </c>
      <c r="Q199" s="4">
        <v>0.73413105733717943</v>
      </c>
    </row>
    <row r="200" spans="2:17" ht="15.5" x14ac:dyDescent="0.35">
      <c r="B200" s="3" t="s">
        <v>86</v>
      </c>
      <c r="C200" s="153" t="s">
        <v>354</v>
      </c>
      <c r="D200" s="111" t="s">
        <v>37</v>
      </c>
      <c r="E200" s="2">
        <v>0</v>
      </c>
      <c r="F200" s="2">
        <v>17429</v>
      </c>
      <c r="G200" s="2">
        <v>80106.680389999994</v>
      </c>
      <c r="H200" s="2">
        <v>44178.560129999998</v>
      </c>
      <c r="I200" s="2">
        <v>62677.680389999994</v>
      </c>
      <c r="J200" s="4">
        <v>0.78242763381097835</v>
      </c>
      <c r="L200" s="7">
        <v>0</v>
      </c>
      <c r="M200" s="7">
        <v>165.99047619047619</v>
      </c>
      <c r="N200" s="7">
        <v>513.50436147435892</v>
      </c>
      <c r="O200" s="7">
        <f t="shared" si="33"/>
        <v>339.74741883241757</v>
      </c>
      <c r="P200" s="7">
        <v>347.5138852838827</v>
      </c>
      <c r="Q200" s="4">
        <v>0.67674962737631061</v>
      </c>
    </row>
    <row r="201" spans="2:17" ht="15.5" x14ac:dyDescent="0.35">
      <c r="B201" s="352" t="s">
        <v>351</v>
      </c>
      <c r="C201" s="365" t="s">
        <v>355</v>
      </c>
      <c r="D201" s="125" t="s">
        <v>94</v>
      </c>
      <c r="E201" s="2">
        <v>1749924.0074499999</v>
      </c>
      <c r="F201" s="2">
        <v>1749924.0074499999</v>
      </c>
      <c r="G201" s="2">
        <v>2995088.0926607512</v>
      </c>
      <c r="H201" s="2">
        <v>2347174.2750276877</v>
      </c>
      <c r="I201" s="2">
        <v>1245164.0852107513</v>
      </c>
      <c r="J201" s="4">
        <v>0.41573537962437118</v>
      </c>
      <c r="L201" s="7">
        <v>11217.461586217949</v>
      </c>
      <c r="M201" s="7">
        <v>11217.461586217949</v>
      </c>
      <c r="N201" s="7">
        <v>29078.525171463603</v>
      </c>
      <c r="O201" s="7">
        <f t="shared" si="33"/>
        <v>20147.993378840776</v>
      </c>
      <c r="P201" s="7">
        <v>17861.063585245654</v>
      </c>
      <c r="Q201" s="4">
        <v>0.61423553911096296</v>
      </c>
    </row>
    <row r="202" spans="2:17" ht="15.5" x14ac:dyDescent="0.35">
      <c r="B202" s="3" t="s">
        <v>351</v>
      </c>
      <c r="C202" s="153" t="s">
        <v>355</v>
      </c>
      <c r="D202" s="360" t="s">
        <v>38</v>
      </c>
      <c r="E202" s="2">
        <v>0</v>
      </c>
      <c r="F202" s="2">
        <v>1674292</v>
      </c>
      <c r="G202" s="2">
        <v>2396070.4741286007</v>
      </c>
      <c r="H202" s="2">
        <v>2038398.1580428667</v>
      </c>
      <c r="I202" s="2">
        <v>721778.47412860068</v>
      </c>
      <c r="J202" s="4">
        <v>0.30123424244902314</v>
      </c>
      <c r="L202" s="7">
        <v>0</v>
      </c>
      <c r="M202" s="7">
        <v>15945.638095238095</v>
      </c>
      <c r="N202" s="7">
        <v>23262.820137170882</v>
      </c>
      <c r="O202" s="7">
        <f t="shared" si="33"/>
        <v>19604.229116204489</v>
      </c>
      <c r="P202" s="7">
        <v>7317.1820419327869</v>
      </c>
      <c r="Q202" s="4">
        <v>0.31454406640237509</v>
      </c>
    </row>
    <row r="203" spans="2:17" ht="15.5" x14ac:dyDescent="0.35">
      <c r="B203" s="352" t="s">
        <v>351</v>
      </c>
      <c r="C203" s="365" t="s">
        <v>355</v>
      </c>
      <c r="D203" s="363" t="s">
        <v>39</v>
      </c>
      <c r="E203" s="2">
        <v>0</v>
      </c>
      <c r="F203" s="2">
        <v>413353</v>
      </c>
      <c r="G203" s="2">
        <v>599017.61853215052</v>
      </c>
      <c r="H203" s="2">
        <v>507859.53951071686</v>
      </c>
      <c r="I203" s="2">
        <v>185664.61853215052</v>
      </c>
      <c r="J203" s="4">
        <v>0.30994851034116205</v>
      </c>
      <c r="L203" s="7">
        <v>0</v>
      </c>
      <c r="M203" s="7">
        <v>3936.695238095238</v>
      </c>
      <c r="N203" s="7">
        <v>5815.7050342927232</v>
      </c>
      <c r="O203" s="7">
        <f t="shared" si="33"/>
        <v>4876.2001361939801</v>
      </c>
      <c r="P203" s="7">
        <v>1879.0097961974852</v>
      </c>
      <c r="Q203" s="4">
        <v>0.32309234823942562</v>
      </c>
    </row>
    <row r="204" spans="2:17" ht="15.5" x14ac:dyDescent="0.35">
      <c r="B204" s="3" t="s">
        <v>86</v>
      </c>
      <c r="C204" s="153" t="s">
        <v>354</v>
      </c>
      <c r="D204" s="3" t="s">
        <v>40</v>
      </c>
      <c r="E204" s="2">
        <v>0</v>
      </c>
      <c r="F204" s="2">
        <v>8100</v>
      </c>
      <c r="G204" s="2">
        <v>250172.73447999998</v>
      </c>
      <c r="H204" s="2">
        <v>129136.36723999999</v>
      </c>
      <c r="I204" s="2">
        <v>242072.73447999998</v>
      </c>
      <c r="J204" s="4">
        <v>0.96762237093168302</v>
      </c>
      <c r="L204" s="7">
        <v>0</v>
      </c>
      <c r="M204" s="7">
        <v>77.142857142857139</v>
      </c>
      <c r="N204" s="7">
        <v>1603.6713748717948</v>
      </c>
      <c r="O204" s="7">
        <f t="shared" si="33"/>
        <v>840.40711600732595</v>
      </c>
      <c r="P204" s="7">
        <v>1526.5285177289377</v>
      </c>
      <c r="Q204" s="4">
        <v>0.95189609395564334</v>
      </c>
    </row>
    <row r="205" spans="2:17" ht="15.5" x14ac:dyDescent="0.35">
      <c r="B205" s="352" t="s">
        <v>86</v>
      </c>
      <c r="C205" s="365" t="s">
        <v>354</v>
      </c>
      <c r="D205" s="372" t="s">
        <v>41</v>
      </c>
      <c r="E205" s="2">
        <v>0</v>
      </c>
      <c r="F205" s="2">
        <v>175000</v>
      </c>
      <c r="G205" s="2">
        <v>180000</v>
      </c>
      <c r="H205" s="2">
        <v>176820.58333333334</v>
      </c>
      <c r="I205" s="2">
        <v>5000</v>
      </c>
      <c r="J205" s="4">
        <v>2.7777777777777776E-2</v>
      </c>
      <c r="L205" s="7">
        <v>0</v>
      </c>
      <c r="M205" s="7">
        <v>1671.0642857142857</v>
      </c>
      <c r="N205" s="7">
        <v>1902.1739130434783</v>
      </c>
      <c r="O205" s="7">
        <f t="shared" si="33"/>
        <v>1786.6190993788819</v>
      </c>
      <c r="P205" s="7">
        <v>231.10962732919256</v>
      </c>
      <c r="Q205" s="4">
        <v>0.12149763265306124</v>
      </c>
    </row>
    <row r="206" spans="2:17" ht="15.5" x14ac:dyDescent="0.35">
      <c r="B206" s="3" t="s">
        <v>86</v>
      </c>
      <c r="C206" s="153" t="s">
        <v>354</v>
      </c>
      <c r="D206" s="364" t="s">
        <v>42</v>
      </c>
      <c r="E206" s="2">
        <v>0</v>
      </c>
      <c r="F206" s="2">
        <v>40000</v>
      </c>
      <c r="G206" s="2">
        <v>60000</v>
      </c>
      <c r="H206" s="2">
        <v>50000</v>
      </c>
      <c r="I206" s="2">
        <v>20000</v>
      </c>
      <c r="J206" s="4">
        <v>0.33333333333333331</v>
      </c>
      <c r="L206" s="7">
        <v>0</v>
      </c>
      <c r="M206" s="7">
        <v>388.34951456310682</v>
      </c>
      <c r="N206" s="7">
        <v>571.42857142857144</v>
      </c>
      <c r="O206" s="7">
        <f t="shared" si="33"/>
        <v>479.88904299583913</v>
      </c>
      <c r="P206" s="7">
        <v>183.07905686546462</v>
      </c>
      <c r="Q206" s="4">
        <v>0.32038834951456308</v>
      </c>
    </row>
    <row r="207" spans="2:17" ht="15.5" x14ac:dyDescent="0.35">
      <c r="B207" s="352" t="s">
        <v>86</v>
      </c>
      <c r="C207" s="365" t="s">
        <v>354</v>
      </c>
      <c r="D207" s="363" t="s">
        <v>43</v>
      </c>
      <c r="E207" s="2">
        <v>0</v>
      </c>
      <c r="F207" s="2">
        <v>15000</v>
      </c>
      <c r="G207" s="2">
        <v>20000</v>
      </c>
      <c r="H207" s="2">
        <v>17500</v>
      </c>
      <c r="I207" s="2">
        <v>5000</v>
      </c>
      <c r="J207" s="4">
        <v>0.25</v>
      </c>
      <c r="L207" s="7">
        <v>0</v>
      </c>
      <c r="M207" s="7">
        <v>145.63106796116506</v>
      </c>
      <c r="N207" s="7">
        <v>217.39130434782609</v>
      </c>
      <c r="O207" s="7">
        <f t="shared" si="33"/>
        <v>181.51118615449559</v>
      </c>
      <c r="P207" s="7">
        <v>71.760236386661035</v>
      </c>
      <c r="Q207" s="4">
        <v>0.33009708737864074</v>
      </c>
    </row>
    <row r="208" spans="2:17" ht="15.5" x14ac:dyDescent="0.35">
      <c r="B208" s="3" t="s">
        <v>86</v>
      </c>
      <c r="C208" s="153" t="s">
        <v>354</v>
      </c>
      <c r="D208" s="364" t="s">
        <v>44</v>
      </c>
      <c r="E208" s="2">
        <v>0</v>
      </c>
      <c r="F208" s="2">
        <v>24000</v>
      </c>
      <c r="G208" s="2">
        <v>50000</v>
      </c>
      <c r="H208" s="2">
        <v>41333.333333333336</v>
      </c>
      <c r="I208" s="2">
        <v>26000</v>
      </c>
      <c r="J208" s="4">
        <v>0.52</v>
      </c>
      <c r="L208" s="7">
        <v>0</v>
      </c>
      <c r="M208" s="7">
        <v>228.57142857142858</v>
      </c>
      <c r="N208" s="7">
        <v>543.47826086956525</v>
      </c>
      <c r="O208" s="7">
        <f t="shared" si="33"/>
        <v>386.0248447204969</v>
      </c>
      <c r="P208" s="7">
        <v>314.90683229813669</v>
      </c>
      <c r="Q208" s="4">
        <v>0.57942857142857151</v>
      </c>
    </row>
    <row r="209" spans="2:17" ht="15.5" x14ac:dyDescent="0.35">
      <c r="B209" s="352" t="s">
        <v>86</v>
      </c>
      <c r="C209" s="365" t="s">
        <v>354</v>
      </c>
      <c r="D209" s="363" t="s">
        <v>45</v>
      </c>
      <c r="E209" s="2">
        <v>0</v>
      </c>
      <c r="F209" s="2">
        <v>31473.75</v>
      </c>
      <c r="G209" s="2">
        <v>70000</v>
      </c>
      <c r="H209" s="2">
        <v>47157.916666666664</v>
      </c>
      <c r="I209" s="2">
        <v>38526.25</v>
      </c>
      <c r="J209" s="4">
        <v>0.55037499999999995</v>
      </c>
      <c r="L209" s="7">
        <v>0</v>
      </c>
      <c r="M209" s="7">
        <v>299.75</v>
      </c>
      <c r="N209" s="7">
        <v>760.86956521739125</v>
      </c>
      <c r="O209" s="7">
        <f t="shared" si="33"/>
        <v>530.30978260869563</v>
      </c>
      <c r="P209" s="7">
        <v>461.11956521739125</v>
      </c>
      <c r="Q209" s="4">
        <v>0.60604285714285711</v>
      </c>
    </row>
    <row r="210" spans="2:17" ht="15.5" x14ac:dyDescent="0.35">
      <c r="B210" s="3" t="s">
        <v>86</v>
      </c>
      <c r="C210" s="153" t="s">
        <v>354</v>
      </c>
      <c r="D210" s="364" t="s">
        <v>46</v>
      </c>
      <c r="E210" s="2">
        <v>0</v>
      </c>
      <c r="F210" s="2">
        <v>35000</v>
      </c>
      <c r="G210" s="2">
        <v>59988</v>
      </c>
      <c r="H210" s="2">
        <v>43329.333333333336</v>
      </c>
      <c r="I210" s="2">
        <v>24988</v>
      </c>
      <c r="J210" s="4">
        <v>0.41654997666199906</v>
      </c>
      <c r="L210" s="7">
        <v>0</v>
      </c>
      <c r="M210" s="7">
        <v>339.80582524271847</v>
      </c>
      <c r="N210" s="7">
        <v>571.31428571428569</v>
      </c>
      <c r="O210" s="7">
        <f t="shared" si="33"/>
        <v>455.56005547850208</v>
      </c>
      <c r="P210" s="7">
        <v>231.50846047156722</v>
      </c>
      <c r="Q210" s="4">
        <v>0.40522084999524172</v>
      </c>
    </row>
    <row r="211" spans="2:17" ht="15.5" x14ac:dyDescent="0.35">
      <c r="B211" s="352" t="s">
        <v>86</v>
      </c>
      <c r="C211" s="365" t="s">
        <v>26</v>
      </c>
      <c r="D211" s="372" t="s">
        <v>47</v>
      </c>
      <c r="E211" s="2">
        <v>0</v>
      </c>
      <c r="F211" s="2">
        <v>33000</v>
      </c>
      <c r="G211" s="2">
        <v>160213.36077999999</v>
      </c>
      <c r="H211" s="2">
        <v>78123.546926666662</v>
      </c>
      <c r="I211" s="2">
        <v>127213.36077999999</v>
      </c>
      <c r="J211" s="4">
        <v>0.79402466910787439</v>
      </c>
      <c r="L211" s="7">
        <v>0</v>
      </c>
      <c r="M211" s="7">
        <v>320.38834951456312</v>
      </c>
      <c r="N211" s="7">
        <v>1027.0087229487178</v>
      </c>
      <c r="O211" s="7">
        <f t="shared" si="33"/>
        <v>673.69853623164045</v>
      </c>
      <c r="P211" s="7">
        <v>706.62037343415477</v>
      </c>
      <c r="Q211" s="4">
        <v>0.68803736292066409</v>
      </c>
    </row>
    <row r="212" spans="2:17" ht="15.5" x14ac:dyDescent="0.35">
      <c r="B212" s="3" t="s">
        <v>86</v>
      </c>
      <c r="C212" s="153" t="s">
        <v>26</v>
      </c>
      <c r="D212" s="364" t="s">
        <v>48</v>
      </c>
      <c r="E212" s="2">
        <v>0</v>
      </c>
      <c r="F212" s="2">
        <v>25000</v>
      </c>
      <c r="G212" s="2">
        <v>36157.279999999999</v>
      </c>
      <c r="H212" s="2">
        <v>30578.639999999999</v>
      </c>
      <c r="I212" s="2">
        <v>11157.279999999999</v>
      </c>
      <c r="J212" s="4">
        <v>0.3085763088373904</v>
      </c>
      <c r="L212" s="7">
        <v>0</v>
      </c>
      <c r="M212" s="7">
        <v>242.71844660194174</v>
      </c>
      <c r="N212" s="7">
        <v>344.35504761904758</v>
      </c>
      <c r="O212" s="7">
        <f t="shared" si="33"/>
        <v>293.53674711049467</v>
      </c>
      <c r="P212" s="7">
        <v>101.63660101710585</v>
      </c>
      <c r="Q212" s="4">
        <v>0.29515060609636884</v>
      </c>
    </row>
    <row r="213" spans="2:17" ht="15.5" x14ac:dyDescent="0.35">
      <c r="B213" s="352" t="s">
        <v>86</v>
      </c>
      <c r="C213" s="365" t="s">
        <v>26</v>
      </c>
      <c r="D213" s="363" t="s">
        <v>49</v>
      </c>
      <c r="E213" s="2">
        <v>0</v>
      </c>
      <c r="F213" s="2">
        <v>5000</v>
      </c>
      <c r="G213" s="2">
        <v>7999.9999999999991</v>
      </c>
      <c r="H213" s="2">
        <v>6500</v>
      </c>
      <c r="I213" s="2">
        <v>2999.9999999999991</v>
      </c>
      <c r="J213" s="4">
        <v>0.37499999999999994</v>
      </c>
      <c r="L213" s="7">
        <v>0</v>
      </c>
      <c r="M213" s="7">
        <v>47.61904761904762</v>
      </c>
      <c r="N213" s="7">
        <v>77.669902912621353</v>
      </c>
      <c r="O213" s="7">
        <f t="shared" si="33"/>
        <v>62.644475265834487</v>
      </c>
      <c r="P213" s="7">
        <v>30.050855293573733</v>
      </c>
      <c r="Q213" s="4">
        <v>0.38690476190476186</v>
      </c>
    </row>
    <row r="214" spans="2:17" ht="15.5" x14ac:dyDescent="0.35">
      <c r="B214" s="3" t="s">
        <v>352</v>
      </c>
      <c r="C214" s="153" t="s">
        <v>50</v>
      </c>
      <c r="D214" s="104" t="s">
        <v>50</v>
      </c>
      <c r="E214" s="2">
        <v>0</v>
      </c>
      <c r="F214" s="2">
        <v>0</v>
      </c>
      <c r="G214" s="2">
        <v>0</v>
      </c>
      <c r="H214" s="2" t="s">
        <v>309</v>
      </c>
      <c r="I214" s="2">
        <v>0</v>
      </c>
      <c r="J214" s="4" t="s">
        <v>309</v>
      </c>
      <c r="L214" s="7">
        <v>0</v>
      </c>
      <c r="M214" s="7">
        <v>0</v>
      </c>
      <c r="N214" s="7">
        <v>0</v>
      </c>
      <c r="O214" s="7">
        <f t="shared" si="33"/>
        <v>0</v>
      </c>
      <c r="P214" s="7">
        <v>0</v>
      </c>
      <c r="Q214" s="4" t="s">
        <v>309</v>
      </c>
    </row>
    <row r="215" spans="2:17" ht="15.5" x14ac:dyDescent="0.35">
      <c r="B215" s="352" t="s">
        <v>352</v>
      </c>
      <c r="C215" s="365" t="s">
        <v>50</v>
      </c>
      <c r="D215" s="123" t="s">
        <v>51</v>
      </c>
      <c r="E215" s="2">
        <v>0</v>
      </c>
      <c r="F215" s="2">
        <v>24417.544289999998</v>
      </c>
      <c r="G215" s="2">
        <v>28000</v>
      </c>
      <c r="H215" s="2">
        <v>26208.772144999999</v>
      </c>
      <c r="I215" s="2">
        <v>3582.455710000002</v>
      </c>
      <c r="J215" s="4">
        <v>0.12794484678571436</v>
      </c>
      <c r="L215" s="7">
        <v>0</v>
      </c>
      <c r="M215" s="7">
        <v>156.52271980769228</v>
      </c>
      <c r="N215" s="7">
        <v>266.66666666666669</v>
      </c>
      <c r="O215" s="7">
        <f t="shared" si="33"/>
        <v>211.59469323717948</v>
      </c>
      <c r="P215" s="7">
        <v>110.1439468589744</v>
      </c>
      <c r="Q215" s="4">
        <v>0.41303980072115398</v>
      </c>
    </row>
    <row r="216" spans="2:17" ht="15.5" x14ac:dyDescent="0.35">
      <c r="B216" s="3" t="s">
        <v>352</v>
      </c>
      <c r="C216" s="153" t="s">
        <v>50</v>
      </c>
      <c r="D216" s="115" t="s">
        <v>52</v>
      </c>
      <c r="E216" s="2">
        <v>24750</v>
      </c>
      <c r="F216" s="2">
        <v>24750</v>
      </c>
      <c r="G216" s="2">
        <v>285377.43</v>
      </c>
      <c r="H216" s="2">
        <v>118418.98872749999</v>
      </c>
      <c r="I216" s="2">
        <v>260627.43</v>
      </c>
      <c r="J216" s="4">
        <v>0.91327274900471278</v>
      </c>
      <c r="L216" s="7">
        <v>269.02173913043481</v>
      </c>
      <c r="M216" s="7">
        <v>269.02173913043481</v>
      </c>
      <c r="N216" s="7">
        <v>2717.8802857142855</v>
      </c>
      <c r="O216" s="7">
        <f t="shared" si="33"/>
        <v>1493.4510124223602</v>
      </c>
      <c r="P216" s="7">
        <v>2448.8585465838505</v>
      </c>
      <c r="Q216" s="4">
        <v>0.90101781136407433</v>
      </c>
    </row>
    <row r="217" spans="2:17" ht="15.5" x14ac:dyDescent="0.35">
      <c r="B217" s="352" t="s">
        <v>352</v>
      </c>
      <c r="C217" s="365" t="s">
        <v>50</v>
      </c>
      <c r="D217" s="373" t="s">
        <v>54</v>
      </c>
      <c r="E217" s="2">
        <v>0</v>
      </c>
      <c r="F217" s="2">
        <v>0</v>
      </c>
      <c r="G217" s="2">
        <v>260558</v>
      </c>
      <c r="H217" s="2">
        <v>260558</v>
      </c>
      <c r="I217" s="2">
        <v>260558</v>
      </c>
      <c r="J217" s="4">
        <v>1</v>
      </c>
      <c r="L217" s="7">
        <v>0</v>
      </c>
      <c r="M217" s="7">
        <v>0</v>
      </c>
      <c r="N217" s="7">
        <v>2481.5047619047618</v>
      </c>
      <c r="O217" s="7">
        <f t="shared" ref="O217:O261" si="34">AVERAGE(M217:N217)</f>
        <v>1240.7523809523809</v>
      </c>
      <c r="P217" s="7">
        <v>2481.5047619047618</v>
      </c>
      <c r="Q217" s="4">
        <v>1</v>
      </c>
    </row>
    <row r="218" spans="2:17" ht="15.5" x14ac:dyDescent="0.35">
      <c r="B218" s="3" t="s">
        <v>352</v>
      </c>
      <c r="C218" s="153" t="s">
        <v>50</v>
      </c>
      <c r="D218" s="364" t="s">
        <v>105</v>
      </c>
      <c r="E218" s="2">
        <v>0</v>
      </c>
      <c r="F218" s="2">
        <v>22800</v>
      </c>
      <c r="G218" s="2">
        <v>33750</v>
      </c>
      <c r="H218" s="2">
        <v>27100</v>
      </c>
      <c r="I218" s="2">
        <v>10950</v>
      </c>
      <c r="J218" s="4">
        <v>0.32444444444444442</v>
      </c>
      <c r="L218" s="7">
        <v>0</v>
      </c>
      <c r="M218" s="7">
        <v>217.14285714285714</v>
      </c>
      <c r="N218" s="7">
        <v>327.66990291262135</v>
      </c>
      <c r="O218" s="7">
        <f t="shared" si="34"/>
        <v>272.40638002773926</v>
      </c>
      <c r="P218" s="7">
        <v>110.52704576976421</v>
      </c>
      <c r="Q218" s="4">
        <v>0.33731216931216929</v>
      </c>
    </row>
    <row r="219" spans="2:17" ht="15.5" x14ac:dyDescent="0.35">
      <c r="B219" s="352" t="s">
        <v>352</v>
      </c>
      <c r="C219" s="365" t="s">
        <v>53</v>
      </c>
      <c r="D219" s="374" t="s">
        <v>53</v>
      </c>
      <c r="E219" s="2">
        <v>0</v>
      </c>
      <c r="F219" s="2">
        <v>0</v>
      </c>
      <c r="G219" s="2">
        <v>0</v>
      </c>
      <c r="H219" s="2" t="s">
        <v>309</v>
      </c>
      <c r="I219" s="2">
        <v>0</v>
      </c>
      <c r="J219" s="4" t="s">
        <v>309</v>
      </c>
      <c r="L219" s="7">
        <v>0</v>
      </c>
      <c r="M219" s="7">
        <v>0</v>
      </c>
      <c r="N219" s="7">
        <v>0</v>
      </c>
      <c r="O219" s="7">
        <f t="shared" si="34"/>
        <v>0</v>
      </c>
      <c r="P219" s="7">
        <v>0</v>
      </c>
      <c r="Q219" s="4" t="s">
        <v>309</v>
      </c>
    </row>
    <row r="220" spans="2:17" ht="15.5" x14ac:dyDescent="0.35">
      <c r="B220" s="3" t="s">
        <v>352</v>
      </c>
      <c r="C220" s="153" t="s">
        <v>53</v>
      </c>
      <c r="D220" s="115" t="s">
        <v>95</v>
      </c>
      <c r="E220" s="2">
        <v>0</v>
      </c>
      <c r="F220" s="2">
        <v>0</v>
      </c>
      <c r="G220" s="2">
        <v>0</v>
      </c>
      <c r="H220" s="2" t="s">
        <v>309</v>
      </c>
      <c r="I220" s="2">
        <v>0</v>
      </c>
      <c r="J220" s="4" t="s">
        <v>309</v>
      </c>
      <c r="L220" s="7">
        <v>0</v>
      </c>
      <c r="M220" s="7">
        <v>0</v>
      </c>
      <c r="N220" s="7">
        <v>0</v>
      </c>
      <c r="O220" s="7">
        <f t="shared" si="34"/>
        <v>0</v>
      </c>
      <c r="P220" s="7">
        <v>0</v>
      </c>
      <c r="Q220" s="4" t="s">
        <v>309</v>
      </c>
    </row>
    <row r="221" spans="2:17" ht="15.5" x14ac:dyDescent="0.35">
      <c r="B221" s="352" t="s">
        <v>352</v>
      </c>
      <c r="C221" s="365" t="s">
        <v>53</v>
      </c>
      <c r="D221" s="373" t="s">
        <v>56</v>
      </c>
      <c r="E221" s="2">
        <v>98352</v>
      </c>
      <c r="F221" s="2">
        <v>98352</v>
      </c>
      <c r="G221" s="2">
        <v>185059.28304000001</v>
      </c>
      <c r="H221" s="2">
        <v>147852.82076</v>
      </c>
      <c r="I221" s="2">
        <v>86707.283040000009</v>
      </c>
      <c r="J221" s="4">
        <v>0.46853787400256214</v>
      </c>
      <c r="L221" s="7">
        <v>936.68571428571431</v>
      </c>
      <c r="M221" s="7">
        <v>936.68571428571431</v>
      </c>
      <c r="N221" s="7">
        <v>1869.5652173913043</v>
      </c>
      <c r="O221" s="7">
        <f t="shared" si="34"/>
        <v>1403.1254658385092</v>
      </c>
      <c r="P221" s="7">
        <v>932.87950310558995</v>
      </c>
      <c r="Q221" s="4">
        <v>0.4989820598006644</v>
      </c>
    </row>
    <row r="222" spans="2:17" ht="15.5" x14ac:dyDescent="0.35">
      <c r="B222" s="3" t="s">
        <v>352</v>
      </c>
      <c r="C222" s="153" t="s">
        <v>53</v>
      </c>
      <c r="D222" s="364" t="s">
        <v>57</v>
      </c>
      <c r="E222" s="2">
        <v>15000</v>
      </c>
      <c r="F222" s="2">
        <v>15000</v>
      </c>
      <c r="G222" s="2">
        <v>38125.639329999998</v>
      </c>
      <c r="H222" s="2">
        <v>23281.409832500001</v>
      </c>
      <c r="I222" s="2">
        <v>23125.639329999998</v>
      </c>
      <c r="J222" s="4">
        <v>0.60656397470043422</v>
      </c>
      <c r="L222" s="7">
        <v>142.85714285714286</v>
      </c>
      <c r="M222" s="7">
        <v>142.85714285714286</v>
      </c>
      <c r="N222" s="7">
        <v>244.39512391025639</v>
      </c>
      <c r="O222" s="7">
        <f t="shared" si="34"/>
        <v>193.62613338369962</v>
      </c>
      <c r="P222" s="7">
        <v>101.53798105311353</v>
      </c>
      <c r="Q222" s="4">
        <v>0.41546647669778791</v>
      </c>
    </row>
    <row r="223" spans="2:17" ht="15.5" x14ac:dyDescent="0.35">
      <c r="B223" s="352" t="s">
        <v>352</v>
      </c>
      <c r="C223" s="365" t="s">
        <v>53</v>
      </c>
      <c r="D223" s="363" t="s">
        <v>27</v>
      </c>
      <c r="E223" s="2">
        <v>0</v>
      </c>
      <c r="F223" s="2">
        <v>0</v>
      </c>
      <c r="G223" s="2">
        <v>3500</v>
      </c>
      <c r="H223" s="2">
        <v>3500</v>
      </c>
      <c r="I223" s="2">
        <v>3500</v>
      </c>
      <c r="J223" s="4">
        <v>1</v>
      </c>
      <c r="L223" s="7">
        <v>0</v>
      </c>
      <c r="M223" s="7">
        <v>0</v>
      </c>
      <c r="N223" s="7">
        <v>38.043478260869563</v>
      </c>
      <c r="O223" s="7">
        <f t="shared" si="34"/>
        <v>19.021739130434781</v>
      </c>
      <c r="P223" s="7">
        <v>38.043478260869563</v>
      </c>
      <c r="Q223" s="4">
        <v>1</v>
      </c>
    </row>
    <row r="224" spans="2:17" ht="15.5" x14ac:dyDescent="0.35">
      <c r="B224" s="3" t="s">
        <v>352</v>
      </c>
      <c r="C224" s="153" t="s">
        <v>53</v>
      </c>
      <c r="D224" s="364" t="s">
        <v>55</v>
      </c>
      <c r="E224" s="2">
        <v>0</v>
      </c>
      <c r="F224" s="2">
        <v>25000</v>
      </c>
      <c r="G224" s="2">
        <v>60000</v>
      </c>
      <c r="H224" s="2">
        <v>41666.666666666664</v>
      </c>
      <c r="I224" s="2">
        <v>35000</v>
      </c>
      <c r="J224" s="4">
        <v>0.58333333333333337</v>
      </c>
      <c r="L224" s="7">
        <v>0</v>
      </c>
      <c r="M224" s="7">
        <v>271.73913043478262</v>
      </c>
      <c r="N224" s="7">
        <v>571.42857142857144</v>
      </c>
      <c r="O224" s="7">
        <f t="shared" si="34"/>
        <v>421.58385093167703</v>
      </c>
      <c r="P224" s="7">
        <v>299.68944099378882</v>
      </c>
      <c r="Q224" s="4">
        <v>0.52445652173913038</v>
      </c>
    </row>
    <row r="225" spans="2:17" ht="15.5" x14ac:dyDescent="0.35">
      <c r="B225" s="352" t="s">
        <v>352</v>
      </c>
      <c r="C225" s="365" t="s">
        <v>53</v>
      </c>
      <c r="D225" s="361" t="s">
        <v>102</v>
      </c>
      <c r="E225" s="2">
        <v>11429</v>
      </c>
      <c r="F225" s="2">
        <v>11429</v>
      </c>
      <c r="G225" s="2">
        <v>40000</v>
      </c>
      <c r="H225" s="2">
        <v>26567.037802500003</v>
      </c>
      <c r="I225" s="2">
        <v>28571</v>
      </c>
      <c r="J225" s="4">
        <v>0.71427499999999999</v>
      </c>
      <c r="L225" s="7">
        <v>108.84761904761905</v>
      </c>
      <c r="M225" s="7">
        <v>108.84761904761905</v>
      </c>
      <c r="N225" s="7">
        <v>434.78260869565219</v>
      </c>
      <c r="O225" s="7">
        <f t="shared" si="34"/>
        <v>271.81511387163562</v>
      </c>
      <c r="P225" s="7">
        <v>325.93498964803314</v>
      </c>
      <c r="Q225" s="4">
        <v>0.7496504761904762</v>
      </c>
    </row>
    <row r="226" spans="2:17" ht="15.5" x14ac:dyDescent="0.35">
      <c r="B226" s="3" t="s">
        <v>352</v>
      </c>
      <c r="C226" s="153" t="s">
        <v>53</v>
      </c>
      <c r="D226" s="115" t="s">
        <v>58</v>
      </c>
      <c r="E226" s="2">
        <v>0</v>
      </c>
      <c r="F226" s="2">
        <v>0</v>
      </c>
      <c r="G226" s="2">
        <v>0</v>
      </c>
      <c r="H226" s="2" t="s">
        <v>309</v>
      </c>
      <c r="I226" s="2">
        <v>0</v>
      </c>
      <c r="J226" s="4" t="s">
        <v>309</v>
      </c>
      <c r="L226" s="7">
        <v>0</v>
      </c>
      <c r="M226" s="7">
        <v>0</v>
      </c>
      <c r="N226" s="7">
        <v>0</v>
      </c>
      <c r="O226" s="7">
        <f t="shared" si="34"/>
        <v>0</v>
      </c>
      <c r="P226" s="7">
        <v>0</v>
      </c>
      <c r="Q226" s="4" t="s">
        <v>309</v>
      </c>
    </row>
    <row r="227" spans="2:17" ht="15.5" x14ac:dyDescent="0.35">
      <c r="B227" s="352" t="s">
        <v>352</v>
      </c>
      <c r="C227" s="365" t="s">
        <v>53</v>
      </c>
      <c r="D227" s="373" t="s">
        <v>59</v>
      </c>
      <c r="E227" s="2">
        <v>175747.380324233</v>
      </c>
      <c r="F227" s="2">
        <v>175747.380324233</v>
      </c>
      <c r="G227" s="2">
        <v>495204.93332000001</v>
      </c>
      <c r="H227" s="2">
        <v>317106.51972749096</v>
      </c>
      <c r="I227" s="2">
        <v>319457.55299576698</v>
      </c>
      <c r="J227" s="4">
        <v>0.64510171749305745</v>
      </c>
      <c r="L227" s="7">
        <v>1673.7845745165048</v>
      </c>
      <c r="M227" s="7">
        <v>1673.7845745165048</v>
      </c>
      <c r="N227" s="7">
        <v>3804.3478260869565</v>
      </c>
      <c r="O227" s="7">
        <f t="shared" si="34"/>
        <v>2739.0662003017305</v>
      </c>
      <c r="P227" s="7">
        <v>2130.5632515704519</v>
      </c>
      <c r="Q227" s="4">
        <v>0.56003376898423307</v>
      </c>
    </row>
    <row r="228" spans="2:17" ht="15.5" x14ac:dyDescent="0.35">
      <c r="B228" s="3" t="s">
        <v>352</v>
      </c>
      <c r="C228" s="153" t="s">
        <v>53</v>
      </c>
      <c r="D228" s="364" t="s">
        <v>60</v>
      </c>
      <c r="E228" s="2">
        <v>284149.98926086142</v>
      </c>
      <c r="F228" s="2">
        <v>284149.98926086142</v>
      </c>
      <c r="G228" s="2">
        <v>605298.07160999998</v>
      </c>
      <c r="H228" s="2">
        <v>444181.90671735199</v>
      </c>
      <c r="I228" s="2">
        <v>321148.08234913857</v>
      </c>
      <c r="J228" s="4">
        <v>0.5305618791993405</v>
      </c>
      <c r="L228" s="7">
        <v>2758.7377598141884</v>
      </c>
      <c r="M228" s="7">
        <v>2758.7377598141884</v>
      </c>
      <c r="N228" s="7">
        <v>5355.0434857004429</v>
      </c>
      <c r="O228" s="7">
        <f t="shared" si="34"/>
        <v>4056.8906227573157</v>
      </c>
      <c r="P228" s="7">
        <v>2596.3057258862545</v>
      </c>
      <c r="Q228" s="4">
        <v>0.48483373343636932</v>
      </c>
    </row>
    <row r="229" spans="2:17" ht="15.5" x14ac:dyDescent="0.35">
      <c r="B229" s="352" t="s">
        <v>352</v>
      </c>
      <c r="C229" s="365" t="s">
        <v>53</v>
      </c>
      <c r="D229" s="363" t="s">
        <v>100</v>
      </c>
      <c r="E229" s="2">
        <v>0</v>
      </c>
      <c r="F229" s="2">
        <v>0</v>
      </c>
      <c r="G229" s="2">
        <v>0</v>
      </c>
      <c r="H229" s="2" t="s">
        <v>309</v>
      </c>
      <c r="I229" s="2">
        <v>0</v>
      </c>
      <c r="J229" s="4" t="s">
        <v>309</v>
      </c>
      <c r="L229" s="7">
        <v>0</v>
      </c>
      <c r="M229" s="7">
        <v>0</v>
      </c>
      <c r="N229" s="7">
        <v>0</v>
      </c>
      <c r="O229" s="7">
        <f t="shared" si="34"/>
        <v>0</v>
      </c>
      <c r="P229" s="7">
        <v>0</v>
      </c>
      <c r="Q229" s="4" t="s">
        <v>309</v>
      </c>
    </row>
    <row r="230" spans="2:17" ht="15.5" x14ac:dyDescent="0.35">
      <c r="B230" s="3" t="s">
        <v>352</v>
      </c>
      <c r="C230" s="153" t="s">
        <v>357</v>
      </c>
      <c r="D230" s="104" t="s">
        <v>61</v>
      </c>
      <c r="E230" s="2">
        <v>0</v>
      </c>
      <c r="F230" s="2">
        <v>0</v>
      </c>
      <c r="G230" s="2">
        <v>0</v>
      </c>
      <c r="H230" s="2" t="s">
        <v>309</v>
      </c>
      <c r="I230" s="2">
        <v>0</v>
      </c>
      <c r="J230" s="4" t="s">
        <v>309</v>
      </c>
      <c r="L230" s="7">
        <v>0</v>
      </c>
      <c r="M230" s="7">
        <v>0</v>
      </c>
      <c r="N230" s="7">
        <v>0</v>
      </c>
      <c r="O230" s="7">
        <f t="shared" si="34"/>
        <v>0</v>
      </c>
      <c r="P230" s="7">
        <v>0</v>
      </c>
      <c r="Q230" s="4" t="s">
        <v>309</v>
      </c>
    </row>
    <row r="231" spans="2:17" ht="15.5" x14ac:dyDescent="0.35">
      <c r="B231" s="352" t="s">
        <v>352</v>
      </c>
      <c r="C231" s="365" t="s">
        <v>357</v>
      </c>
      <c r="D231" s="117" t="s">
        <v>62</v>
      </c>
      <c r="E231" s="2">
        <v>0</v>
      </c>
      <c r="F231" s="2">
        <v>0</v>
      </c>
      <c r="G231" s="2">
        <v>0</v>
      </c>
      <c r="H231" s="2" t="s">
        <v>309</v>
      </c>
      <c r="I231" s="2">
        <v>0</v>
      </c>
      <c r="J231" s="4" t="s">
        <v>309</v>
      </c>
      <c r="L231" s="7">
        <v>0</v>
      </c>
      <c r="M231" s="7">
        <v>0</v>
      </c>
      <c r="N231" s="7">
        <v>0</v>
      </c>
      <c r="O231" s="7">
        <f t="shared" si="34"/>
        <v>0</v>
      </c>
      <c r="P231" s="7">
        <v>0</v>
      </c>
      <c r="Q231" s="4" t="s">
        <v>309</v>
      </c>
    </row>
    <row r="232" spans="2:17" ht="15.5" x14ac:dyDescent="0.35">
      <c r="B232" s="3" t="s">
        <v>352</v>
      </c>
      <c r="C232" s="153" t="s">
        <v>357</v>
      </c>
      <c r="D232" s="117" t="s">
        <v>99</v>
      </c>
      <c r="E232" s="2">
        <v>0</v>
      </c>
      <c r="F232" s="2">
        <v>10000</v>
      </c>
      <c r="G232" s="2">
        <v>43308</v>
      </c>
      <c r="H232" s="2">
        <v>29436</v>
      </c>
      <c r="I232" s="2">
        <v>33308</v>
      </c>
      <c r="J232" s="4">
        <v>0.76909577907084137</v>
      </c>
      <c r="L232" s="7">
        <v>0</v>
      </c>
      <c r="M232" s="7">
        <v>108.69565217391305</v>
      </c>
      <c r="N232" s="7">
        <v>412.45714285714286</v>
      </c>
      <c r="O232" s="7">
        <f t="shared" si="34"/>
        <v>260.57639751552796</v>
      </c>
      <c r="P232" s="7">
        <v>303.76149068322979</v>
      </c>
      <c r="Q232" s="4">
        <v>0.7364680087221559</v>
      </c>
    </row>
    <row r="233" spans="2:17" ht="15.5" x14ac:dyDescent="0.35">
      <c r="B233" s="352" t="s">
        <v>352</v>
      </c>
      <c r="C233" s="365" t="s">
        <v>357</v>
      </c>
      <c r="D233" s="117" t="s">
        <v>63</v>
      </c>
      <c r="E233" s="2">
        <v>0</v>
      </c>
      <c r="F233" s="2">
        <v>0</v>
      </c>
      <c r="G233" s="2">
        <v>12000</v>
      </c>
      <c r="H233" s="2">
        <v>12000</v>
      </c>
      <c r="I233" s="2">
        <v>12000</v>
      </c>
      <c r="J233" s="4">
        <v>1</v>
      </c>
      <c r="L233" s="7">
        <v>0</v>
      </c>
      <c r="M233" s="7">
        <v>0</v>
      </c>
      <c r="N233" s="7">
        <v>130.43478260869566</v>
      </c>
      <c r="O233" s="7">
        <f t="shared" si="34"/>
        <v>65.217391304347828</v>
      </c>
      <c r="P233" s="7">
        <v>130.43478260869566</v>
      </c>
      <c r="Q233" s="4">
        <v>1</v>
      </c>
    </row>
    <row r="234" spans="2:17" ht="15.5" x14ac:dyDescent="0.35">
      <c r="B234" s="3" t="s">
        <v>352</v>
      </c>
      <c r="C234" s="153" t="s">
        <v>357</v>
      </c>
      <c r="D234" s="117" t="s">
        <v>111</v>
      </c>
      <c r="E234" s="2">
        <v>120118.562672222</v>
      </c>
      <c r="F234" s="2">
        <v>120118.562672222</v>
      </c>
      <c r="G234" s="2">
        <v>212475.47312000001</v>
      </c>
      <c r="H234" s="2">
        <v>174606.1876980555</v>
      </c>
      <c r="I234" s="2">
        <v>92356.910447778006</v>
      </c>
      <c r="J234" s="4">
        <v>0.43467092503245064</v>
      </c>
      <c r="L234" s="7">
        <v>1166.1996375943884</v>
      </c>
      <c r="M234" s="7">
        <v>1166.1996375943884</v>
      </c>
      <c r="N234" s="7">
        <v>2170.442554347826</v>
      </c>
      <c r="O234" s="7">
        <f t="shared" si="34"/>
        <v>1668.3210959711073</v>
      </c>
      <c r="P234" s="7">
        <v>1004.2429167534376</v>
      </c>
      <c r="Q234" s="4">
        <v>0.46269039221597469</v>
      </c>
    </row>
    <row r="235" spans="2:17" ht="15.5" x14ac:dyDescent="0.35">
      <c r="B235" s="352" t="s">
        <v>352</v>
      </c>
      <c r="C235" s="365" t="s">
        <v>357</v>
      </c>
      <c r="D235" s="119" t="s">
        <v>96</v>
      </c>
      <c r="E235" s="2">
        <v>0</v>
      </c>
      <c r="F235" s="2">
        <v>0</v>
      </c>
      <c r="G235" s="2">
        <v>0</v>
      </c>
      <c r="H235" s="2" t="s">
        <v>309</v>
      </c>
      <c r="I235" s="2">
        <v>0</v>
      </c>
      <c r="J235" s="4" t="s">
        <v>309</v>
      </c>
      <c r="L235" s="7">
        <v>0</v>
      </c>
      <c r="M235" s="7">
        <v>0</v>
      </c>
      <c r="N235" s="7">
        <v>0</v>
      </c>
      <c r="O235" s="7">
        <f t="shared" si="34"/>
        <v>0</v>
      </c>
      <c r="P235" s="7">
        <v>0</v>
      </c>
      <c r="Q235" s="4" t="s">
        <v>309</v>
      </c>
    </row>
    <row r="236" spans="2:17" ht="15.5" x14ac:dyDescent="0.35">
      <c r="B236" s="3" t="s">
        <v>352</v>
      </c>
      <c r="C236" s="153" t="s">
        <v>357</v>
      </c>
      <c r="D236" s="360" t="s">
        <v>65</v>
      </c>
      <c r="E236" s="2">
        <v>0</v>
      </c>
      <c r="F236" s="2">
        <v>40000</v>
      </c>
      <c r="G236" s="2">
        <v>40000</v>
      </c>
      <c r="H236" s="2">
        <v>40000</v>
      </c>
      <c r="I236" s="2">
        <v>0</v>
      </c>
      <c r="J236" s="4">
        <v>0</v>
      </c>
      <c r="L236" s="7">
        <v>0</v>
      </c>
      <c r="M236" s="7">
        <v>380.95238095238096</v>
      </c>
      <c r="N236" s="7">
        <v>434.78260869565219</v>
      </c>
      <c r="O236" s="7">
        <f t="shared" si="34"/>
        <v>407.8674948240166</v>
      </c>
      <c r="P236" s="7">
        <v>53.830227743271223</v>
      </c>
      <c r="Q236" s="4">
        <v>0.12380952380952381</v>
      </c>
    </row>
    <row r="237" spans="2:17" ht="15.5" x14ac:dyDescent="0.35">
      <c r="B237" s="352" t="s">
        <v>352</v>
      </c>
      <c r="C237" s="365" t="s">
        <v>357</v>
      </c>
      <c r="D237" s="363" t="s">
        <v>104</v>
      </c>
      <c r="E237" s="2">
        <v>25000</v>
      </c>
      <c r="F237" s="2">
        <v>25000</v>
      </c>
      <c r="G237" s="2">
        <v>40000</v>
      </c>
      <c r="H237" s="2">
        <v>33709.787802500003</v>
      </c>
      <c r="I237" s="2">
        <v>15000</v>
      </c>
      <c r="J237" s="4">
        <v>0.375</v>
      </c>
      <c r="L237" s="7">
        <v>255.37917442307693</v>
      </c>
      <c r="M237" s="7">
        <v>255.37917442307693</v>
      </c>
      <c r="N237" s="7">
        <v>380.95238095238096</v>
      </c>
      <c r="O237" s="7">
        <f t="shared" si="34"/>
        <v>318.16577768772896</v>
      </c>
      <c r="P237" s="7">
        <v>125.57320652930403</v>
      </c>
      <c r="Q237" s="4">
        <v>0.32962966713942304</v>
      </c>
    </row>
    <row r="238" spans="2:17" ht="15.5" x14ac:dyDescent="0.35">
      <c r="B238" s="3" t="s">
        <v>352</v>
      </c>
      <c r="C238" s="153" t="s">
        <v>357</v>
      </c>
      <c r="D238" s="3" t="s">
        <v>66</v>
      </c>
      <c r="E238" s="2">
        <v>0</v>
      </c>
      <c r="F238" s="2">
        <v>55000</v>
      </c>
      <c r="G238" s="2">
        <v>60000</v>
      </c>
      <c r="H238" s="2">
        <v>58324.30526666667</v>
      </c>
      <c r="I238" s="2">
        <v>5000</v>
      </c>
      <c r="J238" s="4">
        <v>8.3333333333333329E-2</v>
      </c>
      <c r="L238" s="7">
        <v>0</v>
      </c>
      <c r="M238" s="7">
        <v>384.44176794871794</v>
      </c>
      <c r="N238" s="7">
        <v>582.52427184466023</v>
      </c>
      <c r="O238" s="7">
        <f t="shared" si="34"/>
        <v>483.48301989668909</v>
      </c>
      <c r="P238" s="7">
        <v>198.0825038959423</v>
      </c>
      <c r="Q238" s="4">
        <v>0.34004163168803425</v>
      </c>
    </row>
    <row r="239" spans="2:17" ht="15.5" x14ac:dyDescent="0.35">
      <c r="B239" s="352" t="s">
        <v>352</v>
      </c>
      <c r="C239" s="365" t="s">
        <v>357</v>
      </c>
      <c r="D239" s="374" t="s">
        <v>67</v>
      </c>
      <c r="E239" s="2">
        <v>0</v>
      </c>
      <c r="F239" s="2">
        <v>0</v>
      </c>
      <c r="G239" s="2">
        <v>0</v>
      </c>
      <c r="H239" s="2" t="s">
        <v>309</v>
      </c>
      <c r="I239" s="2">
        <v>0</v>
      </c>
      <c r="J239" s="4" t="s">
        <v>309</v>
      </c>
      <c r="L239" s="7">
        <v>0</v>
      </c>
      <c r="M239" s="7">
        <v>0</v>
      </c>
      <c r="N239" s="7">
        <v>0</v>
      </c>
      <c r="O239" s="7">
        <f t="shared" si="34"/>
        <v>0</v>
      </c>
      <c r="P239" s="7">
        <v>0</v>
      </c>
      <c r="Q239" s="4" t="s">
        <v>309</v>
      </c>
    </row>
    <row r="240" spans="2:17" ht="15.5" x14ac:dyDescent="0.35">
      <c r="B240" s="3" t="s">
        <v>352</v>
      </c>
      <c r="C240" s="153" t="s">
        <v>357</v>
      </c>
      <c r="D240" s="109" t="s">
        <v>68</v>
      </c>
      <c r="E240" s="2">
        <v>503750.80999999994</v>
      </c>
      <c r="F240" s="2">
        <v>503750.80999999994</v>
      </c>
      <c r="G240" s="2">
        <v>827827.64500000002</v>
      </c>
      <c r="H240" s="2">
        <v>639484.52960500005</v>
      </c>
      <c r="I240" s="2">
        <v>324076.83500000008</v>
      </c>
      <c r="J240" s="4">
        <v>0.39147863321235193</v>
      </c>
      <c r="L240" s="7">
        <v>4080.5747655128207</v>
      </c>
      <c r="M240" s="7">
        <v>4080.5747655128207</v>
      </c>
      <c r="N240" s="7">
        <v>8037.1616019417479</v>
      </c>
      <c r="O240" s="7">
        <f t="shared" si="34"/>
        <v>6058.8681837272843</v>
      </c>
      <c r="P240" s="7">
        <v>3956.5868364289272</v>
      </c>
      <c r="Q240" s="4">
        <v>0.49228658479046022</v>
      </c>
    </row>
    <row r="241" spans="2:17" ht="15.5" x14ac:dyDescent="0.35">
      <c r="B241" s="352" t="s">
        <v>352</v>
      </c>
      <c r="C241" s="365" t="s">
        <v>357</v>
      </c>
      <c r="D241" s="375" t="s">
        <v>101</v>
      </c>
      <c r="E241" s="2">
        <v>0</v>
      </c>
      <c r="F241" s="2">
        <v>0</v>
      </c>
      <c r="G241" s="2">
        <v>75000</v>
      </c>
      <c r="H241" s="2">
        <v>75000</v>
      </c>
      <c r="I241" s="2">
        <v>75000</v>
      </c>
      <c r="J241" s="4">
        <v>1</v>
      </c>
      <c r="L241" s="7">
        <v>0</v>
      </c>
      <c r="M241" s="7">
        <v>0</v>
      </c>
      <c r="N241" s="7">
        <v>714.28571428571433</v>
      </c>
      <c r="O241" s="7">
        <f t="shared" si="34"/>
        <v>357.14285714285717</v>
      </c>
      <c r="P241" s="7">
        <v>714.28571428571433</v>
      </c>
      <c r="Q241" s="4">
        <v>1</v>
      </c>
    </row>
    <row r="242" spans="2:17" ht="15.5" x14ac:dyDescent="0.35">
      <c r="B242" s="3" t="s">
        <v>352</v>
      </c>
      <c r="C242" s="153" t="s">
        <v>357</v>
      </c>
      <c r="D242" s="3" t="s">
        <v>69</v>
      </c>
      <c r="E242" s="2">
        <v>32549.999999999996</v>
      </c>
      <c r="F242" s="2">
        <v>32549.999999999996</v>
      </c>
      <c r="G242" s="2">
        <v>54404.002190000007</v>
      </c>
      <c r="H242" s="2">
        <v>39938.5005475</v>
      </c>
      <c r="I242" s="2">
        <v>21854.00219000001</v>
      </c>
      <c r="J242" s="4">
        <v>0.40169842861334548</v>
      </c>
      <c r="L242" s="7">
        <v>348.74360378205131</v>
      </c>
      <c r="M242" s="7">
        <v>348.74360378205131</v>
      </c>
      <c r="N242" s="7">
        <v>353.80434782608694</v>
      </c>
      <c r="O242" s="7">
        <f t="shared" si="34"/>
        <v>351.2739758040691</v>
      </c>
      <c r="P242" s="7">
        <v>5.0607440440356299</v>
      </c>
      <c r="Q242" s="4">
        <v>1.4303792689747402E-2</v>
      </c>
    </row>
    <row r="243" spans="2:17" ht="15.5" x14ac:dyDescent="0.35">
      <c r="B243" s="352" t="s">
        <v>86</v>
      </c>
      <c r="C243" s="365" t="s">
        <v>70</v>
      </c>
      <c r="D243" s="376" t="s">
        <v>70</v>
      </c>
      <c r="E243" s="2">
        <v>0</v>
      </c>
      <c r="F243" s="2">
        <v>0</v>
      </c>
      <c r="G243" s="2">
        <v>0</v>
      </c>
      <c r="H243" s="2" t="s">
        <v>309</v>
      </c>
      <c r="I243" s="2">
        <v>0</v>
      </c>
      <c r="J243" s="4" t="s">
        <v>309</v>
      </c>
      <c r="L243" s="7">
        <v>0</v>
      </c>
      <c r="M243" s="7">
        <v>0</v>
      </c>
      <c r="N243" s="7">
        <v>0</v>
      </c>
      <c r="O243" s="7">
        <f t="shared" si="34"/>
        <v>0</v>
      </c>
      <c r="P243" s="7">
        <v>0</v>
      </c>
      <c r="Q243" s="4" t="s">
        <v>309</v>
      </c>
    </row>
    <row r="244" spans="2:17" ht="15.5" x14ac:dyDescent="0.35">
      <c r="B244" s="3" t="s">
        <v>351</v>
      </c>
      <c r="C244" s="153" t="s">
        <v>71</v>
      </c>
      <c r="D244" s="3" t="s">
        <v>71</v>
      </c>
      <c r="E244" s="2">
        <v>0</v>
      </c>
      <c r="F244" s="2">
        <v>2141.88985</v>
      </c>
      <c r="G244" s="2">
        <v>16131.78</v>
      </c>
      <c r="H244" s="2">
        <v>8357.8899499999989</v>
      </c>
      <c r="I244" s="2">
        <v>13989.890150000001</v>
      </c>
      <c r="J244" s="4">
        <v>0.86722544877254715</v>
      </c>
      <c r="L244" s="7">
        <v>0</v>
      </c>
      <c r="M244" s="7">
        <v>13.73006314102564</v>
      </c>
      <c r="N244" s="7">
        <v>153.636</v>
      </c>
      <c r="O244" s="7">
        <f t="shared" si="34"/>
        <v>83.683031570512824</v>
      </c>
      <c r="P244" s="7">
        <v>139.90593685897434</v>
      </c>
      <c r="Q244" s="4">
        <v>0.91063251359690667</v>
      </c>
    </row>
    <row r="245" spans="2:17" ht="15.5" x14ac:dyDescent="0.35">
      <c r="B245" s="352" t="s">
        <v>86</v>
      </c>
      <c r="C245" s="365" t="s">
        <v>85</v>
      </c>
      <c r="D245" s="372" t="s">
        <v>85</v>
      </c>
      <c r="E245" s="2">
        <v>0</v>
      </c>
      <c r="F245" s="2">
        <v>119945.8316</v>
      </c>
      <c r="G245" s="2">
        <v>198368</v>
      </c>
      <c r="H245" s="2">
        <v>153852.13386666667</v>
      </c>
      <c r="I245" s="2">
        <v>78422.168399999995</v>
      </c>
      <c r="J245" s="4">
        <v>0.39533679020809803</v>
      </c>
      <c r="L245" s="7">
        <v>0</v>
      </c>
      <c r="M245" s="7">
        <v>768.88353589743588</v>
      </c>
      <c r="N245" s="7">
        <v>2156.1739130434785</v>
      </c>
      <c r="O245" s="7">
        <f t="shared" si="34"/>
        <v>1462.5287244704573</v>
      </c>
      <c r="P245" s="7">
        <v>1387.2903771460426</v>
      </c>
      <c r="Q245" s="4">
        <v>0.64340374807144252</v>
      </c>
    </row>
    <row r="246" spans="2:17" ht="15.5" x14ac:dyDescent="0.35">
      <c r="B246" s="3" t="s">
        <v>86</v>
      </c>
      <c r="C246" s="153" t="s">
        <v>85</v>
      </c>
      <c r="D246" s="364" t="s">
        <v>72</v>
      </c>
      <c r="E246" s="2">
        <v>0</v>
      </c>
      <c r="F246" s="2">
        <v>100000</v>
      </c>
      <c r="G246" s="2">
        <v>133368</v>
      </c>
      <c r="H246" s="2">
        <v>112335.66666666667</v>
      </c>
      <c r="I246" s="2">
        <v>33368</v>
      </c>
      <c r="J246" s="4">
        <v>0.25019494931317859</v>
      </c>
      <c r="L246" s="7">
        <v>0</v>
      </c>
      <c r="M246" s="7">
        <v>970.87378640776694</v>
      </c>
      <c r="N246" s="7">
        <v>1449.6521739130435</v>
      </c>
      <c r="O246" s="7">
        <f t="shared" si="34"/>
        <v>1210.2629801604053</v>
      </c>
      <c r="P246" s="7">
        <v>478.77838750527656</v>
      </c>
      <c r="Q246" s="4">
        <v>0.33027121686225663</v>
      </c>
    </row>
    <row r="247" spans="2:17" ht="15.5" x14ac:dyDescent="0.35">
      <c r="B247" s="352" t="s">
        <v>86</v>
      </c>
      <c r="C247" s="365" t="s">
        <v>85</v>
      </c>
      <c r="D247" s="363" t="s">
        <v>103</v>
      </c>
      <c r="E247" s="2">
        <v>0</v>
      </c>
      <c r="F247" s="2">
        <v>39603.57</v>
      </c>
      <c r="G247" s="2">
        <v>65000</v>
      </c>
      <c r="H247" s="2">
        <v>52301.785000000003</v>
      </c>
      <c r="I247" s="2">
        <v>25396.43</v>
      </c>
      <c r="J247" s="4">
        <v>0.39071430769230769</v>
      </c>
      <c r="L247" s="7">
        <v>0</v>
      </c>
      <c r="M247" s="7">
        <v>377.17685714285716</v>
      </c>
      <c r="N247" s="7">
        <v>631.06796116504859</v>
      </c>
      <c r="O247" s="7">
        <f t="shared" si="34"/>
        <v>504.12240915395284</v>
      </c>
      <c r="P247" s="7">
        <v>253.89110402219143</v>
      </c>
      <c r="Q247" s="4">
        <v>0.40231974945054949</v>
      </c>
    </row>
    <row r="248" spans="2:17" ht="15.5" x14ac:dyDescent="0.35">
      <c r="B248" s="3" t="s">
        <v>86</v>
      </c>
      <c r="C248" s="153" t="s">
        <v>85</v>
      </c>
      <c r="D248" s="364" t="s">
        <v>86</v>
      </c>
      <c r="E248" s="2">
        <v>0</v>
      </c>
      <c r="F248" s="2">
        <v>0</v>
      </c>
      <c r="G248" s="2">
        <v>0</v>
      </c>
      <c r="H248" s="2" t="s">
        <v>309</v>
      </c>
      <c r="I248" s="2">
        <v>0</v>
      </c>
      <c r="J248" s="4" t="s">
        <v>309</v>
      </c>
      <c r="L248" s="7">
        <v>0</v>
      </c>
      <c r="M248" s="7">
        <v>0</v>
      </c>
      <c r="N248" s="7">
        <v>0</v>
      </c>
      <c r="O248" s="7">
        <f t="shared" si="34"/>
        <v>0</v>
      </c>
      <c r="P248" s="7">
        <v>0</v>
      </c>
      <c r="Q248" s="4" t="s">
        <v>309</v>
      </c>
    </row>
    <row r="249" spans="2:17" ht="15.5" x14ac:dyDescent="0.35">
      <c r="B249" s="352" t="s">
        <v>86</v>
      </c>
      <c r="C249" s="365" t="s">
        <v>73</v>
      </c>
      <c r="D249" s="377" t="s">
        <v>73</v>
      </c>
      <c r="E249" s="2">
        <v>0</v>
      </c>
      <c r="F249" s="2">
        <v>0</v>
      </c>
      <c r="G249" s="2">
        <v>50000</v>
      </c>
      <c r="H249" s="2">
        <v>50000</v>
      </c>
      <c r="I249" s="2">
        <v>50000</v>
      </c>
      <c r="J249" s="4">
        <v>1</v>
      </c>
      <c r="L249" s="7">
        <v>0</v>
      </c>
      <c r="M249" s="7">
        <v>0</v>
      </c>
      <c r="N249" s="7">
        <v>476.1904761904762</v>
      </c>
      <c r="O249" s="7">
        <f t="shared" si="34"/>
        <v>238.0952380952381</v>
      </c>
      <c r="P249" s="7">
        <v>476.1904761904762</v>
      </c>
      <c r="Q249" s="4">
        <v>1</v>
      </c>
    </row>
    <row r="250" spans="2:17" ht="15.5" x14ac:dyDescent="0.35">
      <c r="B250" s="3" t="s">
        <v>351</v>
      </c>
      <c r="C250" s="135" t="s">
        <v>74</v>
      </c>
      <c r="D250" s="115" t="s">
        <v>74</v>
      </c>
      <c r="E250" s="2">
        <v>0</v>
      </c>
      <c r="F250" s="2">
        <v>709283</v>
      </c>
      <c r="G250" s="2">
        <v>874747.81474000006</v>
      </c>
      <c r="H250" s="2">
        <v>788473.9382466668</v>
      </c>
      <c r="I250" s="2">
        <v>165464.81474000006</v>
      </c>
      <c r="J250" s="4">
        <v>0.18915716272944438</v>
      </c>
      <c r="L250" s="7">
        <v>0</v>
      </c>
      <c r="M250" s="7">
        <v>5607.3577867948725</v>
      </c>
      <c r="N250" s="7">
        <v>8493.3804347826081</v>
      </c>
      <c r="O250" s="7">
        <f t="shared" si="34"/>
        <v>7050.3691107887407</v>
      </c>
      <c r="P250" s="7">
        <v>2886.0226479877356</v>
      </c>
      <c r="Q250" s="4">
        <v>0.33979670051852617</v>
      </c>
    </row>
    <row r="251" spans="2:17" ht="15.5" x14ac:dyDescent="0.35">
      <c r="B251" s="352" t="s">
        <v>351</v>
      </c>
      <c r="C251" s="353" t="s">
        <v>74</v>
      </c>
      <c r="D251" s="373" t="s">
        <v>75</v>
      </c>
      <c r="E251" s="2">
        <v>0</v>
      </c>
      <c r="F251" s="2">
        <v>85772</v>
      </c>
      <c r="G251" s="2">
        <v>98341.000000000015</v>
      </c>
      <c r="H251" s="2">
        <v>94151.333333333328</v>
      </c>
      <c r="I251" s="2">
        <v>12569.000000000015</v>
      </c>
      <c r="J251" s="4">
        <v>0.12781037410642573</v>
      </c>
      <c r="L251" s="7">
        <v>0</v>
      </c>
      <c r="M251" s="7">
        <v>816.87619047619046</v>
      </c>
      <c r="N251" s="7">
        <v>1068.9239130434783</v>
      </c>
      <c r="O251" s="7">
        <f t="shared" si="34"/>
        <v>942.90005175983435</v>
      </c>
      <c r="P251" s="7">
        <v>252.04772256728779</v>
      </c>
      <c r="Q251" s="4">
        <v>0.23579575635991579</v>
      </c>
    </row>
    <row r="252" spans="2:17" ht="15.5" x14ac:dyDescent="0.35">
      <c r="B252" s="3" t="s">
        <v>351</v>
      </c>
      <c r="C252" s="135" t="s">
        <v>74</v>
      </c>
      <c r="D252" s="364" t="s">
        <v>76</v>
      </c>
      <c r="E252" s="2">
        <v>0</v>
      </c>
      <c r="F252" s="2">
        <v>130755</v>
      </c>
      <c r="G252" s="2">
        <v>225000</v>
      </c>
      <c r="H252" s="2">
        <v>193585</v>
      </c>
      <c r="I252" s="2">
        <v>94245</v>
      </c>
      <c r="J252" s="4">
        <v>0.41886666666666666</v>
      </c>
      <c r="L252" s="7">
        <v>0</v>
      </c>
      <c r="M252" s="7">
        <v>1245.2857142857142</v>
      </c>
      <c r="N252" s="7">
        <v>2445.6521739130435</v>
      </c>
      <c r="O252" s="7">
        <f t="shared" si="34"/>
        <v>1845.4689440993789</v>
      </c>
      <c r="P252" s="7">
        <v>1200.3664596273293</v>
      </c>
      <c r="Q252" s="4">
        <v>0.49081650793650794</v>
      </c>
    </row>
    <row r="253" spans="2:17" ht="15.5" x14ac:dyDescent="0.35">
      <c r="B253" s="352" t="s">
        <v>351</v>
      </c>
      <c r="C253" s="353" t="s">
        <v>74</v>
      </c>
      <c r="D253" s="363" t="s">
        <v>77</v>
      </c>
      <c r="E253" s="2">
        <v>0</v>
      </c>
      <c r="F253" s="2">
        <v>35000</v>
      </c>
      <c r="G253" s="2">
        <v>35000</v>
      </c>
      <c r="H253" s="2">
        <v>35000</v>
      </c>
      <c r="I253" s="2">
        <v>0</v>
      </c>
      <c r="J253" s="4">
        <v>0</v>
      </c>
      <c r="L253" s="7">
        <v>0</v>
      </c>
      <c r="M253" s="7">
        <v>333.33333333333331</v>
      </c>
      <c r="N253" s="7">
        <v>380.43478260869563</v>
      </c>
      <c r="O253" s="7">
        <f t="shared" si="34"/>
        <v>356.8840579710145</v>
      </c>
      <c r="P253" s="7">
        <v>47.101449275362313</v>
      </c>
      <c r="Q253" s="4">
        <v>0.1238095238095238</v>
      </c>
    </row>
    <row r="254" spans="2:17" ht="15.5" x14ac:dyDescent="0.35">
      <c r="B254" s="3" t="s">
        <v>351</v>
      </c>
      <c r="C254" s="135" t="s">
        <v>74</v>
      </c>
      <c r="D254" s="364" t="s">
        <v>78</v>
      </c>
      <c r="E254" s="2">
        <v>0</v>
      </c>
      <c r="F254" s="2">
        <v>95000</v>
      </c>
      <c r="G254" s="2">
        <v>97000</v>
      </c>
      <c r="H254" s="2">
        <v>96333.333333333328</v>
      </c>
      <c r="I254" s="2">
        <v>2000</v>
      </c>
      <c r="J254" s="4">
        <v>2.0618556701030927E-2</v>
      </c>
      <c r="L254" s="7">
        <v>0</v>
      </c>
      <c r="M254" s="7">
        <v>904.76190476190482</v>
      </c>
      <c r="N254" s="7">
        <v>1054.3478260869565</v>
      </c>
      <c r="O254" s="7">
        <f t="shared" si="34"/>
        <v>979.55486542443066</v>
      </c>
      <c r="P254" s="7">
        <v>149.58592132505169</v>
      </c>
      <c r="Q254" s="4">
        <v>0.14187530682376037</v>
      </c>
    </row>
    <row r="255" spans="2:17" ht="15.5" x14ac:dyDescent="0.35">
      <c r="B255" s="352" t="s">
        <v>351</v>
      </c>
      <c r="C255" s="353" t="s">
        <v>74</v>
      </c>
      <c r="D255" s="363" t="s">
        <v>80</v>
      </c>
      <c r="E255" s="2">
        <v>0</v>
      </c>
      <c r="F255" s="2">
        <v>316050</v>
      </c>
      <c r="G255" s="2">
        <v>392170</v>
      </c>
      <c r="H255" s="2">
        <v>353658.66666666669</v>
      </c>
      <c r="I255" s="2">
        <v>76120</v>
      </c>
      <c r="J255" s="4">
        <v>0.19409949766682816</v>
      </c>
      <c r="L255" s="7">
        <v>0</v>
      </c>
      <c r="M255" s="7">
        <v>3359.5809523809526</v>
      </c>
      <c r="N255" s="7">
        <v>3807.4757281553398</v>
      </c>
      <c r="O255" s="7">
        <f t="shared" si="34"/>
        <v>3583.5283402681462</v>
      </c>
      <c r="P255" s="7">
        <v>447.8947757743872</v>
      </c>
      <c r="Q255" s="4">
        <v>0.11763562206380367</v>
      </c>
    </row>
    <row r="256" spans="2:17" ht="15.5" x14ac:dyDescent="0.35">
      <c r="B256" s="3" t="s">
        <v>351</v>
      </c>
      <c r="C256" s="135" t="s">
        <v>74</v>
      </c>
      <c r="D256" s="364" t="s">
        <v>79</v>
      </c>
      <c r="E256" s="2">
        <v>0</v>
      </c>
      <c r="F256" s="2">
        <v>10000</v>
      </c>
      <c r="G256" s="2">
        <v>10000</v>
      </c>
      <c r="H256" s="2">
        <v>10000</v>
      </c>
      <c r="I256" s="2">
        <v>0</v>
      </c>
      <c r="J256" s="4">
        <v>0</v>
      </c>
      <c r="L256" s="7">
        <v>0</v>
      </c>
      <c r="M256" s="7">
        <v>95.238095238095241</v>
      </c>
      <c r="N256" s="7">
        <v>108.69565217391305</v>
      </c>
      <c r="O256" s="7">
        <f t="shared" si="34"/>
        <v>101.96687370600415</v>
      </c>
      <c r="P256" s="7">
        <v>13.457556935817806</v>
      </c>
      <c r="Q256" s="4">
        <v>0.12380952380952381</v>
      </c>
    </row>
    <row r="257" spans="2:17" ht="15.5" x14ac:dyDescent="0.35">
      <c r="B257" s="352" t="s">
        <v>351</v>
      </c>
      <c r="C257" s="365" t="s">
        <v>81</v>
      </c>
      <c r="D257" s="352" t="s">
        <v>81</v>
      </c>
      <c r="E257" s="2">
        <v>0</v>
      </c>
      <c r="F257" s="2">
        <v>0</v>
      </c>
      <c r="G257" s="2">
        <v>0</v>
      </c>
      <c r="H257" s="2" t="s">
        <v>309</v>
      </c>
      <c r="I257" s="2">
        <v>0</v>
      </c>
      <c r="J257" s="4" t="s">
        <v>309</v>
      </c>
      <c r="L257" s="7">
        <v>0</v>
      </c>
      <c r="M257" s="7">
        <v>0</v>
      </c>
      <c r="N257" s="7">
        <v>0</v>
      </c>
      <c r="O257" s="7">
        <f t="shared" si="34"/>
        <v>0</v>
      </c>
      <c r="P257" s="7">
        <v>0</v>
      </c>
      <c r="Q257" s="4" t="s">
        <v>309</v>
      </c>
    </row>
    <row r="258" spans="2:17" ht="15.5" x14ac:dyDescent="0.35">
      <c r="B258" s="3"/>
      <c r="C258" s="153" t="s">
        <v>358</v>
      </c>
      <c r="D258" s="3" t="s">
        <v>64</v>
      </c>
      <c r="E258" s="2">
        <v>0</v>
      </c>
      <c r="F258" s="2">
        <v>24845.922259999999</v>
      </c>
      <c r="G258" s="2">
        <v>25000</v>
      </c>
      <c r="H258" s="2">
        <v>24948.640753333329</v>
      </c>
      <c r="I258" s="2">
        <v>154.07774000000063</v>
      </c>
      <c r="J258" s="4">
        <v>6.1631096000000253E-3</v>
      </c>
      <c r="L258" s="7">
        <v>0</v>
      </c>
      <c r="M258" s="7">
        <v>159.26873243589742</v>
      </c>
      <c r="N258" s="7">
        <v>271.73913043478262</v>
      </c>
      <c r="O258" s="7">
        <f t="shared" si="34"/>
        <v>215.50393143534001</v>
      </c>
      <c r="P258" s="7">
        <v>112.4703979988852</v>
      </c>
      <c r="Q258" s="4">
        <v>0.41389106463589753</v>
      </c>
    </row>
    <row r="259" spans="2:17" ht="15.5" x14ac:dyDescent="0.35">
      <c r="B259" s="352" t="s">
        <v>86</v>
      </c>
      <c r="C259" s="365" t="s">
        <v>26</v>
      </c>
      <c r="D259" s="352" t="s">
        <v>82</v>
      </c>
      <c r="E259" s="2">
        <v>14993.228950000001</v>
      </c>
      <c r="F259" s="2">
        <v>14993.228950000001</v>
      </c>
      <c r="G259" s="2">
        <v>20000</v>
      </c>
      <c r="H259" s="2">
        <v>18748.307237500001</v>
      </c>
      <c r="I259" s="2">
        <v>5006.7710499999994</v>
      </c>
      <c r="J259" s="4">
        <v>0.25033855249999998</v>
      </c>
      <c r="L259" s="7">
        <v>96.110441987179485</v>
      </c>
      <c r="M259" s="7">
        <v>96.110441987179485</v>
      </c>
      <c r="N259" s="7">
        <v>217.39130434782609</v>
      </c>
      <c r="O259" s="7">
        <f t="shared" si="34"/>
        <v>156.75087316750279</v>
      </c>
      <c r="P259" s="7">
        <v>121.28086236064661</v>
      </c>
      <c r="Q259" s="4">
        <v>0.55789196685897435</v>
      </c>
    </row>
    <row r="260" spans="2:17" ht="15.5" x14ac:dyDescent="0.35">
      <c r="B260" s="3" t="s">
        <v>86</v>
      </c>
      <c r="C260" s="153" t="s">
        <v>26</v>
      </c>
      <c r="D260" s="3" t="s">
        <v>83</v>
      </c>
      <c r="E260" s="2">
        <v>0</v>
      </c>
      <c r="F260" s="2">
        <v>9852.6933100000006</v>
      </c>
      <c r="G260" s="2">
        <v>20000</v>
      </c>
      <c r="H260" s="2">
        <v>13284.231103333334</v>
      </c>
      <c r="I260" s="2">
        <v>10147.306689999999</v>
      </c>
      <c r="J260" s="4">
        <v>0.50736533449999999</v>
      </c>
      <c r="L260" s="7">
        <v>0</v>
      </c>
      <c r="M260" s="7">
        <v>0</v>
      </c>
      <c r="N260" s="7">
        <v>194.17475728155341</v>
      </c>
      <c r="O260" s="7">
        <f t="shared" si="34"/>
        <v>97.087378640776706</v>
      </c>
      <c r="P260" s="7">
        <v>194.17475728155341</v>
      </c>
      <c r="Q260" s="4">
        <v>1</v>
      </c>
    </row>
    <row r="261" spans="2:17" ht="15.5" x14ac:dyDescent="0.35">
      <c r="B261" s="352" t="s">
        <v>86</v>
      </c>
      <c r="C261" s="365" t="s">
        <v>26</v>
      </c>
      <c r="D261" s="352" t="s">
        <v>84</v>
      </c>
      <c r="E261" s="2">
        <v>200000</v>
      </c>
      <c r="F261" s="2">
        <v>200000</v>
      </c>
      <c r="G261" s="2">
        <v>250000</v>
      </c>
      <c r="H261" s="2">
        <v>212513.12799750001</v>
      </c>
      <c r="I261" s="2">
        <v>50000</v>
      </c>
      <c r="J261" s="4">
        <v>0.2</v>
      </c>
      <c r="L261" s="7">
        <v>1282.3878973717949</v>
      </c>
      <c r="M261" s="7">
        <v>1282.3878973717949</v>
      </c>
      <c r="N261" s="7">
        <v>2380.9523809523807</v>
      </c>
      <c r="O261" s="7">
        <f t="shared" si="34"/>
        <v>1831.6701391620877</v>
      </c>
      <c r="P261" s="7">
        <v>1098.5644835805858</v>
      </c>
      <c r="Q261" s="4">
        <v>0.46139708310384608</v>
      </c>
    </row>
    <row r="262" spans="2:17" x14ac:dyDescent="0.35">
      <c r="F262" s="378">
        <f t="shared" ref="F262:G262" si="35">SUM(F152:F159,F172,F175,F179,F183,F189:F191,F196:F201,F205,F211,F219,F226,F231:F235,F238,F240:F242,F245,F249:F250,F258:F261,F182)</f>
        <v>27360431.231242221</v>
      </c>
      <c r="G262" s="378">
        <f t="shared" si="35"/>
        <v>34566351.325790755</v>
      </c>
      <c r="H262" s="378">
        <f>SUM(H152:H159,H172,H175,H179,H183,H189:H191,H196:H201,H205,H211,H219,H226,H231:H235,H238,H240:H242,H245,H249:H250,H258:H261,H182)</f>
        <v>30902562.609050907</v>
      </c>
      <c r="I262" s="378">
        <f t="shared" ref="I262" si="36">SUM(I152:I159,I172,I175,I179,I183,I189:I191,I196:I201,I205,I211,I219,I226,I231:I235,I238,I240:I242,I245,I249:I250,I258:I261,I182)</f>
        <v>7205920.0945485327</v>
      </c>
      <c r="J262" s="379"/>
      <c r="K262" s="379"/>
      <c r="L262" s="378">
        <f t="shared" ref="L262:P262" si="37">SUM(L152:L159,L172,L175,L179,L183,L189:L191,L196:L201,L205,L211,L219,L226,L231:L235,L238,L240:L242,L245,L249:L250,L258:L261,L182)</f>
        <v>23191.966928427726</v>
      </c>
      <c r="M262" s="378">
        <f t="shared" si="37"/>
        <v>242987.66027988336</v>
      </c>
      <c r="N262" s="378">
        <f t="shared" si="37"/>
        <v>344193.05360088649</v>
      </c>
      <c r="O262" s="378">
        <f t="shared" si="37"/>
        <v>293590.35694038484</v>
      </c>
      <c r="P262" s="378">
        <f t="shared" si="37"/>
        <v>101205.39332100307</v>
      </c>
    </row>
    <row r="263" spans="2:17" x14ac:dyDescent="0.35">
      <c r="J263" s="380"/>
      <c r="K263" s="380"/>
      <c r="M263" t="s">
        <v>366</v>
      </c>
      <c r="N263" t="s">
        <v>367</v>
      </c>
      <c r="O263" t="s">
        <v>368</v>
      </c>
    </row>
  </sheetData>
  <mergeCells count="14">
    <mergeCell ref="E150:J150"/>
    <mergeCell ref="L150:Q150"/>
    <mergeCell ref="I9:J11"/>
    <mergeCell ref="K9:L11"/>
    <mergeCell ref="M9:N11"/>
    <mergeCell ref="O9:P11"/>
    <mergeCell ref="Q9:R11"/>
    <mergeCell ref="S9:T11"/>
    <mergeCell ref="I8:J8"/>
    <mergeCell ref="K8:L8"/>
    <mergeCell ref="M8:N8"/>
    <mergeCell ref="O8:P8"/>
    <mergeCell ref="Q8:R8"/>
    <mergeCell ref="S8:T8"/>
  </mergeCells>
  <conditionalFormatting sqref="I28:I29">
    <cfRule type="expression" dxfId="22" priority="3">
      <formula>IF(I28&gt;G28,Ture,FALSE)</formula>
    </cfRule>
  </conditionalFormatting>
  <conditionalFormatting sqref="S28:S29">
    <cfRule type="expression" dxfId="21" priority="1">
      <formula>IF(S28&gt;M28,Ture,FALSE)</formula>
    </cfRule>
  </conditionalFormatting>
  <conditionalFormatting sqref="K28:K29">
    <cfRule type="expression" dxfId="20" priority="2">
      <formula>IF(K28&gt;I28,Ture,FALSE)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88EA-F94A-4CED-A41E-A5FC8125C9E9}">
  <dimension ref="A5:W137"/>
  <sheetViews>
    <sheetView topLeftCell="A39" zoomScale="69" zoomScaleNormal="60" workbookViewId="0">
      <selection activeCell="G14" sqref="G14:G61"/>
    </sheetView>
  </sheetViews>
  <sheetFormatPr defaultRowHeight="14.5" x14ac:dyDescent="0.35"/>
  <cols>
    <col min="1" max="1" width="10" bestFit="1" customWidth="1"/>
    <col min="2" max="2" width="40.1796875" bestFit="1" customWidth="1"/>
    <col min="3" max="3" width="40.1796875" customWidth="1"/>
    <col min="4" max="4" width="57.7265625" customWidth="1"/>
    <col min="5" max="5" width="11.54296875" customWidth="1"/>
    <col min="6" max="6" width="12.81640625" bestFit="1" customWidth="1"/>
    <col min="7" max="7" width="16.7265625" customWidth="1"/>
    <col min="8" max="8" width="21.54296875" customWidth="1"/>
    <col min="9" max="9" width="21.54296875" bestFit="1" customWidth="1"/>
    <col min="10" max="11" width="21.54296875" customWidth="1"/>
    <col min="12" max="12" width="19" customWidth="1"/>
    <col min="13" max="13" width="21.81640625" customWidth="1"/>
    <col min="14" max="14" width="19" customWidth="1"/>
    <col min="15" max="15" width="21.81640625" customWidth="1"/>
    <col min="16" max="16" width="19" customWidth="1"/>
    <col min="17" max="17" width="21.81640625" customWidth="1"/>
    <col min="18" max="18" width="21.36328125" customWidth="1"/>
    <col min="19" max="19" width="28.1796875" bestFit="1" customWidth="1"/>
    <col min="20" max="20" width="21.6328125" customWidth="1"/>
    <col min="21" max="21" width="25.36328125" customWidth="1"/>
    <col min="22" max="22" width="16" bestFit="1" customWidth="1"/>
    <col min="23" max="23" width="16.90625" customWidth="1"/>
  </cols>
  <sheetData>
    <row r="5" spans="1:20" x14ac:dyDescent="0.35">
      <c r="I5" s="15"/>
      <c r="J5" s="15"/>
      <c r="K5" s="15"/>
      <c r="L5" s="15"/>
      <c r="M5" s="15"/>
      <c r="N5" s="15"/>
      <c r="O5" s="15"/>
      <c r="P5" s="15"/>
      <c r="Q5" s="15"/>
    </row>
    <row r="8" spans="1:20" x14ac:dyDescent="0.35">
      <c r="H8" s="269" t="s">
        <v>221</v>
      </c>
      <c r="I8" s="269"/>
      <c r="J8" s="269" t="s">
        <v>222</v>
      </c>
      <c r="K8" s="269"/>
      <c r="L8" s="269" t="s">
        <v>230</v>
      </c>
      <c r="M8" s="269"/>
      <c r="N8" s="269" t="s">
        <v>243</v>
      </c>
      <c r="O8" s="269"/>
      <c r="P8" s="269" t="s">
        <v>245</v>
      </c>
      <c r="Q8" s="269"/>
      <c r="R8" s="269" t="s">
        <v>260</v>
      </c>
      <c r="S8" s="269"/>
    </row>
    <row r="9" spans="1:20" ht="14.5" customHeight="1" x14ac:dyDescent="0.35">
      <c r="H9" s="270" t="s">
        <v>223</v>
      </c>
      <c r="I9" s="270"/>
      <c r="J9" s="270" t="s">
        <v>224</v>
      </c>
      <c r="K9" s="270"/>
      <c r="L9" s="270" t="s">
        <v>232</v>
      </c>
      <c r="M9" s="270"/>
      <c r="N9" s="270" t="s">
        <v>244</v>
      </c>
      <c r="O9" s="270"/>
      <c r="P9" s="270" t="s">
        <v>233</v>
      </c>
      <c r="Q9" s="270"/>
      <c r="R9" s="270" t="s">
        <v>235</v>
      </c>
      <c r="S9" s="270"/>
    </row>
    <row r="10" spans="1:20" x14ac:dyDescent="0.35"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</row>
    <row r="11" spans="1:20" x14ac:dyDescent="0.35">
      <c r="G11">
        <f>G14/G18</f>
        <v>588.23529411764707</v>
      </c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</row>
    <row r="12" spans="1:20" ht="15.5" x14ac:dyDescent="0.35">
      <c r="B12" s="1" t="s">
        <v>115</v>
      </c>
      <c r="C12" s="1" t="s">
        <v>311</v>
      </c>
      <c r="D12" s="1" t="s">
        <v>203</v>
      </c>
      <c r="E12" t="s">
        <v>204</v>
      </c>
      <c r="F12" t="s">
        <v>205</v>
      </c>
      <c r="G12" t="s">
        <v>219</v>
      </c>
      <c r="H12" t="s">
        <v>206</v>
      </c>
      <c r="I12" t="s">
        <v>207</v>
      </c>
      <c r="J12" t="s">
        <v>225</v>
      </c>
      <c r="K12" t="s">
        <v>226</v>
      </c>
      <c r="L12" t="s">
        <v>214</v>
      </c>
      <c r="M12" t="s">
        <v>228</v>
      </c>
      <c r="N12" t="s">
        <v>242</v>
      </c>
      <c r="O12" t="s">
        <v>248</v>
      </c>
      <c r="P12" t="s">
        <v>246</v>
      </c>
      <c r="Q12" t="s">
        <v>247</v>
      </c>
      <c r="R12" t="s">
        <v>227</v>
      </c>
      <c r="S12" t="s">
        <v>215</v>
      </c>
    </row>
    <row r="13" spans="1:20" ht="15.5" x14ac:dyDescent="0.35">
      <c r="B13" t="s">
        <v>106</v>
      </c>
      <c r="E13" s="176"/>
      <c r="F13" s="176"/>
      <c r="G13" s="252">
        <f>G15+G14</f>
        <v>64045</v>
      </c>
      <c r="H13" s="252"/>
      <c r="I13" s="252">
        <v>62632</v>
      </c>
      <c r="J13" s="252"/>
      <c r="K13" s="252">
        <v>62632</v>
      </c>
      <c r="L13" s="253"/>
      <c r="M13" s="254">
        <f>SUM(M14,M15)</f>
        <v>47250</v>
      </c>
      <c r="N13" s="255"/>
      <c r="O13" s="252">
        <v>62632</v>
      </c>
      <c r="P13" s="253"/>
      <c r="Q13" s="254">
        <f>SUM(Q14,Q15)</f>
        <v>47250</v>
      </c>
      <c r="R13" s="253"/>
      <c r="S13" s="254">
        <f>SUM(S14:S15)</f>
        <v>47250</v>
      </c>
    </row>
    <row r="14" spans="1:20" ht="16.5" x14ac:dyDescent="0.35">
      <c r="B14" t="s">
        <v>107</v>
      </c>
      <c r="E14" s="176"/>
      <c r="F14" s="176"/>
      <c r="G14" s="8">
        <v>60000</v>
      </c>
      <c r="H14" s="8"/>
      <c r="I14" s="8">
        <v>58587</v>
      </c>
      <c r="J14" s="8"/>
      <c r="K14" s="8">
        <v>58587</v>
      </c>
      <c r="L14" s="255"/>
      <c r="M14" s="256">
        <v>46000</v>
      </c>
      <c r="N14" s="255"/>
      <c r="O14" s="8">
        <v>58587</v>
      </c>
      <c r="P14" s="255"/>
      <c r="Q14" s="256">
        <v>46000</v>
      </c>
      <c r="R14" s="255"/>
      <c r="S14" s="256">
        <v>41000</v>
      </c>
    </row>
    <row r="15" spans="1:20" ht="13.5" customHeight="1" x14ac:dyDescent="0.35">
      <c r="B15" t="s">
        <v>112</v>
      </c>
      <c r="E15" s="177"/>
      <c r="F15" s="177"/>
      <c r="G15" s="8">
        <v>4045</v>
      </c>
      <c r="H15" s="8"/>
      <c r="I15" s="8">
        <v>4045</v>
      </c>
      <c r="J15" s="8"/>
      <c r="K15" s="8">
        <v>4045</v>
      </c>
      <c r="L15" s="255"/>
      <c r="M15" s="256">
        <v>1250</v>
      </c>
      <c r="N15" s="255"/>
      <c r="O15" s="8">
        <v>4045</v>
      </c>
      <c r="P15" s="255"/>
      <c r="Q15" s="256">
        <v>1250</v>
      </c>
      <c r="R15" s="255"/>
      <c r="S15" s="256">
        <v>6250</v>
      </c>
    </row>
    <row r="16" spans="1:20" ht="13.5" customHeight="1" x14ac:dyDescent="0.35">
      <c r="A16" s="197"/>
      <c r="B16" s="3" t="s">
        <v>231</v>
      </c>
      <c r="C16" s="319"/>
      <c r="D16" s="134"/>
      <c r="E16" s="178"/>
      <c r="F16" s="75"/>
      <c r="G16" s="256">
        <v>15000</v>
      </c>
      <c r="H16" s="257"/>
      <c r="I16" s="257">
        <v>15000</v>
      </c>
      <c r="J16" s="257"/>
      <c r="K16" s="257">
        <v>15000</v>
      </c>
      <c r="L16" s="257"/>
      <c r="M16" s="257">
        <v>15000</v>
      </c>
      <c r="N16" s="255"/>
      <c r="O16" s="256">
        <v>15000</v>
      </c>
      <c r="P16" s="257"/>
      <c r="Q16" s="257">
        <v>15000</v>
      </c>
      <c r="R16" s="257"/>
      <c r="S16" s="257">
        <v>15000</v>
      </c>
      <c r="T16" s="3"/>
    </row>
    <row r="17" spans="2:23" x14ac:dyDescent="0.35">
      <c r="B17" t="s">
        <v>108</v>
      </c>
      <c r="E17" s="176"/>
      <c r="F17" s="176"/>
      <c r="G17" s="8">
        <v>6</v>
      </c>
      <c r="H17" s="8"/>
      <c r="I17" s="8">
        <v>6</v>
      </c>
      <c r="J17" s="8"/>
      <c r="K17" s="8">
        <v>6</v>
      </c>
      <c r="L17" s="255"/>
      <c r="M17" s="256">
        <v>5</v>
      </c>
      <c r="N17" s="255"/>
      <c r="O17" s="8">
        <v>6</v>
      </c>
      <c r="P17" s="255"/>
      <c r="Q17" s="256">
        <v>5</v>
      </c>
      <c r="R17" s="255"/>
      <c r="S17" s="256">
        <v>4</v>
      </c>
      <c r="V17" s="2"/>
    </row>
    <row r="18" spans="2:23" x14ac:dyDescent="0.35">
      <c r="B18" t="s">
        <v>239</v>
      </c>
      <c r="E18" s="176"/>
      <c r="F18" s="176"/>
      <c r="G18" s="8">
        <v>102</v>
      </c>
      <c r="H18" s="8"/>
      <c r="I18" s="8">
        <v>102</v>
      </c>
      <c r="J18" s="8"/>
      <c r="K18" s="8">
        <v>102</v>
      </c>
      <c r="L18" s="255"/>
      <c r="M18" s="256">
        <v>80</v>
      </c>
      <c r="N18" s="255"/>
      <c r="O18" s="8">
        <v>102</v>
      </c>
      <c r="P18" s="255"/>
      <c r="Q18" s="256">
        <v>80</v>
      </c>
      <c r="R18" s="255"/>
      <c r="S18" s="256">
        <v>56</v>
      </c>
      <c r="V18" s="2"/>
    </row>
    <row r="19" spans="2:23" x14ac:dyDescent="0.35">
      <c r="B19" t="s">
        <v>2</v>
      </c>
      <c r="E19" s="176"/>
      <c r="F19" s="176"/>
      <c r="G19" s="258">
        <v>3</v>
      </c>
      <c r="H19" s="8"/>
      <c r="I19" s="8">
        <v>3</v>
      </c>
      <c r="J19" s="8"/>
      <c r="K19" s="8">
        <v>3</v>
      </c>
      <c r="L19" s="255"/>
      <c r="M19" s="256">
        <v>2</v>
      </c>
      <c r="N19" s="255"/>
      <c r="O19" s="258">
        <v>3</v>
      </c>
      <c r="P19" s="255"/>
      <c r="Q19" s="256">
        <v>2</v>
      </c>
      <c r="R19" s="255"/>
      <c r="S19" s="256">
        <v>8</v>
      </c>
      <c r="V19" s="2"/>
    </row>
    <row r="20" spans="2:23" x14ac:dyDescent="0.35">
      <c r="B20" t="s">
        <v>109</v>
      </c>
      <c r="E20" s="176"/>
      <c r="F20" s="176"/>
      <c r="G20" s="8">
        <f>G18+G19</f>
        <v>105</v>
      </c>
      <c r="H20" s="8"/>
      <c r="I20" s="8">
        <f>I18+I19</f>
        <v>105</v>
      </c>
      <c r="J20" s="8"/>
      <c r="K20" s="8">
        <f>K18+K19</f>
        <v>105</v>
      </c>
      <c r="L20" s="255"/>
      <c r="M20" s="256">
        <f>M19+M18</f>
        <v>82</v>
      </c>
      <c r="N20" s="255"/>
      <c r="O20" s="8">
        <f>O18+O19</f>
        <v>105</v>
      </c>
      <c r="P20" s="255"/>
      <c r="Q20" s="256">
        <f>Q19+Q18</f>
        <v>82</v>
      </c>
      <c r="R20" s="255"/>
      <c r="S20" s="256">
        <f>S18+S19</f>
        <v>64</v>
      </c>
      <c r="V20" s="2"/>
    </row>
    <row r="21" spans="2:23" x14ac:dyDescent="0.35">
      <c r="B21" t="s">
        <v>167</v>
      </c>
      <c r="E21" s="176"/>
      <c r="F21" s="176"/>
      <c r="G21" s="8">
        <v>20</v>
      </c>
      <c r="H21" s="8"/>
      <c r="I21" s="8">
        <v>20</v>
      </c>
      <c r="J21" s="8"/>
      <c r="K21" s="8">
        <v>20</v>
      </c>
      <c r="L21" s="255"/>
      <c r="M21" s="256">
        <v>20</v>
      </c>
      <c r="N21" s="255"/>
      <c r="O21" s="8">
        <v>20</v>
      </c>
      <c r="P21" s="255"/>
      <c r="Q21" s="256">
        <v>20</v>
      </c>
      <c r="R21" s="255"/>
      <c r="S21" s="256">
        <v>20</v>
      </c>
    </row>
    <row r="22" spans="2:23" x14ac:dyDescent="0.35">
      <c r="B22" t="s">
        <v>168</v>
      </c>
      <c r="E22" s="176"/>
      <c r="F22" s="176"/>
      <c r="G22" s="8">
        <v>16</v>
      </c>
      <c r="H22" s="8"/>
      <c r="I22" s="8">
        <v>16</v>
      </c>
      <c r="J22" s="8"/>
      <c r="K22" s="8">
        <v>16</v>
      </c>
      <c r="L22" s="255"/>
      <c r="M22" s="256">
        <v>14</v>
      </c>
      <c r="N22" s="255"/>
      <c r="O22" s="8">
        <v>16</v>
      </c>
      <c r="P22" s="255"/>
      <c r="Q22" s="256">
        <v>14</v>
      </c>
      <c r="R22" s="255"/>
      <c r="S22" s="256">
        <v>14</v>
      </c>
      <c r="V22" s="2"/>
    </row>
    <row r="23" spans="2:23" x14ac:dyDescent="0.35">
      <c r="B23" t="s">
        <v>169</v>
      </c>
      <c r="E23" s="176"/>
      <c r="F23" s="176"/>
      <c r="G23" s="8">
        <f>G21+G22</f>
        <v>36</v>
      </c>
      <c r="H23" s="8"/>
      <c r="I23" s="8">
        <f>I21+I22</f>
        <v>36</v>
      </c>
      <c r="J23" s="8"/>
      <c r="K23" s="8">
        <f>K21+K22</f>
        <v>36</v>
      </c>
      <c r="L23" s="255"/>
      <c r="M23" s="256">
        <f>M21+M22</f>
        <v>34</v>
      </c>
      <c r="N23" s="255"/>
      <c r="O23" s="8">
        <f>O21+O22</f>
        <v>36</v>
      </c>
      <c r="P23" s="255"/>
      <c r="Q23" s="256">
        <f>Q21+Q22</f>
        <v>34</v>
      </c>
      <c r="R23" s="255"/>
      <c r="S23" s="256">
        <f>S21+S22</f>
        <v>34</v>
      </c>
    </row>
    <row r="24" spans="2:23" x14ac:dyDescent="0.35">
      <c r="B24" t="s">
        <v>173</v>
      </c>
      <c r="E24" s="176"/>
      <c r="F24" s="176"/>
      <c r="G24" s="8">
        <v>8</v>
      </c>
      <c r="H24" s="8"/>
      <c r="I24" s="8">
        <v>8</v>
      </c>
      <c r="J24" s="8"/>
      <c r="K24" s="8">
        <v>8</v>
      </c>
      <c r="L24" s="255"/>
      <c r="M24" s="256">
        <v>8</v>
      </c>
      <c r="N24" s="255"/>
      <c r="O24" s="8">
        <v>8</v>
      </c>
      <c r="P24" s="255"/>
      <c r="Q24" s="256">
        <v>8</v>
      </c>
      <c r="R24" s="255"/>
      <c r="S24" s="256">
        <v>8</v>
      </c>
    </row>
    <row r="25" spans="2:23" x14ac:dyDescent="0.35">
      <c r="B25" t="s">
        <v>113</v>
      </c>
      <c r="E25" s="176"/>
      <c r="F25" s="176"/>
      <c r="G25" s="15">
        <f t="shared" ref="G25:S25" si="0">SUM(G29:G34,G47,G50,G54,G58,G64:G66,G71:G76,G80,G86,G94,G101,G106:G110,G113,G115:G117,G120,G124:G125,G133:G136,G57)</f>
        <v>35440771.5119</v>
      </c>
      <c r="H25" s="15"/>
      <c r="I25" s="15">
        <f>SUM(I29:I34,I47,I50,I54,I58,I64:I66,I71:I76,I80,I86,I94,I101,I106:I110,I113,I115:I117,I120,I124:I125,I133:I136,I57)</f>
        <v>33169549.94624</v>
      </c>
      <c r="J25" s="15"/>
      <c r="K25" s="15">
        <f t="shared" si="0"/>
        <v>31090190.533173334</v>
      </c>
      <c r="L25" s="15"/>
      <c r="M25" s="15">
        <f t="shared" si="0"/>
        <v>20787629.300000001</v>
      </c>
      <c r="N25" s="255"/>
      <c r="O25" s="15">
        <f t="shared" ref="O25" si="1">SUM(O29:O34,O47,O50,O54,O58,O64:O66,O71:O76,O80,O86,O94,O101,O106:O110,O113,O115:O117,O120,O124:O125,O133:O136,O57)</f>
        <v>31705071.962239999</v>
      </c>
      <c r="P25" s="15"/>
      <c r="Q25" s="15">
        <f>SUM(Q29:Q34,Q47,Q50,Q54,Q58,Q64:Q66,Q71:Q76,Q80,Q86,Q94,Q101,Q106:Q110,Q113,Q115:Q117,Q120,Q124:Q125,Q133:Q136,Q57)</f>
        <v>15611894.612000002</v>
      </c>
      <c r="R25" s="15"/>
      <c r="S25" s="15">
        <f t="shared" si="0"/>
        <v>24386514.600000001</v>
      </c>
    </row>
    <row r="26" spans="2:23" x14ac:dyDescent="0.35">
      <c r="B26" t="s">
        <v>194</v>
      </c>
      <c r="E26" s="176"/>
      <c r="F26" s="176"/>
      <c r="G26" s="232">
        <f>G25/G20</f>
        <v>337531.15725619049</v>
      </c>
      <c r="H26" s="232"/>
      <c r="I26" s="232">
        <f>I25/I20</f>
        <v>315900.47567847621</v>
      </c>
      <c r="J26" s="232"/>
      <c r="K26" s="232">
        <f>K25/K20</f>
        <v>296097.05269688892</v>
      </c>
      <c r="L26" s="27"/>
      <c r="M26" s="27">
        <f>M25/M20</f>
        <v>253507.67439024392</v>
      </c>
      <c r="N26" s="27"/>
      <c r="O26" s="232">
        <f>O25/O20</f>
        <v>301953.06630704761</v>
      </c>
      <c r="P26" s="27"/>
      <c r="Q26" s="27">
        <f>Q25/Q20</f>
        <v>190388.95868292684</v>
      </c>
      <c r="R26" s="27"/>
      <c r="S26" s="27">
        <f>S25/S20</f>
        <v>381039.29062500002</v>
      </c>
    </row>
    <row r="27" spans="2:23" x14ac:dyDescent="0.35">
      <c r="B27" t="s">
        <v>240</v>
      </c>
      <c r="D27" t="s">
        <v>241</v>
      </c>
      <c r="E27" s="176"/>
      <c r="F27" s="176"/>
      <c r="G27" s="17">
        <v>21000</v>
      </c>
      <c r="H27" s="17"/>
      <c r="I27" s="17">
        <v>21000</v>
      </c>
      <c r="J27" s="17"/>
      <c r="K27" s="17">
        <v>21000</v>
      </c>
      <c r="L27" s="27"/>
      <c r="M27" s="231">
        <v>21000</v>
      </c>
      <c r="N27" s="27"/>
      <c r="O27" s="17">
        <v>21000</v>
      </c>
      <c r="P27" s="27"/>
      <c r="Q27" s="231">
        <v>21000</v>
      </c>
      <c r="R27" s="231"/>
      <c r="S27" s="231">
        <f t="shared" ref="S27" si="2">(S29+S34)/S20</f>
        <v>266307.8125</v>
      </c>
      <c r="V27" s="5"/>
      <c r="W27" s="5"/>
    </row>
    <row r="28" spans="2:23" ht="15.5" x14ac:dyDescent="0.35">
      <c r="B28" s="80" t="s">
        <v>0</v>
      </c>
      <c r="C28" s="135"/>
      <c r="D28" s="135"/>
      <c r="E28" s="179"/>
      <c r="F28" s="55">
        <v>0.10452199794883126</v>
      </c>
      <c r="H28" s="188">
        <v>0.1</v>
      </c>
      <c r="J28" s="188">
        <v>0.1</v>
      </c>
      <c r="L28" s="81">
        <v>0.10452199794883126</v>
      </c>
      <c r="M28" s="16"/>
      <c r="N28" s="55">
        <v>0.10452199794883126</v>
      </c>
      <c r="P28" s="81">
        <v>0.10452199794883126</v>
      </c>
      <c r="Q28" s="16"/>
      <c r="R28" s="188">
        <v>0.1</v>
      </c>
    </row>
    <row r="29" spans="2:23" x14ac:dyDescent="0.35">
      <c r="B29" s="86" t="s">
        <v>3</v>
      </c>
      <c r="C29" s="320"/>
      <c r="D29" s="136" t="s">
        <v>117</v>
      </c>
      <c r="E29" s="178" t="s">
        <v>201</v>
      </c>
      <c r="F29" s="56">
        <v>210</v>
      </c>
      <c r="G29" s="167">
        <f>G16*$F$29</f>
        <v>3150000</v>
      </c>
      <c r="H29" s="29">
        <v>210</v>
      </c>
      <c r="I29" s="87">
        <f>I16*$H$29</f>
        <v>3150000</v>
      </c>
      <c r="J29" s="29">
        <v>210</v>
      </c>
      <c r="K29" s="87">
        <f>K16*$J$29</f>
        <v>3150000</v>
      </c>
      <c r="L29" s="38">
        <v>210</v>
      </c>
      <c r="M29" s="87">
        <f>L29*M16</f>
        <v>3150000</v>
      </c>
      <c r="N29" s="56">
        <v>0</v>
      </c>
      <c r="O29" s="167">
        <f>O16*$N$29</f>
        <v>0</v>
      </c>
      <c r="P29" s="38">
        <v>0</v>
      </c>
      <c r="Q29" s="87">
        <f>P29*Q16</f>
        <v>0</v>
      </c>
      <c r="R29" s="210">
        <v>240</v>
      </c>
      <c r="S29" s="87">
        <f>S16*$R$29</f>
        <v>3600000</v>
      </c>
    </row>
    <row r="30" spans="2:23" x14ac:dyDescent="0.35">
      <c r="B30" s="82" t="s">
        <v>4</v>
      </c>
      <c r="C30" s="137"/>
      <c r="D30" s="137" t="s">
        <v>122</v>
      </c>
      <c r="E30" s="178"/>
      <c r="F30" s="57">
        <v>0</v>
      </c>
      <c r="G30" s="16"/>
      <c r="H30" s="84">
        <v>0</v>
      </c>
      <c r="I30" s="16"/>
      <c r="J30" s="84">
        <v>0</v>
      </c>
      <c r="K30" s="16"/>
      <c r="L30" s="85">
        <v>0</v>
      </c>
      <c r="M30" s="16"/>
      <c r="N30" s="57">
        <v>0</v>
      </c>
      <c r="O30" s="16"/>
      <c r="P30" s="85">
        <v>0</v>
      </c>
      <c r="Q30" s="16"/>
      <c r="R30" s="84">
        <v>0</v>
      </c>
      <c r="S30" s="16"/>
    </row>
    <row r="31" spans="2:23" ht="15.5" x14ac:dyDescent="0.35">
      <c r="B31" s="21" t="s">
        <v>1</v>
      </c>
      <c r="C31" s="138"/>
      <c r="D31" s="138"/>
      <c r="E31" s="180"/>
      <c r="F31" s="58">
        <v>4.4798725589428783E-3</v>
      </c>
      <c r="G31" s="16"/>
      <c r="H31" s="58">
        <v>4.4798725589428783E-3</v>
      </c>
      <c r="I31" s="16"/>
      <c r="J31" s="58">
        <v>4.4798725589428783E-3</v>
      </c>
      <c r="K31" s="16"/>
      <c r="L31" s="47">
        <v>4.4798725589428783E-3</v>
      </c>
      <c r="M31" s="16"/>
      <c r="N31" s="58">
        <v>4.4798725589428783E-3</v>
      </c>
      <c r="O31" s="16"/>
      <c r="P31" s="47">
        <v>4.4798725589428783E-3</v>
      </c>
      <c r="Q31" s="16"/>
      <c r="R31" s="58">
        <v>4.4798725589428783E-3</v>
      </c>
      <c r="S31" s="16"/>
    </row>
    <row r="32" spans="2:23" x14ac:dyDescent="0.35">
      <c r="B32" s="19" t="s">
        <v>20</v>
      </c>
      <c r="C32" s="321"/>
      <c r="D32" s="139" t="s">
        <v>134</v>
      </c>
      <c r="E32" s="178" t="s">
        <v>202</v>
      </c>
      <c r="F32" s="59">
        <v>100000</v>
      </c>
      <c r="G32" s="13">
        <f>$F32+(5*(G13/G17))</f>
        <v>153370.83333333331</v>
      </c>
      <c r="H32" s="59">
        <v>100000</v>
      </c>
      <c r="I32" s="13">
        <f>$F32+(5*(I13/I17))</f>
        <v>152193.33333333331</v>
      </c>
      <c r="J32" s="59">
        <v>100000</v>
      </c>
      <c r="K32" s="13">
        <f>$F32+(5*(K13/K17))</f>
        <v>152193.33333333331</v>
      </c>
      <c r="L32" s="207">
        <v>25000</v>
      </c>
      <c r="M32" s="12">
        <f>$L32+(5*(M13/M17))</f>
        <v>72250</v>
      </c>
      <c r="N32" s="59">
        <v>100000</v>
      </c>
      <c r="O32" s="13">
        <f>$F32+(5*(O13/O17))</f>
        <v>152193.33333333331</v>
      </c>
      <c r="P32" s="207">
        <v>25000</v>
      </c>
      <c r="Q32" s="12">
        <f>$L32+(5*(Q13/Q17))</f>
        <v>72250</v>
      </c>
      <c r="R32" s="59">
        <v>100000</v>
      </c>
      <c r="S32" s="13">
        <f>$F32+(5*(S13/S17))</f>
        <v>159062.5</v>
      </c>
    </row>
    <row r="33" spans="2:19" x14ac:dyDescent="0.35">
      <c r="B33" s="88" t="s">
        <v>5</v>
      </c>
      <c r="C33" s="322"/>
      <c r="D33" s="140" t="s">
        <v>135</v>
      </c>
      <c r="E33" s="178" t="s">
        <v>202</v>
      </c>
      <c r="F33" s="56">
        <v>50000</v>
      </c>
      <c r="G33" s="16">
        <f>$F$33</f>
        <v>50000</v>
      </c>
      <c r="H33" s="90">
        <v>50000</v>
      </c>
      <c r="I33" s="16">
        <f>$F$33</f>
        <v>50000</v>
      </c>
      <c r="J33" s="90">
        <v>50000</v>
      </c>
      <c r="K33" s="16">
        <f>$F$33</f>
        <v>50000</v>
      </c>
      <c r="L33" s="208">
        <v>0</v>
      </c>
      <c r="M33" s="16">
        <f>L33</f>
        <v>0</v>
      </c>
      <c r="N33" s="56">
        <v>50000</v>
      </c>
      <c r="O33" s="16">
        <f>$F$33</f>
        <v>50000</v>
      </c>
      <c r="P33" s="208">
        <v>0</v>
      </c>
      <c r="Q33" s="16">
        <f>P33</f>
        <v>0</v>
      </c>
      <c r="R33" s="90">
        <v>50000</v>
      </c>
      <c r="S33" s="16">
        <f>$F$33</f>
        <v>50000</v>
      </c>
    </row>
    <row r="34" spans="2:19" x14ac:dyDescent="0.35">
      <c r="B34" s="94" t="s">
        <v>110</v>
      </c>
      <c r="C34" s="323"/>
      <c r="D34" s="141" t="s">
        <v>124</v>
      </c>
      <c r="E34" s="181"/>
      <c r="F34" s="60" t="s">
        <v>208</v>
      </c>
      <c r="G34" s="168">
        <f>SUM(G35:G46)</f>
        <v>19368370</v>
      </c>
      <c r="H34" s="60" t="s">
        <v>208</v>
      </c>
      <c r="I34" s="42">
        <f>SUM(I35:I46)</f>
        <v>18964252</v>
      </c>
      <c r="J34" s="133" t="s">
        <v>216</v>
      </c>
      <c r="K34" s="42">
        <f>SUM(K35:K46)*0.99</f>
        <v>18774609.48</v>
      </c>
      <c r="L34" s="39" t="s">
        <v>213</v>
      </c>
      <c r="M34" s="42">
        <f>SUM(M35:M46)</f>
        <v>10686100</v>
      </c>
      <c r="N34" s="60" t="s">
        <v>208</v>
      </c>
      <c r="O34" s="168">
        <f>SUM(O35:O46)</f>
        <v>18964252</v>
      </c>
      <c r="P34" s="233" t="s">
        <v>234</v>
      </c>
      <c r="Q34" s="42">
        <f>SUM(Q35:Q46)*0.99</f>
        <v>10579239</v>
      </c>
      <c r="R34" s="30" t="s">
        <v>209</v>
      </c>
      <c r="S34" s="42">
        <f>SUM(S35:S46)</f>
        <v>13443700</v>
      </c>
    </row>
    <row r="35" spans="2:19" x14ac:dyDescent="0.35">
      <c r="B35" s="83" t="s">
        <v>6</v>
      </c>
      <c r="C35" s="142"/>
      <c r="D35" s="142" t="s">
        <v>119</v>
      </c>
      <c r="E35" s="178" t="s">
        <v>201</v>
      </c>
      <c r="F35" s="61">
        <v>280</v>
      </c>
      <c r="G35" s="10">
        <f>G13*$F35</f>
        <v>17932600</v>
      </c>
      <c r="H35" s="92">
        <v>280</v>
      </c>
      <c r="I35" s="10">
        <f>I13*$H35</f>
        <v>17536960</v>
      </c>
      <c r="J35" s="92">
        <v>280</v>
      </c>
      <c r="K35" s="10">
        <f>K13*J35</f>
        <v>17536960</v>
      </c>
      <c r="L35" s="209">
        <v>200</v>
      </c>
      <c r="M35" s="16">
        <f>M13*$L35</f>
        <v>9450000</v>
      </c>
      <c r="N35" s="61">
        <v>280</v>
      </c>
      <c r="O35" s="10">
        <f>O13*$F35</f>
        <v>17536960</v>
      </c>
      <c r="P35" s="209">
        <v>200</v>
      </c>
      <c r="Q35" s="16">
        <f>Q13*$L35</f>
        <v>9450000</v>
      </c>
      <c r="R35" s="131">
        <v>260</v>
      </c>
      <c r="S35" s="10">
        <f>S13*R35</f>
        <v>12285000</v>
      </c>
    </row>
    <row r="36" spans="2:19" x14ac:dyDescent="0.35">
      <c r="B36" s="89" t="s">
        <v>7</v>
      </c>
      <c r="C36" s="140"/>
      <c r="D36" s="143" t="s">
        <v>145</v>
      </c>
      <c r="E36" s="178" t="s">
        <v>202</v>
      </c>
      <c r="F36" s="62">
        <v>6.9069330781707109E-3</v>
      </c>
      <c r="H36" s="95">
        <v>6.9069330781707109E-3</v>
      </c>
      <c r="J36" s="95">
        <v>6.9069330781707109E-3</v>
      </c>
      <c r="L36" s="91">
        <v>6.9069330781707109E-3</v>
      </c>
      <c r="M36" s="16"/>
      <c r="N36" s="62">
        <v>6.9069330781707109E-3</v>
      </c>
      <c r="P36" s="91">
        <v>6.9069330781707109E-3</v>
      </c>
      <c r="Q36" s="16"/>
      <c r="R36" s="95">
        <v>6.9069330781707109E-3</v>
      </c>
    </row>
    <row r="37" spans="2:19" x14ac:dyDescent="0.35">
      <c r="B37" s="97" t="s">
        <v>15</v>
      </c>
      <c r="C37" s="324"/>
      <c r="D37" s="136" t="s">
        <v>120</v>
      </c>
      <c r="E37" s="178" t="s">
        <v>201</v>
      </c>
      <c r="F37" s="63">
        <v>2100</v>
      </c>
      <c r="G37" s="169">
        <f>$F37*G20</f>
        <v>220500</v>
      </c>
      <c r="H37" s="31">
        <v>2100</v>
      </c>
      <c r="I37" s="98">
        <f>$F37*I20</f>
        <v>220500</v>
      </c>
      <c r="J37" s="31">
        <v>2100</v>
      </c>
      <c r="K37" s="98">
        <f>$F37*K20</f>
        <v>220500</v>
      </c>
      <c r="L37" s="38">
        <v>2100</v>
      </c>
      <c r="M37" s="87">
        <f>$F37*M20</f>
        <v>172200</v>
      </c>
      <c r="N37" s="63">
        <v>2100</v>
      </c>
      <c r="O37" s="169">
        <f>$F37*O20</f>
        <v>220500</v>
      </c>
      <c r="P37" s="38">
        <v>2100</v>
      </c>
      <c r="Q37" s="87">
        <f>$F37*Q20</f>
        <v>172200</v>
      </c>
      <c r="R37" s="31">
        <v>2100</v>
      </c>
      <c r="S37" s="98">
        <f>$R37*S20</f>
        <v>134400</v>
      </c>
    </row>
    <row r="38" spans="2:19" x14ac:dyDescent="0.35">
      <c r="B38" s="97" t="s">
        <v>16</v>
      </c>
      <c r="C38" s="324"/>
      <c r="D38" s="136" t="s">
        <v>121</v>
      </c>
      <c r="E38" s="178" t="s">
        <v>201</v>
      </c>
      <c r="F38" s="63">
        <v>2200</v>
      </c>
      <c r="G38" s="169">
        <f>$F38*G20</f>
        <v>231000</v>
      </c>
      <c r="H38" s="31">
        <v>2200</v>
      </c>
      <c r="I38" s="98">
        <f>$F38*I20</f>
        <v>231000</v>
      </c>
      <c r="J38" s="31">
        <v>2200</v>
      </c>
      <c r="K38" s="98">
        <f>$F38*K20</f>
        <v>231000</v>
      </c>
      <c r="L38" s="38">
        <v>2200</v>
      </c>
      <c r="M38" s="87">
        <f>$F38*M20</f>
        <v>180400</v>
      </c>
      <c r="N38" s="63">
        <v>2200</v>
      </c>
      <c r="O38" s="169">
        <f>$F38*O20</f>
        <v>231000</v>
      </c>
      <c r="P38" s="38">
        <v>2200</v>
      </c>
      <c r="Q38" s="87">
        <f>$F38*Q20</f>
        <v>180400</v>
      </c>
      <c r="R38" s="31">
        <v>2200</v>
      </c>
      <c r="S38" s="98">
        <f>$R38*S20</f>
        <v>140800</v>
      </c>
    </row>
    <row r="39" spans="2:19" x14ac:dyDescent="0.35">
      <c r="B39" s="83" t="s">
        <v>8</v>
      </c>
      <c r="C39" s="142"/>
      <c r="D39" s="144" t="s">
        <v>122</v>
      </c>
      <c r="E39" s="178"/>
      <c r="F39" s="62">
        <v>1.1085394058457146E-2</v>
      </c>
      <c r="H39" s="96">
        <v>1.1085394058457146E-2</v>
      </c>
      <c r="J39" s="96">
        <v>1.1085394058457146E-2</v>
      </c>
      <c r="L39" s="85">
        <v>1.1085394058457146E-2</v>
      </c>
      <c r="M39" s="16"/>
      <c r="N39" s="62">
        <v>1.1085394058457146E-2</v>
      </c>
      <c r="P39" s="85">
        <v>1.1085394058457146E-2</v>
      </c>
      <c r="Q39" s="16"/>
      <c r="R39" s="96">
        <v>1.1085394058457146E-2</v>
      </c>
    </row>
    <row r="40" spans="2:19" x14ac:dyDescent="0.35">
      <c r="B40" s="20" t="s">
        <v>97</v>
      </c>
      <c r="C40" s="139"/>
      <c r="D40" s="139" t="s">
        <v>123</v>
      </c>
      <c r="E40" s="178" t="s">
        <v>201</v>
      </c>
      <c r="F40" s="63">
        <v>6</v>
      </c>
      <c r="G40" s="9">
        <f>$F40*G13</f>
        <v>384270</v>
      </c>
      <c r="H40" s="63">
        <v>6</v>
      </c>
      <c r="I40" s="9">
        <f>$F40*I13</f>
        <v>375792</v>
      </c>
      <c r="J40" s="63">
        <v>6</v>
      </c>
      <c r="K40" s="9">
        <f>$F40*K13</f>
        <v>375792</v>
      </c>
      <c r="L40" s="46">
        <v>6</v>
      </c>
      <c r="M40" s="16">
        <f>$L40*M13</f>
        <v>283500</v>
      </c>
      <c r="N40" s="63">
        <v>6</v>
      </c>
      <c r="O40" s="9">
        <f>$F40*O13</f>
        <v>375792</v>
      </c>
      <c r="P40" s="46">
        <v>6</v>
      </c>
      <c r="Q40" s="16">
        <f>$L40*Q13</f>
        <v>283500</v>
      </c>
      <c r="R40" s="63">
        <v>6</v>
      </c>
      <c r="S40" s="9">
        <f>$F40*S13</f>
        <v>283500</v>
      </c>
    </row>
    <row r="41" spans="2:19" x14ac:dyDescent="0.35">
      <c r="B41" s="20" t="s">
        <v>98</v>
      </c>
      <c r="C41" s="139"/>
      <c r="D41" s="145" t="s">
        <v>122</v>
      </c>
      <c r="E41" s="178" t="s">
        <v>202</v>
      </c>
      <c r="F41" s="62">
        <v>0</v>
      </c>
      <c r="H41" s="62">
        <v>0</v>
      </c>
      <c r="J41" s="62">
        <v>0</v>
      </c>
      <c r="L41" s="46">
        <v>0</v>
      </c>
      <c r="M41" s="16"/>
      <c r="N41" s="62">
        <v>0</v>
      </c>
      <c r="P41" s="46">
        <v>0</v>
      </c>
      <c r="Q41" s="16"/>
      <c r="R41" s="62">
        <v>0</v>
      </c>
    </row>
    <row r="42" spans="2:19" x14ac:dyDescent="0.35">
      <c r="B42" s="20" t="s">
        <v>9</v>
      </c>
      <c r="C42" s="139"/>
      <c r="D42" s="145" t="s">
        <v>122</v>
      </c>
      <c r="E42" s="178"/>
      <c r="F42" s="62">
        <v>0</v>
      </c>
      <c r="H42" s="62">
        <v>0</v>
      </c>
      <c r="J42" s="62">
        <v>0</v>
      </c>
      <c r="L42" s="46">
        <v>0</v>
      </c>
      <c r="M42" s="16"/>
      <c r="N42" s="62">
        <v>0</v>
      </c>
      <c r="P42" s="46">
        <v>0</v>
      </c>
      <c r="Q42" s="16"/>
      <c r="R42" s="62">
        <v>0</v>
      </c>
    </row>
    <row r="43" spans="2:19" x14ac:dyDescent="0.35">
      <c r="B43" s="20" t="s">
        <v>10</v>
      </c>
      <c r="C43" s="139"/>
      <c r="D43" s="145" t="s">
        <v>122</v>
      </c>
      <c r="E43" s="178"/>
      <c r="F43" s="62">
        <v>2.9863427985380358E-4</v>
      </c>
      <c r="H43" s="62">
        <v>2.9863427985380358E-4</v>
      </c>
      <c r="J43" s="62">
        <v>2.9863427985380358E-4</v>
      </c>
      <c r="L43" s="46">
        <v>2.9863427985380358E-4</v>
      </c>
      <c r="M43" s="16"/>
      <c r="N43" s="62">
        <v>2.9863427985380358E-4</v>
      </c>
      <c r="P43" s="46">
        <v>2.9863427985380358E-4</v>
      </c>
      <c r="Q43" s="16"/>
      <c r="R43" s="62">
        <v>2.9863427985380358E-4</v>
      </c>
    </row>
    <row r="44" spans="2:19" x14ac:dyDescent="0.35">
      <c r="B44" s="20" t="s">
        <v>11</v>
      </c>
      <c r="C44" s="139"/>
      <c r="D44" s="145" t="s">
        <v>122</v>
      </c>
      <c r="E44" s="178" t="s">
        <v>114</v>
      </c>
      <c r="F44" s="62">
        <v>0</v>
      </c>
      <c r="H44" s="62">
        <v>0</v>
      </c>
      <c r="J44" s="62">
        <v>0</v>
      </c>
      <c r="L44" s="46">
        <v>0</v>
      </c>
      <c r="M44" s="16"/>
      <c r="N44" s="62">
        <v>0</v>
      </c>
      <c r="P44" s="46">
        <v>0</v>
      </c>
      <c r="Q44" s="16"/>
      <c r="R44" s="62">
        <v>0</v>
      </c>
    </row>
    <row r="45" spans="2:19" x14ac:dyDescent="0.35">
      <c r="B45" s="20" t="s">
        <v>12</v>
      </c>
      <c r="C45" s="139"/>
      <c r="D45" s="139" t="s">
        <v>125</v>
      </c>
      <c r="E45" s="178" t="s">
        <v>202</v>
      </c>
      <c r="F45" s="63">
        <v>300000</v>
      </c>
      <c r="G45" s="9">
        <f>F45</f>
        <v>300000</v>
      </c>
      <c r="H45" s="63">
        <v>300000</v>
      </c>
      <c r="I45" s="9">
        <f>H45</f>
        <v>300000</v>
      </c>
      <c r="J45" s="63">
        <v>300000</v>
      </c>
      <c r="K45" s="9">
        <f>I45</f>
        <v>300000</v>
      </c>
      <c r="L45" s="46">
        <v>300000</v>
      </c>
      <c r="M45" s="16">
        <f>K45</f>
        <v>300000</v>
      </c>
      <c r="N45" s="63">
        <v>300000</v>
      </c>
      <c r="O45" s="9">
        <f>N45</f>
        <v>300000</v>
      </c>
      <c r="P45" s="46">
        <v>300000</v>
      </c>
      <c r="Q45" s="16">
        <f>O45</f>
        <v>300000</v>
      </c>
      <c r="R45" s="63">
        <v>300000</v>
      </c>
      <c r="S45" s="9">
        <f>M45</f>
        <v>300000</v>
      </c>
    </row>
    <row r="46" spans="2:19" x14ac:dyDescent="0.35">
      <c r="B46" s="20" t="s">
        <v>13</v>
      </c>
      <c r="C46" s="139"/>
      <c r="D46" s="139" t="s">
        <v>126</v>
      </c>
      <c r="E46" s="178" t="s">
        <v>202</v>
      </c>
      <c r="F46" s="63">
        <v>300000</v>
      </c>
      <c r="G46" s="9">
        <f>F46</f>
        <v>300000</v>
      </c>
      <c r="H46" s="63">
        <v>300000</v>
      </c>
      <c r="I46" s="9">
        <f>G46</f>
        <v>300000</v>
      </c>
      <c r="J46" s="63">
        <v>300000</v>
      </c>
      <c r="K46" s="9">
        <f>I46</f>
        <v>300000</v>
      </c>
      <c r="L46" s="46">
        <v>300000</v>
      </c>
      <c r="M46" s="16">
        <f>K46</f>
        <v>300000</v>
      </c>
      <c r="N46" s="63">
        <v>300000</v>
      </c>
      <c r="O46" s="9">
        <f>N46</f>
        <v>300000</v>
      </c>
      <c r="P46" s="46">
        <v>300000</v>
      </c>
      <c r="Q46" s="16">
        <f>O46</f>
        <v>300000</v>
      </c>
      <c r="R46" s="63">
        <v>300000</v>
      </c>
      <c r="S46" s="9">
        <f>M46</f>
        <v>300000</v>
      </c>
    </row>
    <row r="47" spans="2:19" x14ac:dyDescent="0.35">
      <c r="B47" s="22" t="s">
        <v>87</v>
      </c>
      <c r="C47" s="146"/>
      <c r="D47" s="146" t="s">
        <v>118</v>
      </c>
      <c r="E47" s="182"/>
      <c r="F47" s="64"/>
      <c r="G47" s="11">
        <f>SUM(G48:G49)</f>
        <v>60000</v>
      </c>
      <c r="H47" s="64"/>
      <c r="I47" s="11">
        <f>SUM(I48:I49)</f>
        <v>60000</v>
      </c>
      <c r="J47" s="64"/>
      <c r="K47" s="11">
        <f>SUM(K48:K49)</f>
        <v>60000</v>
      </c>
      <c r="L47" s="49"/>
      <c r="M47" s="16">
        <f>SUM(M48:M49)</f>
        <v>60000</v>
      </c>
      <c r="N47" s="64"/>
      <c r="O47" s="11">
        <f>SUM(O48:O49)</f>
        <v>60000</v>
      </c>
      <c r="P47" s="49"/>
      <c r="Q47" s="16">
        <f>SUM(Q48:Q49)</f>
        <v>60000</v>
      </c>
      <c r="R47" s="64"/>
      <c r="S47" s="11">
        <f>SUM(S48:S49)</f>
        <v>60000</v>
      </c>
    </row>
    <row r="48" spans="2:19" x14ac:dyDescent="0.35">
      <c r="B48" s="20" t="s">
        <v>88</v>
      </c>
      <c r="C48" s="139"/>
      <c r="D48" s="139" t="s">
        <v>127</v>
      </c>
      <c r="E48" s="178" t="s">
        <v>202</v>
      </c>
      <c r="F48" s="63">
        <v>50000</v>
      </c>
      <c r="G48" s="9">
        <f>F48</f>
        <v>50000</v>
      </c>
      <c r="H48" s="63">
        <v>50000</v>
      </c>
      <c r="I48" s="9">
        <f>G48</f>
        <v>50000</v>
      </c>
      <c r="J48" s="63">
        <v>50000</v>
      </c>
      <c r="K48" s="9">
        <f>I48</f>
        <v>50000</v>
      </c>
      <c r="L48" s="46">
        <v>50000</v>
      </c>
      <c r="M48" s="16">
        <f>K48</f>
        <v>50000</v>
      </c>
      <c r="N48" s="63">
        <v>50000</v>
      </c>
      <c r="O48" s="9">
        <f>N48</f>
        <v>50000</v>
      </c>
      <c r="P48" s="46">
        <v>50000</v>
      </c>
      <c r="Q48" s="16">
        <f>O48</f>
        <v>50000</v>
      </c>
      <c r="R48" s="63">
        <v>50000</v>
      </c>
      <c r="S48" s="9">
        <f>M48</f>
        <v>50000</v>
      </c>
    </row>
    <row r="49" spans="2:19" x14ac:dyDescent="0.35">
      <c r="B49" s="20" t="s">
        <v>3</v>
      </c>
      <c r="C49" s="139"/>
      <c r="D49" s="139" t="s">
        <v>128</v>
      </c>
      <c r="E49" s="178" t="s">
        <v>202</v>
      </c>
      <c r="F49" s="63">
        <v>10000</v>
      </c>
      <c r="G49" s="9">
        <f>F49</f>
        <v>10000</v>
      </c>
      <c r="H49" s="63">
        <v>10000</v>
      </c>
      <c r="I49" s="9">
        <f>G49</f>
        <v>10000</v>
      </c>
      <c r="J49" s="63">
        <v>10000</v>
      </c>
      <c r="K49" s="9">
        <f>I49</f>
        <v>10000</v>
      </c>
      <c r="L49" s="46">
        <v>10000</v>
      </c>
      <c r="M49" s="16">
        <f>K49</f>
        <v>10000</v>
      </c>
      <c r="N49" s="63">
        <v>10000</v>
      </c>
      <c r="O49" s="9">
        <f>N49</f>
        <v>10000</v>
      </c>
      <c r="P49" s="46">
        <v>10000</v>
      </c>
      <c r="Q49" s="16">
        <f>O49</f>
        <v>10000</v>
      </c>
      <c r="R49" s="63">
        <v>10000</v>
      </c>
      <c r="S49" s="9">
        <f>M49</f>
        <v>10000</v>
      </c>
    </row>
    <row r="50" spans="2:19" x14ac:dyDescent="0.35">
      <c r="B50" s="23" t="s">
        <v>90</v>
      </c>
      <c r="C50" s="154"/>
      <c r="D50" s="146" t="s">
        <v>118</v>
      </c>
      <c r="E50" s="183"/>
      <c r="F50" s="65"/>
      <c r="G50" s="16">
        <f>SUM(G51:G53)</f>
        <v>2517888.1000000006</v>
      </c>
      <c r="H50" s="65"/>
      <c r="I50" s="16">
        <f>SUM(I51:I53)</f>
        <v>2465352.7600000002</v>
      </c>
      <c r="J50" s="225"/>
      <c r="K50" s="16">
        <f>SUM(K51:K53)</f>
        <v>2440699.2324000001</v>
      </c>
      <c r="L50" s="50"/>
      <c r="M50" s="16">
        <f>SUM(M51:M53)</f>
        <v>1389193</v>
      </c>
      <c r="N50" s="65"/>
      <c r="O50" s="16">
        <f>SUM(O51:O53)</f>
        <v>2465352.7600000002</v>
      </c>
      <c r="P50" s="50"/>
      <c r="Q50" s="16">
        <f>SUM(Q51:Q53)</f>
        <v>1375301.07</v>
      </c>
      <c r="R50" s="132" t="s">
        <v>210</v>
      </c>
      <c r="S50" s="16">
        <f>SUM(S51:S53)</f>
        <v>1747681</v>
      </c>
    </row>
    <row r="51" spans="2:19" x14ac:dyDescent="0.35">
      <c r="B51" s="24" t="s">
        <v>14</v>
      </c>
      <c r="C51" s="134"/>
      <c r="D51" s="134" t="s">
        <v>129</v>
      </c>
      <c r="E51" s="184" t="s">
        <v>201</v>
      </c>
      <c r="F51" s="66">
        <v>7.0000000000000007E-2</v>
      </c>
      <c r="G51" s="15">
        <f>G34*$F51</f>
        <v>1355785.9000000001</v>
      </c>
      <c r="H51" s="66">
        <v>7.0000000000000007E-2</v>
      </c>
      <c r="I51" s="15">
        <f>I34*$F51</f>
        <v>1327497.6400000001</v>
      </c>
      <c r="J51" s="66">
        <v>7.0000000000000007E-2</v>
      </c>
      <c r="K51" s="15">
        <f>K34*$F51</f>
        <v>1314222.6636000001</v>
      </c>
      <c r="L51" s="211">
        <v>7.0000000000000007E-2</v>
      </c>
      <c r="M51" s="16">
        <f>M34*$L51</f>
        <v>748027.00000000012</v>
      </c>
      <c r="N51" s="66">
        <v>7.0000000000000007E-2</v>
      </c>
      <c r="O51" s="15">
        <f>O34*$F51</f>
        <v>1327497.6400000001</v>
      </c>
      <c r="P51" s="211">
        <v>7.0000000000000007E-2</v>
      </c>
      <c r="Q51" s="16">
        <f>Q34*$L51</f>
        <v>740546.7300000001</v>
      </c>
      <c r="R51" s="66">
        <v>7.0000000000000007E-2</v>
      </c>
      <c r="S51" s="15">
        <f>S34*$F51</f>
        <v>941059.00000000012</v>
      </c>
    </row>
    <row r="52" spans="2:19" x14ac:dyDescent="0.35">
      <c r="B52" s="24" t="s">
        <v>19</v>
      </c>
      <c r="C52" s="134"/>
      <c r="D52" s="134" t="s">
        <v>136</v>
      </c>
      <c r="E52" s="184" t="s">
        <v>201</v>
      </c>
      <c r="F52" s="66">
        <v>0.05</v>
      </c>
      <c r="G52" s="15">
        <f>G34*$F52</f>
        <v>968418.5</v>
      </c>
      <c r="H52" s="66">
        <v>0.05</v>
      </c>
      <c r="I52" s="15">
        <f>I34*$F52</f>
        <v>948212.60000000009</v>
      </c>
      <c r="J52" s="66">
        <v>0.05</v>
      </c>
      <c r="K52" s="15">
        <f>K34*$F52</f>
        <v>938730.47400000005</v>
      </c>
      <c r="L52" s="211">
        <v>0.05</v>
      </c>
      <c r="M52" s="16">
        <f>M34*$F52</f>
        <v>534305</v>
      </c>
      <c r="N52" s="66">
        <v>0.05</v>
      </c>
      <c r="O52" s="15">
        <f>O34*$F52</f>
        <v>948212.60000000009</v>
      </c>
      <c r="P52" s="211">
        <v>0.05</v>
      </c>
      <c r="Q52" s="16">
        <f>Q34*$F52</f>
        <v>528961.95000000007</v>
      </c>
      <c r="R52" s="66">
        <v>0.05</v>
      </c>
      <c r="S52" s="15">
        <f>S34*$F52</f>
        <v>672185</v>
      </c>
    </row>
    <row r="53" spans="2:19" x14ac:dyDescent="0.35">
      <c r="B53" s="99" t="s">
        <v>89</v>
      </c>
      <c r="C53" s="147"/>
      <c r="D53" s="147" t="s">
        <v>137</v>
      </c>
      <c r="E53" s="184" t="s">
        <v>201</v>
      </c>
      <c r="F53" s="66">
        <v>0.01</v>
      </c>
      <c r="G53" s="14">
        <f>G34*$F53</f>
        <v>193683.7</v>
      </c>
      <c r="H53" s="66">
        <v>0.01</v>
      </c>
      <c r="I53" s="14">
        <f>I34*$F53</f>
        <v>189642.52</v>
      </c>
      <c r="J53" s="66">
        <v>0.01</v>
      </c>
      <c r="K53" s="14">
        <f>K34*$F53</f>
        <v>187746.09480000002</v>
      </c>
      <c r="L53" s="212">
        <v>0.01</v>
      </c>
      <c r="M53" s="16">
        <f>M34*$F53</f>
        <v>106861</v>
      </c>
      <c r="N53" s="66">
        <v>0.01</v>
      </c>
      <c r="O53" s="14">
        <f>O34*$F53</f>
        <v>189642.52</v>
      </c>
      <c r="P53" s="212">
        <v>0.01</v>
      </c>
      <c r="Q53" s="16">
        <f>Q34*$F53</f>
        <v>105792.39</v>
      </c>
      <c r="R53" s="66">
        <v>0.01</v>
      </c>
      <c r="S53" s="14">
        <f>S34*$F53</f>
        <v>134437</v>
      </c>
    </row>
    <row r="54" spans="2:19" x14ac:dyDescent="0.35">
      <c r="B54" s="102" t="s">
        <v>17</v>
      </c>
      <c r="C54" s="325"/>
      <c r="D54" s="148" t="s">
        <v>133</v>
      </c>
      <c r="E54" s="183"/>
      <c r="F54" s="189"/>
      <c r="G54" s="190">
        <f>SUM(G55:G56)</f>
        <v>2268555.4685666668</v>
      </c>
      <c r="H54" s="65"/>
      <c r="I54" s="190">
        <f>SUM(I55:I56)</f>
        <v>2222722.7129066666</v>
      </c>
      <c r="J54" s="65" t="s">
        <v>211</v>
      </c>
      <c r="K54" s="190">
        <f>SUM(K55:K56)</f>
        <v>0</v>
      </c>
      <c r="L54" s="28"/>
      <c r="M54" s="190"/>
      <c r="N54" s="189"/>
      <c r="O54" s="190">
        <f>SUM(O55:O56)</f>
        <v>2222722.7129066666</v>
      </c>
      <c r="P54" s="28"/>
      <c r="Q54" s="190"/>
      <c r="R54" s="65" t="s">
        <v>211</v>
      </c>
      <c r="S54" s="190">
        <f>SUM(S55:S56)</f>
        <v>0</v>
      </c>
    </row>
    <row r="55" spans="2:19" x14ac:dyDescent="0.35">
      <c r="B55" s="101" t="s">
        <v>91</v>
      </c>
      <c r="C55" s="149"/>
      <c r="D55" s="149" t="s">
        <v>131</v>
      </c>
      <c r="E55" s="184" t="s">
        <v>201</v>
      </c>
      <c r="F55" s="67">
        <v>0.10100000000000001</v>
      </c>
      <c r="G55" s="14">
        <f>$F55*SUM(G32:G34)</f>
        <v>1976745.8241666667</v>
      </c>
      <c r="H55" s="217">
        <v>0.10100000000000001</v>
      </c>
      <c r="I55" s="14">
        <f>$H55*SUM(I32:I34)</f>
        <v>1935810.9786666667</v>
      </c>
      <c r="J55" s="191">
        <v>0</v>
      </c>
      <c r="K55" s="14">
        <f>$J55*SUM(K32:K34)</f>
        <v>0</v>
      </c>
      <c r="L55" s="213">
        <v>0.10100000000000001</v>
      </c>
      <c r="M55" s="16">
        <f>$F55*SUM(M32:M34)</f>
        <v>1086593.3500000001</v>
      </c>
      <c r="N55" s="67">
        <v>0.10100000000000001</v>
      </c>
      <c r="O55" s="14">
        <f>$F55*SUM(O32:O34)</f>
        <v>1935810.9786666667</v>
      </c>
      <c r="P55" s="234">
        <v>0</v>
      </c>
      <c r="Q55" s="16">
        <f>$N55*SUM(Q32:Q34)</f>
        <v>1075800.389</v>
      </c>
      <c r="R55" s="191">
        <v>0</v>
      </c>
      <c r="S55" s="14">
        <f>$J55*SUM(S32:S34)</f>
        <v>0</v>
      </c>
    </row>
    <row r="56" spans="2:19" x14ac:dyDescent="0.35">
      <c r="B56" s="99" t="s">
        <v>92</v>
      </c>
      <c r="C56" s="147"/>
      <c r="D56" s="147" t="s">
        <v>138</v>
      </c>
      <c r="E56" s="184" t="s">
        <v>201</v>
      </c>
      <c r="F56" s="67">
        <v>0.10100000000000001</v>
      </c>
      <c r="G56" s="15">
        <f>$F56*SUM(G61:G62,G51:G52,G47)</f>
        <v>291809.64440000005</v>
      </c>
      <c r="H56" s="218">
        <v>0.10100000000000001</v>
      </c>
      <c r="I56" s="15">
        <f>$H56*SUM(I61:I62,I51:I52,I47)</f>
        <v>286911.73424000002</v>
      </c>
      <c r="J56" s="192">
        <v>0</v>
      </c>
      <c r="K56" s="15">
        <f>$J56*SUM(K61:K62,K51:K52,K47)</f>
        <v>0</v>
      </c>
      <c r="L56" s="212">
        <v>0.10100000000000001</v>
      </c>
      <c r="M56" s="16">
        <f>$F56*SUM(M61:M62,M51:M52,M47)</f>
        <v>186580.53200000001</v>
      </c>
      <c r="N56" s="67">
        <v>0.10100000000000001</v>
      </c>
      <c r="O56" s="15">
        <f>$F56*SUM(O61:O62,O51:O52,O47)</f>
        <v>286911.73424000002</v>
      </c>
      <c r="P56" s="235">
        <v>0</v>
      </c>
      <c r="Q56" s="16">
        <f>$N56*SUM(Q61:Q62,Q51:Q52,Q47)</f>
        <v>185285.37668000002</v>
      </c>
      <c r="R56" s="192">
        <v>0</v>
      </c>
      <c r="S56" s="15">
        <f>$J56*SUM(S61:S62,S51:S52,S47)</f>
        <v>0</v>
      </c>
    </row>
    <row r="57" spans="2:19" x14ac:dyDescent="0.35">
      <c r="B57" s="129" t="s">
        <v>18</v>
      </c>
      <c r="C57" s="326"/>
      <c r="D57" s="150" t="s">
        <v>132</v>
      </c>
      <c r="E57" s="184" t="s">
        <v>202</v>
      </c>
      <c r="F57" s="67">
        <v>8.0000000000000002E-3</v>
      </c>
      <c r="G57" s="171">
        <f>G34*$F57</f>
        <v>154946.96</v>
      </c>
      <c r="H57" s="193">
        <v>0</v>
      </c>
      <c r="I57" s="130">
        <f>I34*$H57</f>
        <v>0</v>
      </c>
      <c r="J57" s="219">
        <v>8.0000000000000002E-3</v>
      </c>
      <c r="K57" s="130">
        <f>K34*$J57</f>
        <v>150196.87583999999</v>
      </c>
      <c r="L57" s="236">
        <v>8.0000000000000002E-3</v>
      </c>
      <c r="M57" s="126">
        <f>M34*$L57</f>
        <v>85488.8</v>
      </c>
      <c r="N57" s="67">
        <v>8.0000000000000002E-3</v>
      </c>
      <c r="O57" s="171">
        <f>O34*$F57</f>
        <v>151714.016</v>
      </c>
      <c r="P57" s="237">
        <v>0</v>
      </c>
      <c r="Q57" s="87">
        <f>Q34*$N57</f>
        <v>84633.911999999997</v>
      </c>
      <c r="R57" s="193">
        <v>0</v>
      </c>
      <c r="S57" s="130">
        <f>S34*$J57</f>
        <v>107549.6</v>
      </c>
    </row>
    <row r="58" spans="2:19" x14ac:dyDescent="0.35">
      <c r="B58" s="127" t="s">
        <v>21</v>
      </c>
      <c r="C58" s="151"/>
      <c r="D58" s="151" t="s">
        <v>133</v>
      </c>
      <c r="E58" s="183"/>
      <c r="F58" s="250">
        <v>2.5383913787573303E-3</v>
      </c>
      <c r="G58" s="11">
        <f>SUM(G59:G62)</f>
        <v>660000</v>
      </c>
      <c r="H58" s="251">
        <v>2.5383913787573303E-3</v>
      </c>
      <c r="I58" s="11">
        <f>SUM(I59:I62)</f>
        <v>660000</v>
      </c>
      <c r="J58" s="251">
        <v>2.5383913787573303E-3</v>
      </c>
      <c r="K58" s="11">
        <f>SUM(K59:K62)</f>
        <v>660000</v>
      </c>
      <c r="L58" s="251">
        <v>2.5383913787573303E-3</v>
      </c>
      <c r="M58" s="16">
        <f>SUM(M59:M62)</f>
        <v>660000</v>
      </c>
      <c r="N58" s="250">
        <v>2.5383913787573303E-3</v>
      </c>
      <c r="O58" s="11">
        <f>SUM(O59:O62)</f>
        <v>660000</v>
      </c>
      <c r="P58" s="251">
        <v>2.5383913787573303E-3</v>
      </c>
      <c r="Q58" s="16">
        <f>SUM(Q59:Q62)</f>
        <v>660000</v>
      </c>
      <c r="R58" s="128">
        <v>2.5383913787573303E-3</v>
      </c>
      <c r="S58" s="11">
        <f>SUM(S59:S62)</f>
        <v>730000</v>
      </c>
    </row>
    <row r="59" spans="2:19" x14ac:dyDescent="0.35">
      <c r="B59" s="24" t="s">
        <v>22</v>
      </c>
      <c r="C59" s="134"/>
      <c r="D59" s="134" t="s">
        <v>139</v>
      </c>
      <c r="E59" s="184" t="s">
        <v>114</v>
      </c>
      <c r="F59" s="68">
        <v>80000</v>
      </c>
      <c r="G59" s="9">
        <f>F59</f>
        <v>80000</v>
      </c>
      <c r="H59" s="68">
        <v>80000</v>
      </c>
      <c r="I59" s="9">
        <f>G59</f>
        <v>80000</v>
      </c>
      <c r="J59" s="68">
        <v>80000</v>
      </c>
      <c r="K59" s="9">
        <f>I59</f>
        <v>80000</v>
      </c>
      <c r="L59" s="51">
        <v>80000</v>
      </c>
      <c r="M59" s="16">
        <f>K59</f>
        <v>80000</v>
      </c>
      <c r="N59" s="68">
        <v>80000</v>
      </c>
      <c r="O59" s="9">
        <f>N59</f>
        <v>80000</v>
      </c>
      <c r="P59" s="51">
        <v>80000</v>
      </c>
      <c r="Q59" s="16">
        <f>O59</f>
        <v>80000</v>
      </c>
      <c r="R59" s="214">
        <v>150000</v>
      </c>
      <c r="S59" s="9">
        <f>R59</f>
        <v>150000</v>
      </c>
    </row>
    <row r="60" spans="2:19" x14ac:dyDescent="0.35">
      <c r="B60" s="24" t="s">
        <v>23</v>
      </c>
      <c r="C60" s="134"/>
      <c r="D60" s="152" t="s">
        <v>141</v>
      </c>
      <c r="E60" s="184" t="s">
        <v>114</v>
      </c>
      <c r="F60" s="68">
        <v>75000</v>
      </c>
      <c r="G60" s="9">
        <f t="shared" ref="G60:G62" si="3">F60</f>
        <v>75000</v>
      </c>
      <c r="H60" s="68">
        <v>75000</v>
      </c>
      <c r="I60" s="9">
        <f>G60</f>
        <v>75000</v>
      </c>
      <c r="J60" s="68">
        <v>75000</v>
      </c>
      <c r="K60" s="9">
        <f>I60</f>
        <v>75000</v>
      </c>
      <c r="L60" s="51">
        <v>75000</v>
      </c>
      <c r="M60" s="16">
        <f>K60</f>
        <v>75000</v>
      </c>
      <c r="N60" s="68">
        <v>75000</v>
      </c>
      <c r="O60" s="9">
        <f t="shared" ref="O60:O62" si="4">N60</f>
        <v>75000</v>
      </c>
      <c r="P60" s="51">
        <v>75000</v>
      </c>
      <c r="Q60" s="16">
        <f>O60</f>
        <v>75000</v>
      </c>
      <c r="R60" s="68">
        <v>75000</v>
      </c>
      <c r="S60" s="9">
        <f>R60</f>
        <v>75000</v>
      </c>
    </row>
    <row r="61" spans="2:19" x14ac:dyDescent="0.35">
      <c r="B61" s="24" t="s">
        <v>24</v>
      </c>
      <c r="C61" s="134"/>
      <c r="D61" s="152" t="s">
        <v>140</v>
      </c>
      <c r="E61" s="184" t="s">
        <v>202</v>
      </c>
      <c r="F61" s="68">
        <v>300000</v>
      </c>
      <c r="G61" s="9">
        <f t="shared" si="3"/>
        <v>300000</v>
      </c>
      <c r="H61" s="68">
        <v>300000</v>
      </c>
      <c r="I61" s="9">
        <f>G61</f>
        <v>300000</v>
      </c>
      <c r="J61" s="68">
        <v>300000</v>
      </c>
      <c r="K61" s="9">
        <f>I61</f>
        <v>300000</v>
      </c>
      <c r="L61" s="51">
        <v>300000</v>
      </c>
      <c r="M61" s="16">
        <f>K61</f>
        <v>300000</v>
      </c>
      <c r="N61" s="68">
        <v>300000</v>
      </c>
      <c r="O61" s="9">
        <f t="shared" si="4"/>
        <v>300000</v>
      </c>
      <c r="P61" s="51">
        <v>300000</v>
      </c>
      <c r="Q61" s="16">
        <f>O61</f>
        <v>300000</v>
      </c>
      <c r="R61" s="68">
        <v>300000</v>
      </c>
      <c r="S61" s="9">
        <f>R61</f>
        <v>300000</v>
      </c>
    </row>
    <row r="62" spans="2:19" x14ac:dyDescent="0.35">
      <c r="B62" s="24" t="s">
        <v>25</v>
      </c>
      <c r="C62" s="134"/>
      <c r="D62" s="152" t="s">
        <v>195</v>
      </c>
      <c r="E62" s="184" t="s">
        <v>202</v>
      </c>
      <c r="F62" s="68">
        <v>205000</v>
      </c>
      <c r="G62" s="9">
        <f t="shared" si="3"/>
        <v>205000</v>
      </c>
      <c r="H62" s="68">
        <v>205000</v>
      </c>
      <c r="I62" s="9">
        <f>G62</f>
        <v>205000</v>
      </c>
      <c r="J62" s="68">
        <v>205000</v>
      </c>
      <c r="K62" s="9">
        <f>I62</f>
        <v>205000</v>
      </c>
      <c r="L62" s="51">
        <v>205000</v>
      </c>
      <c r="M62" s="16">
        <f>K62</f>
        <v>205000</v>
      </c>
      <c r="N62" s="68">
        <v>205000</v>
      </c>
      <c r="O62" s="9">
        <f t="shared" si="4"/>
        <v>205000</v>
      </c>
      <c r="P62" s="51">
        <v>205000</v>
      </c>
      <c r="Q62" s="16">
        <f>O62</f>
        <v>205000</v>
      </c>
      <c r="R62" s="68">
        <v>205000</v>
      </c>
      <c r="S62" s="9">
        <f>R62</f>
        <v>205000</v>
      </c>
    </row>
    <row r="63" spans="2:19" ht="15.5" x14ac:dyDescent="0.35">
      <c r="B63" s="18" t="s">
        <v>26</v>
      </c>
      <c r="C63" s="153"/>
      <c r="D63" s="153"/>
      <c r="E63" s="177"/>
      <c r="F63" s="55">
        <v>0</v>
      </c>
      <c r="H63" s="55">
        <v>0</v>
      </c>
      <c r="J63" s="55">
        <v>0</v>
      </c>
      <c r="L63" s="45">
        <v>0</v>
      </c>
      <c r="M63" s="16"/>
      <c r="N63" s="55">
        <v>0</v>
      </c>
      <c r="P63" s="45">
        <v>0</v>
      </c>
      <c r="Q63" s="16"/>
      <c r="R63" s="55">
        <v>0</v>
      </c>
    </row>
    <row r="64" spans="2:19" x14ac:dyDescent="0.35">
      <c r="B64" s="3" t="s">
        <v>27</v>
      </c>
      <c r="C64" s="319"/>
      <c r="D64" s="152" t="s">
        <v>122</v>
      </c>
      <c r="E64" s="184" t="s">
        <v>114</v>
      </c>
      <c r="F64" s="69">
        <v>3500</v>
      </c>
      <c r="H64" s="69">
        <v>3500</v>
      </c>
      <c r="J64" s="69">
        <v>3500</v>
      </c>
      <c r="L64" s="51">
        <v>3500</v>
      </c>
      <c r="M64" s="16"/>
      <c r="N64" s="69">
        <v>3500</v>
      </c>
      <c r="P64" s="51">
        <v>3500</v>
      </c>
      <c r="Q64" s="16"/>
      <c r="R64" s="69">
        <v>3500</v>
      </c>
    </row>
    <row r="65" spans="1:19" x14ac:dyDescent="0.35">
      <c r="B65" s="3" t="s">
        <v>28</v>
      </c>
      <c r="C65" s="319"/>
      <c r="D65" s="152" t="s">
        <v>122</v>
      </c>
      <c r="E65" s="184" t="s">
        <v>114</v>
      </c>
      <c r="F65" s="69">
        <v>7000</v>
      </c>
      <c r="H65" s="69">
        <v>7000</v>
      </c>
      <c r="J65" s="69">
        <v>7000</v>
      </c>
      <c r="L65" s="51">
        <v>7000</v>
      </c>
      <c r="M65" s="16"/>
      <c r="N65" s="69">
        <v>7000</v>
      </c>
      <c r="P65" s="51">
        <v>7000</v>
      </c>
      <c r="Q65" s="16"/>
      <c r="R65" s="69">
        <v>7000</v>
      </c>
    </row>
    <row r="66" spans="1:19" x14ac:dyDescent="0.35">
      <c r="B66" s="23" t="s">
        <v>93</v>
      </c>
      <c r="C66" s="154"/>
      <c r="D66" s="154" t="s">
        <v>133</v>
      </c>
      <c r="E66" s="183"/>
      <c r="F66" s="65">
        <v>0</v>
      </c>
      <c r="G66" s="13">
        <f>SUM(G67:G70)</f>
        <v>1445785.9000000001</v>
      </c>
      <c r="H66" s="65">
        <v>0</v>
      </c>
      <c r="I66" s="13">
        <f>SUM(I67:I70)</f>
        <v>1417497.6400000001</v>
      </c>
      <c r="J66" s="65">
        <v>0</v>
      </c>
      <c r="K66" s="13">
        <f>SUM(K67:K70)</f>
        <v>1404222.6636000001</v>
      </c>
      <c r="L66" s="50">
        <v>0</v>
      </c>
      <c r="M66" s="13">
        <f>SUM(M67:M70)</f>
        <v>838027.00000000012</v>
      </c>
      <c r="N66" s="65">
        <v>0</v>
      </c>
      <c r="O66" s="13">
        <f>SUM(O67:O70)</f>
        <v>1417497.6400000001</v>
      </c>
      <c r="P66" s="50">
        <v>0</v>
      </c>
      <c r="Q66" s="13">
        <f>SUM(Q67:Q70)</f>
        <v>830546.7300000001</v>
      </c>
      <c r="R66" s="65">
        <v>0</v>
      </c>
      <c r="S66" s="13">
        <f>SUM(S67:S70)</f>
        <v>1031059.0000000001</v>
      </c>
    </row>
    <row r="67" spans="1:19" x14ac:dyDescent="0.35">
      <c r="B67" s="20" t="s">
        <v>29</v>
      </c>
      <c r="C67" s="139"/>
      <c r="D67" s="145" t="s">
        <v>160</v>
      </c>
      <c r="E67" s="178" t="s">
        <v>114</v>
      </c>
      <c r="F67" s="63">
        <v>50000</v>
      </c>
      <c r="G67" s="9">
        <f>F67</f>
        <v>50000</v>
      </c>
      <c r="H67" s="63">
        <v>50000</v>
      </c>
      <c r="I67" s="9">
        <f>G67</f>
        <v>50000</v>
      </c>
      <c r="J67" s="63">
        <v>50000</v>
      </c>
      <c r="K67" s="9">
        <f>I67</f>
        <v>50000</v>
      </c>
      <c r="L67" s="46">
        <v>50000</v>
      </c>
      <c r="M67" s="16">
        <f>K67</f>
        <v>50000</v>
      </c>
      <c r="N67" s="63">
        <v>50000</v>
      </c>
      <c r="O67" s="9">
        <f>N67</f>
        <v>50000</v>
      </c>
      <c r="P67" s="46">
        <v>50000</v>
      </c>
      <c r="Q67" s="16">
        <f>O67</f>
        <v>50000</v>
      </c>
      <c r="R67" s="63">
        <v>50000</v>
      </c>
      <c r="S67" s="9">
        <f>M67</f>
        <v>50000</v>
      </c>
    </row>
    <row r="68" spans="1:19" x14ac:dyDescent="0.35">
      <c r="B68" s="20" t="s">
        <v>30</v>
      </c>
      <c r="C68" s="139"/>
      <c r="D68" s="139" t="s">
        <v>142</v>
      </c>
      <c r="E68" s="178" t="s">
        <v>202</v>
      </c>
      <c r="F68" s="62">
        <v>7.0000000000000007E-2</v>
      </c>
      <c r="G68" s="15">
        <f>$F68*G34</f>
        <v>1355785.9000000001</v>
      </c>
      <c r="H68" s="62">
        <v>7.0000000000000007E-2</v>
      </c>
      <c r="I68" s="15">
        <f>$F68*I34</f>
        <v>1327497.6400000001</v>
      </c>
      <c r="J68" s="194">
        <v>7.0000000000000007E-2</v>
      </c>
      <c r="K68" s="15">
        <f>$F68*K34</f>
        <v>1314222.6636000001</v>
      </c>
      <c r="L68" s="216">
        <v>7.0000000000000007E-2</v>
      </c>
      <c r="M68" s="16">
        <f>$L68*M34</f>
        <v>748027.00000000012</v>
      </c>
      <c r="N68" s="62">
        <v>7.0000000000000007E-2</v>
      </c>
      <c r="O68" s="15">
        <f>$F68*O34</f>
        <v>1327497.6400000001</v>
      </c>
      <c r="P68" s="216">
        <v>7.0000000000000007E-2</v>
      </c>
      <c r="Q68" s="238">
        <f>$N68*Q34</f>
        <v>740546.7300000001</v>
      </c>
      <c r="R68" s="194">
        <v>7.0000000000000007E-2</v>
      </c>
      <c r="S68" s="15">
        <f>$F68*S34</f>
        <v>941059.00000000012</v>
      </c>
    </row>
    <row r="69" spans="1:19" x14ac:dyDescent="0.35">
      <c r="B69" s="20" t="s">
        <v>31</v>
      </c>
      <c r="C69" s="139"/>
      <c r="D69" s="145" t="s">
        <v>143</v>
      </c>
      <c r="E69" s="178" t="s">
        <v>114</v>
      </c>
      <c r="F69" s="63">
        <v>8000</v>
      </c>
      <c r="G69" s="9">
        <f>F69</f>
        <v>8000</v>
      </c>
      <c r="H69" s="63">
        <v>8000</v>
      </c>
      <c r="I69" s="9">
        <f t="shared" ref="I69:I75" si="5">G69</f>
        <v>8000</v>
      </c>
      <c r="J69" s="63">
        <v>8000</v>
      </c>
      <c r="K69" s="9">
        <f t="shared" ref="K69:K75" si="6">I69</f>
        <v>8000</v>
      </c>
      <c r="L69" s="46">
        <v>8000</v>
      </c>
      <c r="M69" s="16">
        <f t="shared" ref="M69:M75" si="7">K69</f>
        <v>8000</v>
      </c>
      <c r="N69" s="63">
        <v>8000</v>
      </c>
      <c r="O69" s="9">
        <f>N69</f>
        <v>8000</v>
      </c>
      <c r="P69" s="46">
        <v>8000</v>
      </c>
      <c r="Q69" s="16">
        <f t="shared" ref="Q69:Q75" si="8">O69</f>
        <v>8000</v>
      </c>
      <c r="R69" s="63">
        <v>8000</v>
      </c>
      <c r="S69" s="9">
        <f t="shared" ref="S69:S75" si="9">M69</f>
        <v>8000</v>
      </c>
    </row>
    <row r="70" spans="1:19" x14ac:dyDescent="0.35">
      <c r="B70" s="20" t="s">
        <v>32</v>
      </c>
      <c r="C70" s="139"/>
      <c r="D70" s="145" t="s">
        <v>122</v>
      </c>
      <c r="E70" s="178" t="s">
        <v>114</v>
      </c>
      <c r="F70" s="63">
        <v>32000</v>
      </c>
      <c r="G70" s="9">
        <f t="shared" ref="G70:G75" si="10">F70</f>
        <v>32000</v>
      </c>
      <c r="H70" s="63">
        <v>32000</v>
      </c>
      <c r="I70" s="9">
        <f t="shared" si="5"/>
        <v>32000</v>
      </c>
      <c r="J70" s="63">
        <v>32000</v>
      </c>
      <c r="K70" s="9">
        <f t="shared" si="6"/>
        <v>32000</v>
      </c>
      <c r="L70" s="46">
        <v>32000</v>
      </c>
      <c r="M70" s="16">
        <f t="shared" si="7"/>
        <v>32000</v>
      </c>
      <c r="N70" s="63">
        <v>32000</v>
      </c>
      <c r="O70" s="9">
        <f t="shared" ref="O70:O75" si="11">N70</f>
        <v>32000</v>
      </c>
      <c r="P70" s="46">
        <v>32000</v>
      </c>
      <c r="Q70" s="16">
        <f t="shared" si="8"/>
        <v>32000</v>
      </c>
      <c r="R70" s="63">
        <v>32000</v>
      </c>
      <c r="S70" s="9">
        <f t="shared" si="9"/>
        <v>32000</v>
      </c>
    </row>
    <row r="71" spans="1:19" x14ac:dyDescent="0.35">
      <c r="B71" s="3" t="s">
        <v>33</v>
      </c>
      <c r="C71" s="319"/>
      <c r="D71" s="145" t="s">
        <v>146</v>
      </c>
      <c r="E71" s="178" t="s">
        <v>114</v>
      </c>
      <c r="F71" s="69">
        <v>20000</v>
      </c>
      <c r="G71" s="11">
        <f t="shared" si="10"/>
        <v>20000</v>
      </c>
      <c r="H71" s="69">
        <v>20000</v>
      </c>
      <c r="I71" s="11">
        <f t="shared" si="5"/>
        <v>20000</v>
      </c>
      <c r="J71" s="69">
        <v>20000</v>
      </c>
      <c r="K71" s="11">
        <f t="shared" si="6"/>
        <v>20000</v>
      </c>
      <c r="L71" s="51">
        <v>20000</v>
      </c>
      <c r="M71" s="16">
        <f t="shared" si="7"/>
        <v>20000</v>
      </c>
      <c r="N71" s="69">
        <v>20000</v>
      </c>
      <c r="O71" s="11">
        <f t="shared" si="11"/>
        <v>20000</v>
      </c>
      <c r="P71" s="51">
        <v>20000</v>
      </c>
      <c r="Q71" s="16">
        <f t="shared" si="8"/>
        <v>20000</v>
      </c>
      <c r="R71" s="69">
        <v>20000</v>
      </c>
      <c r="S71" s="11">
        <f t="shared" si="9"/>
        <v>20000</v>
      </c>
    </row>
    <row r="72" spans="1:19" x14ac:dyDescent="0.35">
      <c r="B72" s="3" t="s">
        <v>34</v>
      </c>
      <c r="C72" s="319"/>
      <c r="D72" s="139" t="s">
        <v>148</v>
      </c>
      <c r="E72" s="178" t="s">
        <v>114</v>
      </c>
      <c r="F72" s="69">
        <v>12000</v>
      </c>
      <c r="G72" s="11">
        <f t="shared" si="10"/>
        <v>12000</v>
      </c>
      <c r="H72" s="69">
        <v>12000</v>
      </c>
      <c r="I72" s="11">
        <f t="shared" si="5"/>
        <v>12000</v>
      </c>
      <c r="J72" s="69">
        <v>12000</v>
      </c>
      <c r="K72" s="11">
        <f t="shared" si="6"/>
        <v>12000</v>
      </c>
      <c r="L72" s="51">
        <v>12000</v>
      </c>
      <c r="M72" s="16">
        <f t="shared" si="7"/>
        <v>12000</v>
      </c>
      <c r="N72" s="69">
        <v>12000</v>
      </c>
      <c r="O72" s="11">
        <f t="shared" si="11"/>
        <v>12000</v>
      </c>
      <c r="P72" s="51">
        <v>12000</v>
      </c>
      <c r="Q72" s="16">
        <f t="shared" si="8"/>
        <v>12000</v>
      </c>
      <c r="R72" s="69">
        <v>12000</v>
      </c>
      <c r="S72" s="11">
        <f t="shared" si="9"/>
        <v>12000</v>
      </c>
    </row>
    <row r="73" spans="1:19" x14ac:dyDescent="0.35">
      <c r="B73" s="3" t="s">
        <v>35</v>
      </c>
      <c r="C73" s="319"/>
      <c r="D73" s="139" t="s">
        <v>148</v>
      </c>
      <c r="E73" s="178" t="s">
        <v>114</v>
      </c>
      <c r="F73" s="69">
        <v>12000</v>
      </c>
      <c r="G73" s="11">
        <f t="shared" si="10"/>
        <v>12000</v>
      </c>
      <c r="H73" s="69">
        <v>12000</v>
      </c>
      <c r="I73" s="11">
        <f t="shared" si="5"/>
        <v>12000</v>
      </c>
      <c r="J73" s="69">
        <v>12000</v>
      </c>
      <c r="K73" s="11">
        <f t="shared" si="6"/>
        <v>12000</v>
      </c>
      <c r="L73" s="51">
        <v>12000</v>
      </c>
      <c r="M73" s="16">
        <f t="shared" si="7"/>
        <v>12000</v>
      </c>
      <c r="N73" s="69">
        <v>12000</v>
      </c>
      <c r="O73" s="11">
        <f t="shared" si="11"/>
        <v>12000</v>
      </c>
      <c r="P73" s="51">
        <v>12000</v>
      </c>
      <c r="Q73" s="16">
        <f t="shared" si="8"/>
        <v>12000</v>
      </c>
      <c r="R73" s="69">
        <v>12000</v>
      </c>
      <c r="S73" s="11">
        <f t="shared" si="9"/>
        <v>12000</v>
      </c>
    </row>
    <row r="74" spans="1:19" x14ac:dyDescent="0.35">
      <c r="B74" s="3" t="s">
        <v>36</v>
      </c>
      <c r="C74" s="319"/>
      <c r="D74" s="139" t="s">
        <v>149</v>
      </c>
      <c r="E74" s="178" t="s">
        <v>114</v>
      </c>
      <c r="F74" s="69">
        <v>45000</v>
      </c>
      <c r="G74" s="11">
        <f t="shared" si="10"/>
        <v>45000</v>
      </c>
      <c r="H74" s="69">
        <v>45000</v>
      </c>
      <c r="I74" s="11">
        <f t="shared" si="5"/>
        <v>45000</v>
      </c>
      <c r="J74" s="69">
        <v>45000</v>
      </c>
      <c r="K74" s="11">
        <f t="shared" si="6"/>
        <v>45000</v>
      </c>
      <c r="L74" s="51">
        <v>45000</v>
      </c>
      <c r="M74" s="16">
        <f t="shared" si="7"/>
        <v>45000</v>
      </c>
      <c r="N74" s="69">
        <v>45000</v>
      </c>
      <c r="O74" s="11">
        <f t="shared" si="11"/>
        <v>45000</v>
      </c>
      <c r="P74" s="51">
        <v>45000</v>
      </c>
      <c r="Q74" s="16">
        <f t="shared" si="8"/>
        <v>45000</v>
      </c>
      <c r="R74" s="69">
        <v>45000</v>
      </c>
      <c r="S74" s="11">
        <f t="shared" si="9"/>
        <v>45000</v>
      </c>
    </row>
    <row r="75" spans="1:19" x14ac:dyDescent="0.35">
      <c r="B75" s="111" t="s">
        <v>37</v>
      </c>
      <c r="C75" s="327"/>
      <c r="D75" s="140" t="s">
        <v>147</v>
      </c>
      <c r="E75" s="178" t="s">
        <v>114</v>
      </c>
      <c r="F75" s="69">
        <v>25000</v>
      </c>
      <c r="G75" s="11">
        <f t="shared" si="10"/>
        <v>25000</v>
      </c>
      <c r="H75" s="124">
        <v>25000</v>
      </c>
      <c r="I75" s="11">
        <f t="shared" si="5"/>
        <v>25000</v>
      </c>
      <c r="J75" s="124">
        <v>25000</v>
      </c>
      <c r="K75" s="11">
        <f t="shared" si="6"/>
        <v>25000</v>
      </c>
      <c r="L75" s="100">
        <v>25000</v>
      </c>
      <c r="M75" s="16">
        <f t="shared" si="7"/>
        <v>25000</v>
      </c>
      <c r="N75" s="69">
        <v>25000</v>
      </c>
      <c r="O75" s="11">
        <f t="shared" si="11"/>
        <v>25000</v>
      </c>
      <c r="P75" s="100">
        <v>25000</v>
      </c>
      <c r="Q75" s="16">
        <f t="shared" si="8"/>
        <v>25000</v>
      </c>
      <c r="R75" s="124">
        <v>25000</v>
      </c>
      <c r="S75" s="11">
        <f t="shared" si="9"/>
        <v>25000</v>
      </c>
    </row>
    <row r="76" spans="1:19" x14ac:dyDescent="0.35">
      <c r="A76" s="197"/>
      <c r="B76" s="125" t="s">
        <v>94</v>
      </c>
      <c r="C76" s="328"/>
      <c r="D76" s="155" t="s">
        <v>150</v>
      </c>
      <c r="E76" s="183" t="s">
        <v>201</v>
      </c>
      <c r="F76" s="70">
        <v>0.125</v>
      </c>
      <c r="G76" s="172">
        <f>G34*0.125</f>
        <v>2421046.25</v>
      </c>
      <c r="H76" s="33">
        <v>0.125</v>
      </c>
      <c r="I76" s="126">
        <f>I34*Table32[[#This Row],[P1 Adjusted variables ]]</f>
        <v>2370531.5</v>
      </c>
      <c r="J76" s="226">
        <v>0.1</v>
      </c>
      <c r="K76" s="126">
        <f>K34*Table32[[#This Row],[P2 Adjusted Variable ]]</f>
        <v>1877460.9480000001</v>
      </c>
      <c r="L76" s="230">
        <v>0.125</v>
      </c>
      <c r="M76" s="87">
        <f>M34*Table32[[#This Row],[P3 Adjusted variables]]</f>
        <v>1335762.5</v>
      </c>
      <c r="N76" s="70">
        <v>0.125</v>
      </c>
      <c r="O76" s="172">
        <f>O34*0.125</f>
        <v>2370531.5</v>
      </c>
      <c r="P76" s="239">
        <v>0.1</v>
      </c>
      <c r="Q76" s="87">
        <f>Q34*P76</f>
        <v>1057923.9000000001</v>
      </c>
      <c r="R76" s="195">
        <v>0.125</v>
      </c>
      <c r="S76" s="126">
        <f>S34*0.125</f>
        <v>1680462.5</v>
      </c>
    </row>
    <row r="77" spans="1:19" x14ac:dyDescent="0.35">
      <c r="B77" s="83" t="s">
        <v>38</v>
      </c>
      <c r="C77" s="142"/>
      <c r="D77" s="142" t="s">
        <v>151</v>
      </c>
      <c r="E77" s="178"/>
      <c r="F77" s="62">
        <v>1.2344137548040927E-2</v>
      </c>
      <c r="H77" s="96">
        <v>1.2344137548040927E-2</v>
      </c>
      <c r="J77" s="96">
        <v>1.2344137548040927E-2</v>
      </c>
      <c r="L77" s="85">
        <v>1.2344137548040927E-2</v>
      </c>
      <c r="M77" s="16"/>
      <c r="N77" s="62">
        <v>1.2344137548040927E-2</v>
      </c>
      <c r="P77" s="85">
        <v>1.2344137548040927E-2</v>
      </c>
      <c r="Q77" s="16"/>
      <c r="R77" s="96">
        <v>1.2344137548040927E-2</v>
      </c>
    </row>
    <row r="78" spans="1:19" x14ac:dyDescent="0.35">
      <c r="B78" s="20" t="s">
        <v>39</v>
      </c>
      <c r="C78" s="139"/>
      <c r="D78" s="145" t="s">
        <v>196</v>
      </c>
      <c r="E78" s="178"/>
      <c r="F78" s="62">
        <v>2.418937666815809E-4</v>
      </c>
      <c r="H78" s="62">
        <v>2.418937666815809E-4</v>
      </c>
      <c r="J78" s="62">
        <v>2.418937666815809E-4</v>
      </c>
      <c r="L78" s="46">
        <v>2.418937666815809E-4</v>
      </c>
      <c r="M78" s="16"/>
      <c r="N78" s="62">
        <v>2.418937666815809E-4</v>
      </c>
      <c r="P78" s="46">
        <v>2.418937666815809E-4</v>
      </c>
      <c r="Q78" s="16"/>
      <c r="R78" s="62">
        <v>2.418937666815809E-4</v>
      </c>
    </row>
    <row r="79" spans="1:19" x14ac:dyDescent="0.35">
      <c r="B79" s="3" t="s">
        <v>40</v>
      </c>
      <c r="C79" s="319"/>
      <c r="D79" s="139" t="s">
        <v>152</v>
      </c>
      <c r="E79" s="178" t="s">
        <v>114</v>
      </c>
      <c r="F79" s="69">
        <v>8000</v>
      </c>
      <c r="G79" s="9">
        <f>Table32[[#This Row],[Base Variables ]]</f>
        <v>8000</v>
      </c>
      <c r="H79" s="69">
        <v>8000</v>
      </c>
      <c r="I79" s="9">
        <f>Table32[[#This Row],[P1 Adjusted variables ]]</f>
        <v>8000</v>
      </c>
      <c r="J79" s="69">
        <v>8000</v>
      </c>
      <c r="K79" s="9">
        <f>Table32[[#This Row],[P2 Adjusted Variable ]]</f>
        <v>8000</v>
      </c>
      <c r="L79" s="51">
        <v>8000</v>
      </c>
      <c r="M79" s="16">
        <f>Table32[[#This Row],[P3 Adjusted variables]]</f>
        <v>8000</v>
      </c>
      <c r="N79" s="69">
        <v>8000</v>
      </c>
      <c r="O79" s="9">
        <f>Table32[[#This Row],[Base Variables ]]</f>
        <v>8000</v>
      </c>
      <c r="P79" s="51">
        <v>8000</v>
      </c>
      <c r="Q79" s="16">
        <f>Table32[[#This Row],[P3 Adjusted variables]]</f>
        <v>8000</v>
      </c>
      <c r="R79" s="69">
        <v>8000</v>
      </c>
    </row>
    <row r="80" spans="1:19" x14ac:dyDescent="0.35">
      <c r="B80" s="25" t="s">
        <v>41</v>
      </c>
      <c r="C80" s="156"/>
      <c r="D80" s="156" t="s">
        <v>118</v>
      </c>
      <c r="E80" s="185"/>
      <c r="F80" s="71">
        <v>1.7918056791228214E-3</v>
      </c>
      <c r="G80" s="11">
        <f>SUM(G81:G85)</f>
        <v>195000</v>
      </c>
      <c r="H80" s="71">
        <v>1.7918056791228214E-3</v>
      </c>
      <c r="I80" s="11">
        <f>SUM(I81:I85)</f>
        <v>195000</v>
      </c>
      <c r="J80" s="71">
        <v>1.7918056791228214E-3</v>
      </c>
      <c r="K80" s="11">
        <f>SUM(K81:K85)</f>
        <v>195000</v>
      </c>
      <c r="L80" s="50">
        <v>1.7918056791228214E-3</v>
      </c>
      <c r="M80" s="16">
        <f>SUM(M81:M85)</f>
        <v>195000</v>
      </c>
      <c r="N80" s="71">
        <v>1.7918056791228214E-3</v>
      </c>
      <c r="O80" s="11">
        <f>SUM(O81:O85)</f>
        <v>195000</v>
      </c>
      <c r="P80" s="50">
        <v>1.7918056791228214E-3</v>
      </c>
      <c r="Q80" s="16">
        <f>SUM(Q81:Q85)</f>
        <v>195000</v>
      </c>
      <c r="R80" s="71">
        <v>1.7918056791228214E-3</v>
      </c>
      <c r="S80" s="11">
        <f>SUM(S81:S85)</f>
        <v>195000</v>
      </c>
    </row>
    <row r="81" spans="1:19" x14ac:dyDescent="0.35">
      <c r="B81" s="20" t="s">
        <v>42</v>
      </c>
      <c r="C81" s="139"/>
      <c r="D81" s="139" t="s">
        <v>153</v>
      </c>
      <c r="E81" s="178" t="s">
        <v>114</v>
      </c>
      <c r="F81" s="63">
        <v>50000</v>
      </c>
      <c r="G81" s="9">
        <f>F81</f>
        <v>50000</v>
      </c>
      <c r="H81" s="63">
        <v>50000</v>
      </c>
      <c r="I81" s="9">
        <f>G81</f>
        <v>50000</v>
      </c>
      <c r="J81" s="63">
        <v>50000</v>
      </c>
      <c r="K81" s="9">
        <f>I81</f>
        <v>50000</v>
      </c>
      <c r="L81" s="46">
        <v>50000</v>
      </c>
      <c r="M81" s="16">
        <f>K81</f>
        <v>50000</v>
      </c>
      <c r="N81" s="63">
        <v>50000</v>
      </c>
      <c r="O81" s="9">
        <f>N81</f>
        <v>50000</v>
      </c>
      <c r="P81" s="46">
        <v>50000</v>
      </c>
      <c r="Q81" s="16">
        <f>O81</f>
        <v>50000</v>
      </c>
      <c r="R81" s="63">
        <v>50000</v>
      </c>
      <c r="S81" s="9">
        <f>M81</f>
        <v>50000</v>
      </c>
    </row>
    <row r="82" spans="1:19" x14ac:dyDescent="0.35">
      <c r="B82" s="20" t="s">
        <v>43</v>
      </c>
      <c r="C82" s="139"/>
      <c r="D82" s="139" t="s">
        <v>154</v>
      </c>
      <c r="E82" s="178" t="s">
        <v>114</v>
      </c>
      <c r="F82" s="63">
        <v>18000</v>
      </c>
      <c r="G82" s="9">
        <f t="shared" ref="G82:G85" si="12">F82</f>
        <v>18000</v>
      </c>
      <c r="H82" s="63">
        <v>18000</v>
      </c>
      <c r="I82" s="9">
        <f>G82</f>
        <v>18000</v>
      </c>
      <c r="J82" s="63">
        <v>18000</v>
      </c>
      <c r="K82" s="9">
        <f>I82</f>
        <v>18000</v>
      </c>
      <c r="L82" s="46">
        <v>18000</v>
      </c>
      <c r="M82" s="16">
        <f>K82</f>
        <v>18000</v>
      </c>
      <c r="N82" s="63">
        <v>18000</v>
      </c>
      <c r="O82" s="9">
        <f t="shared" ref="O82:O85" si="13">N82</f>
        <v>18000</v>
      </c>
      <c r="P82" s="46">
        <v>18000</v>
      </c>
      <c r="Q82" s="16">
        <f>O82</f>
        <v>18000</v>
      </c>
      <c r="R82" s="63">
        <v>18000</v>
      </c>
      <c r="S82" s="9">
        <f>M82</f>
        <v>18000</v>
      </c>
    </row>
    <row r="83" spans="1:19" x14ac:dyDescent="0.35">
      <c r="B83" s="20" t="s">
        <v>44</v>
      </c>
      <c r="C83" s="139"/>
      <c r="D83" s="139" t="s">
        <v>155</v>
      </c>
      <c r="E83" s="178" t="s">
        <v>114</v>
      </c>
      <c r="F83" s="63">
        <v>50000</v>
      </c>
      <c r="G83" s="9">
        <f t="shared" si="12"/>
        <v>50000</v>
      </c>
      <c r="H83" s="63">
        <v>50000</v>
      </c>
      <c r="I83" s="9">
        <f>G83</f>
        <v>50000</v>
      </c>
      <c r="J83" s="63">
        <v>50000</v>
      </c>
      <c r="K83" s="9">
        <f>I83</f>
        <v>50000</v>
      </c>
      <c r="L83" s="46">
        <v>50000</v>
      </c>
      <c r="M83" s="16">
        <f>K83</f>
        <v>50000</v>
      </c>
      <c r="N83" s="63">
        <v>50000</v>
      </c>
      <c r="O83" s="9">
        <f t="shared" si="13"/>
        <v>50000</v>
      </c>
      <c r="P83" s="46">
        <v>50000</v>
      </c>
      <c r="Q83" s="16">
        <f>O83</f>
        <v>50000</v>
      </c>
      <c r="R83" s="63">
        <v>50000</v>
      </c>
      <c r="S83" s="9">
        <f>M83</f>
        <v>50000</v>
      </c>
    </row>
    <row r="84" spans="1:19" x14ac:dyDescent="0.35">
      <c r="B84" s="20" t="s">
        <v>45</v>
      </c>
      <c r="C84" s="139"/>
      <c r="D84" s="139" t="s">
        <v>156</v>
      </c>
      <c r="E84" s="178" t="s">
        <v>114</v>
      </c>
      <c r="F84" s="63">
        <v>30000</v>
      </c>
      <c r="G84" s="9">
        <f t="shared" si="12"/>
        <v>30000</v>
      </c>
      <c r="H84" s="63">
        <v>30000</v>
      </c>
      <c r="I84" s="9">
        <f>G84</f>
        <v>30000</v>
      </c>
      <c r="J84" s="63">
        <v>30000</v>
      </c>
      <c r="K84" s="9">
        <f>I84</f>
        <v>30000</v>
      </c>
      <c r="L84" s="46">
        <v>30000</v>
      </c>
      <c r="M84" s="16">
        <f>K84</f>
        <v>30000</v>
      </c>
      <c r="N84" s="63">
        <v>30000</v>
      </c>
      <c r="O84" s="9">
        <f t="shared" si="13"/>
        <v>30000</v>
      </c>
      <c r="P84" s="46">
        <v>30000</v>
      </c>
      <c r="Q84" s="16">
        <f>O84</f>
        <v>30000</v>
      </c>
      <c r="R84" s="63">
        <v>30000</v>
      </c>
      <c r="S84" s="9">
        <f>M84</f>
        <v>30000</v>
      </c>
    </row>
    <row r="85" spans="1:19" x14ac:dyDescent="0.35">
      <c r="B85" s="20" t="s">
        <v>46</v>
      </c>
      <c r="C85" s="139"/>
      <c r="D85" s="139" t="s">
        <v>157</v>
      </c>
      <c r="E85" s="178" t="s">
        <v>114</v>
      </c>
      <c r="F85" s="63">
        <v>47000</v>
      </c>
      <c r="G85" s="9">
        <f t="shared" si="12"/>
        <v>47000</v>
      </c>
      <c r="H85" s="63">
        <v>47000</v>
      </c>
      <c r="I85" s="9">
        <f>G85</f>
        <v>47000</v>
      </c>
      <c r="J85" s="63">
        <v>47000</v>
      </c>
      <c r="K85" s="9">
        <f>I85</f>
        <v>47000</v>
      </c>
      <c r="L85" s="46">
        <v>47000</v>
      </c>
      <c r="M85" s="16">
        <f>K85</f>
        <v>47000</v>
      </c>
      <c r="N85" s="63">
        <v>47000</v>
      </c>
      <c r="O85" s="9">
        <f t="shared" si="13"/>
        <v>47000</v>
      </c>
      <c r="P85" s="46">
        <v>47000</v>
      </c>
      <c r="Q85" s="16">
        <f>O85</f>
        <v>47000</v>
      </c>
      <c r="R85" s="63">
        <v>47000</v>
      </c>
      <c r="S85" s="9">
        <f>M85</f>
        <v>47000</v>
      </c>
    </row>
    <row r="86" spans="1:19" x14ac:dyDescent="0.35">
      <c r="B86" s="25" t="s">
        <v>47</v>
      </c>
      <c r="C86" s="156"/>
      <c r="D86" s="156" t="s">
        <v>133</v>
      </c>
      <c r="E86" s="185"/>
      <c r="F86" s="71">
        <v>1.0797803274272333E-3</v>
      </c>
      <c r="G86" s="11">
        <f>SUM(G87:G88)</f>
        <v>37000</v>
      </c>
      <c r="H86" s="71">
        <v>1.0797803274272333E-3</v>
      </c>
      <c r="I86" s="11">
        <f>SUM(I87:I88)</f>
        <v>37000</v>
      </c>
      <c r="J86" s="71">
        <v>1.0797803274272333E-3</v>
      </c>
      <c r="K86" s="11">
        <f>SUM(K87:K88)</f>
        <v>37000</v>
      </c>
      <c r="L86" s="50">
        <v>1.0797803274272333E-3</v>
      </c>
      <c r="M86" s="16">
        <f>SUM(M87:M88)</f>
        <v>37000</v>
      </c>
      <c r="N86" s="71">
        <v>1.0797803274272333E-3</v>
      </c>
      <c r="O86" s="11">
        <f>SUM(O87:O88)</f>
        <v>37000</v>
      </c>
      <c r="P86" s="50">
        <v>1.0797803274272333E-3</v>
      </c>
      <c r="Q86" s="16">
        <f>SUM(Q87:Q88)</f>
        <v>37000</v>
      </c>
      <c r="R86" s="71">
        <v>1.0797803274272333E-3</v>
      </c>
      <c r="S86" s="11">
        <f>SUM(S87:S88)</f>
        <v>37000</v>
      </c>
    </row>
    <row r="87" spans="1:19" x14ac:dyDescent="0.35">
      <c r="B87" s="20" t="s">
        <v>48</v>
      </c>
      <c r="C87" s="139"/>
      <c r="D87" s="139" t="s">
        <v>159</v>
      </c>
      <c r="E87" s="178"/>
      <c r="F87" s="63">
        <v>30000</v>
      </c>
      <c r="G87" s="9">
        <f>F87</f>
        <v>30000</v>
      </c>
      <c r="H87" s="63">
        <v>30000</v>
      </c>
      <c r="I87" s="9">
        <f>G87</f>
        <v>30000</v>
      </c>
      <c r="J87" s="63">
        <v>30000</v>
      </c>
      <c r="K87" s="9">
        <f>I87</f>
        <v>30000</v>
      </c>
      <c r="L87" s="46">
        <v>30000</v>
      </c>
      <c r="M87" s="16">
        <f>K87</f>
        <v>30000</v>
      </c>
      <c r="N87" s="63">
        <v>30000</v>
      </c>
      <c r="O87" s="9">
        <f>N87</f>
        <v>30000</v>
      </c>
      <c r="P87" s="46">
        <v>30000</v>
      </c>
      <c r="Q87" s="16">
        <f>O87</f>
        <v>30000</v>
      </c>
      <c r="R87" s="63">
        <v>30000</v>
      </c>
      <c r="S87" s="9">
        <f>M87</f>
        <v>30000</v>
      </c>
    </row>
    <row r="88" spans="1:19" x14ac:dyDescent="0.35">
      <c r="B88" s="20" t="s">
        <v>49</v>
      </c>
      <c r="C88" s="139"/>
      <c r="D88" s="139" t="s">
        <v>158</v>
      </c>
      <c r="E88" s="178"/>
      <c r="F88" s="63">
        <v>7000</v>
      </c>
      <c r="G88" s="9">
        <f>F88</f>
        <v>7000</v>
      </c>
      <c r="H88" s="63">
        <v>7000</v>
      </c>
      <c r="I88" s="9">
        <f>G88</f>
        <v>7000</v>
      </c>
      <c r="J88" s="63">
        <v>7000</v>
      </c>
      <c r="K88" s="9">
        <f>I88</f>
        <v>7000</v>
      </c>
      <c r="L88" s="46">
        <v>7000</v>
      </c>
      <c r="M88" s="16">
        <f>K88</f>
        <v>7000</v>
      </c>
      <c r="N88" s="63">
        <v>7000</v>
      </c>
      <c r="O88" s="9">
        <f>N88</f>
        <v>7000</v>
      </c>
      <c r="P88" s="46">
        <v>7000</v>
      </c>
      <c r="Q88" s="16">
        <f>O88</f>
        <v>7000</v>
      </c>
      <c r="R88" s="63">
        <v>7000</v>
      </c>
      <c r="S88" s="9">
        <f>M88</f>
        <v>7000</v>
      </c>
    </row>
    <row r="89" spans="1:19" x14ac:dyDescent="0.35">
      <c r="B89" s="104" t="s">
        <v>50</v>
      </c>
      <c r="C89" s="157"/>
      <c r="D89" s="157"/>
      <c r="E89" s="186"/>
      <c r="F89" s="72">
        <v>8.3617598359064999E-4</v>
      </c>
      <c r="H89" s="121">
        <v>8.3617598359064999E-4</v>
      </c>
      <c r="J89" s="121">
        <v>8.3617598359064999E-4</v>
      </c>
      <c r="L89" s="122">
        <v>8.3617598359064999E-4</v>
      </c>
      <c r="M89" s="16"/>
      <c r="N89" s="72">
        <v>8.3617598359064999E-4</v>
      </c>
      <c r="P89" s="122">
        <v>8.3617598359064999E-4</v>
      </c>
      <c r="Q89" s="16"/>
      <c r="R89" s="121">
        <v>8.3617598359064999E-4</v>
      </c>
    </row>
    <row r="90" spans="1:19" x14ac:dyDescent="0.35">
      <c r="B90" s="123" t="s">
        <v>51</v>
      </c>
      <c r="C90" s="329"/>
      <c r="D90" s="136" t="s">
        <v>162</v>
      </c>
      <c r="E90" s="176" t="s">
        <v>161</v>
      </c>
      <c r="F90" s="69">
        <v>28000</v>
      </c>
      <c r="G90" s="169">
        <f>F90</f>
        <v>28000</v>
      </c>
      <c r="H90" s="196">
        <v>0</v>
      </c>
      <c r="I90" s="98">
        <f>H90</f>
        <v>0</v>
      </c>
      <c r="J90" s="227">
        <v>28000</v>
      </c>
      <c r="K90" s="98">
        <f>J90</f>
        <v>28000</v>
      </c>
      <c r="L90" s="41">
        <v>28000</v>
      </c>
      <c r="M90" s="87">
        <f>Table32[[#This Row],[P3 Adjusted variables]]</f>
        <v>28000</v>
      </c>
      <c r="N90" s="69">
        <v>28000</v>
      </c>
      <c r="O90" s="169">
        <f>N90</f>
        <v>28000</v>
      </c>
      <c r="P90" s="240">
        <v>0</v>
      </c>
      <c r="Q90" s="87">
        <f>Table32[[#This Row],[P4 Adjusted variables]]</f>
        <v>28000</v>
      </c>
      <c r="R90" s="196">
        <v>0</v>
      </c>
      <c r="S90" s="98">
        <f>R90</f>
        <v>0</v>
      </c>
    </row>
    <row r="91" spans="1:19" x14ac:dyDescent="0.35">
      <c r="A91" s="197"/>
      <c r="B91" s="115" t="s">
        <v>52</v>
      </c>
      <c r="C91" s="330"/>
      <c r="D91" s="158" t="s">
        <v>133</v>
      </c>
      <c r="E91" s="185" t="s">
        <v>161</v>
      </c>
      <c r="F91" s="71">
        <v>7.7811550690147354E-3</v>
      </c>
      <c r="G91" s="173">
        <f>SUM(G92:G93)</f>
        <v>0</v>
      </c>
      <c r="H91" s="34">
        <v>7.7811550690147354E-3</v>
      </c>
      <c r="I91" s="116">
        <f>SUM(I92:I93)</f>
        <v>0</v>
      </c>
      <c r="J91" s="34">
        <v>7.7811550690147354E-3</v>
      </c>
      <c r="K91" s="116">
        <f>SUM(K92:K93)</f>
        <v>0</v>
      </c>
      <c r="L91" s="32">
        <v>7.7811550690147354E-3</v>
      </c>
      <c r="M91" s="87">
        <f>SUM(M92:M93)</f>
        <v>0</v>
      </c>
      <c r="N91" s="71">
        <v>7.7811550690147354E-3</v>
      </c>
      <c r="O91" s="173">
        <f>SUM(O92:O93)</f>
        <v>0</v>
      </c>
      <c r="P91" s="32">
        <v>7.7811550690147354E-3</v>
      </c>
      <c r="Q91" s="87">
        <f>SUM(Q92:Q93)</f>
        <v>0</v>
      </c>
      <c r="R91" s="34">
        <v>7.7811550690147354E-3</v>
      </c>
      <c r="S91" s="116">
        <f>SUM(S92:S93)</f>
        <v>0</v>
      </c>
    </row>
    <row r="92" spans="1:19" x14ac:dyDescent="0.35">
      <c r="A92" s="197"/>
      <c r="B92" s="83" t="s">
        <v>54</v>
      </c>
      <c r="C92" s="142"/>
      <c r="D92" s="142" t="s">
        <v>163</v>
      </c>
      <c r="E92" s="178" t="s">
        <v>161</v>
      </c>
      <c r="F92" s="62">
        <v>0.11</v>
      </c>
      <c r="H92" s="96">
        <v>0.11</v>
      </c>
      <c r="J92" s="96">
        <v>0.11</v>
      </c>
      <c r="L92" s="215">
        <v>0.11</v>
      </c>
      <c r="M92" s="16"/>
      <c r="N92" s="62">
        <v>0.11</v>
      </c>
      <c r="P92" s="215">
        <v>0.11</v>
      </c>
      <c r="Q92" s="16"/>
      <c r="R92" s="96">
        <v>0.11</v>
      </c>
    </row>
    <row r="93" spans="1:19" x14ac:dyDescent="0.35">
      <c r="B93" s="20" t="s">
        <v>105</v>
      </c>
      <c r="C93" s="139"/>
      <c r="D93" s="139" t="s">
        <v>197</v>
      </c>
      <c r="E93" s="178" t="s">
        <v>161</v>
      </c>
      <c r="F93" s="62">
        <v>0.01</v>
      </c>
      <c r="H93" s="62">
        <v>0.01</v>
      </c>
      <c r="J93" s="62">
        <v>0.01</v>
      </c>
      <c r="L93" s="216">
        <v>0.01</v>
      </c>
      <c r="M93" s="16"/>
      <c r="N93" s="62">
        <v>0.01</v>
      </c>
      <c r="P93" s="216">
        <v>0.01</v>
      </c>
      <c r="Q93" s="16"/>
      <c r="R93" s="62">
        <v>0.01</v>
      </c>
    </row>
    <row r="94" spans="1:19" x14ac:dyDescent="0.35">
      <c r="B94" s="104" t="s">
        <v>53</v>
      </c>
      <c r="C94" s="157"/>
      <c r="D94" s="159" t="s">
        <v>133</v>
      </c>
      <c r="E94" s="187" t="s">
        <v>161</v>
      </c>
      <c r="F94" s="72"/>
      <c r="G94" s="15">
        <f>SUM(G95:G100)</f>
        <v>83500</v>
      </c>
      <c r="H94" s="15"/>
      <c r="I94" s="15">
        <f t="shared" ref="I94:S94" si="14">SUM(I95:I100)</f>
        <v>15000</v>
      </c>
      <c r="J94" s="15"/>
      <c r="K94" s="15">
        <f t="shared" si="14"/>
        <v>83500</v>
      </c>
      <c r="L94" s="15"/>
      <c r="M94" s="15">
        <f t="shared" si="14"/>
        <v>83500</v>
      </c>
      <c r="N94" s="72"/>
      <c r="O94" s="15">
        <f>SUM(O95:O100)</f>
        <v>83500</v>
      </c>
      <c r="P94" s="15"/>
      <c r="Q94" s="15">
        <f t="shared" ref="Q94" si="15">SUM(Q95:Q100)</f>
        <v>15000</v>
      </c>
      <c r="R94" s="15"/>
      <c r="S94" s="15">
        <f t="shared" si="14"/>
        <v>15000</v>
      </c>
    </row>
    <row r="95" spans="1:19" x14ac:dyDescent="0.35">
      <c r="B95" s="115" t="s">
        <v>95</v>
      </c>
      <c r="C95" s="330"/>
      <c r="D95" s="158"/>
      <c r="E95" s="185"/>
      <c r="F95" s="71">
        <v>2.9371278692181288E-3</v>
      </c>
      <c r="G95" s="173"/>
      <c r="H95" s="34">
        <v>2.9371278692181288E-3</v>
      </c>
      <c r="I95" s="116"/>
      <c r="J95" s="34">
        <v>2.9371278692181288E-3</v>
      </c>
      <c r="K95" s="116"/>
      <c r="L95" s="32">
        <v>2.9371278692181288E-3</v>
      </c>
      <c r="M95" s="87"/>
      <c r="N95" s="71">
        <v>2.9371278692181288E-3</v>
      </c>
      <c r="O95" s="173"/>
      <c r="P95" s="32">
        <v>2.9371278692181288E-3</v>
      </c>
      <c r="Q95" s="87"/>
      <c r="R95" s="34">
        <v>2.9371278692181288E-3</v>
      </c>
      <c r="S95" s="116"/>
    </row>
    <row r="96" spans="1:19" x14ac:dyDescent="0.35">
      <c r="B96" s="83" t="s">
        <v>56</v>
      </c>
      <c r="C96" s="142"/>
      <c r="D96" s="144" t="s">
        <v>146</v>
      </c>
      <c r="E96" s="178"/>
      <c r="F96" s="62">
        <v>4.4795141978070535E-4</v>
      </c>
      <c r="H96" s="96">
        <v>4.4795141978070535E-4</v>
      </c>
      <c r="J96" s="96">
        <v>4.4795141978070535E-4</v>
      </c>
      <c r="L96" s="215">
        <v>4.4795141978070535E-4</v>
      </c>
      <c r="M96" s="16"/>
      <c r="N96" s="62">
        <v>4.4795141978070535E-4</v>
      </c>
      <c r="P96" s="215">
        <v>4.4795141978070535E-4</v>
      </c>
      <c r="Q96" s="16"/>
      <c r="R96" s="96">
        <v>4.4795141978070535E-4</v>
      </c>
    </row>
    <row r="97" spans="1:19" x14ac:dyDescent="0.35">
      <c r="B97" s="20" t="s">
        <v>57</v>
      </c>
      <c r="C97" s="139"/>
      <c r="D97" s="139" t="s">
        <v>165</v>
      </c>
      <c r="E97" s="178" t="s">
        <v>114</v>
      </c>
      <c r="F97" s="63">
        <v>20000</v>
      </c>
      <c r="G97" s="9">
        <f>F97</f>
        <v>20000</v>
      </c>
      <c r="H97" s="198">
        <v>5000</v>
      </c>
      <c r="I97" s="9">
        <f>H97</f>
        <v>5000</v>
      </c>
      <c r="J97" s="63">
        <v>20000</v>
      </c>
      <c r="K97" s="9">
        <f>J97</f>
        <v>20000</v>
      </c>
      <c r="L97" s="46">
        <v>20000</v>
      </c>
      <c r="M97" s="16">
        <f>L97</f>
        <v>20000</v>
      </c>
      <c r="N97" s="63">
        <v>20000</v>
      </c>
      <c r="O97" s="9">
        <f>N97</f>
        <v>20000</v>
      </c>
      <c r="P97" s="241">
        <v>5000</v>
      </c>
      <c r="Q97" s="16">
        <f>P97</f>
        <v>5000</v>
      </c>
      <c r="R97" s="198">
        <v>5000</v>
      </c>
      <c r="S97" s="9">
        <f>R97</f>
        <v>5000</v>
      </c>
    </row>
    <row r="98" spans="1:19" x14ac:dyDescent="0.35">
      <c r="B98" s="20" t="s">
        <v>27</v>
      </c>
      <c r="C98" s="139"/>
      <c r="D98" s="139" t="s">
        <v>164</v>
      </c>
      <c r="E98" s="178" t="s">
        <v>114</v>
      </c>
      <c r="F98" s="63">
        <v>3500</v>
      </c>
      <c r="G98" s="9">
        <f t="shared" ref="G98:G100" si="16">F98</f>
        <v>3500</v>
      </c>
      <c r="H98" s="198">
        <v>0</v>
      </c>
      <c r="I98" s="9">
        <f>H98</f>
        <v>0</v>
      </c>
      <c r="J98" s="63">
        <v>3500</v>
      </c>
      <c r="K98" s="9">
        <f>J98</f>
        <v>3500</v>
      </c>
      <c r="L98" s="46">
        <v>3500</v>
      </c>
      <c r="M98" s="16">
        <f>L98</f>
        <v>3500</v>
      </c>
      <c r="N98" s="63">
        <v>3500</v>
      </c>
      <c r="O98" s="9">
        <f t="shared" ref="O98:O100" si="17">N98</f>
        <v>3500</v>
      </c>
      <c r="P98" s="241">
        <v>0</v>
      </c>
      <c r="Q98" s="16">
        <f>P98</f>
        <v>0</v>
      </c>
      <c r="R98" s="198">
        <v>0</v>
      </c>
      <c r="S98" s="9">
        <f>R98</f>
        <v>0</v>
      </c>
    </row>
    <row r="99" spans="1:19" x14ac:dyDescent="0.35">
      <c r="B99" s="20" t="s">
        <v>55</v>
      </c>
      <c r="C99" s="139"/>
      <c r="D99" s="139" t="s">
        <v>198</v>
      </c>
      <c r="E99" s="178" t="s">
        <v>161</v>
      </c>
      <c r="F99" s="63">
        <v>45000</v>
      </c>
      <c r="G99" s="9">
        <f t="shared" si="16"/>
        <v>45000</v>
      </c>
      <c r="H99" s="198">
        <v>0</v>
      </c>
      <c r="I99" s="9">
        <f>H99</f>
        <v>0</v>
      </c>
      <c r="J99" s="63">
        <v>45000</v>
      </c>
      <c r="K99" s="9">
        <f>J99</f>
        <v>45000</v>
      </c>
      <c r="L99" s="46">
        <v>45000</v>
      </c>
      <c r="M99" s="16">
        <f>L99</f>
        <v>45000</v>
      </c>
      <c r="N99" s="63">
        <v>45000</v>
      </c>
      <c r="O99" s="9">
        <f t="shared" si="17"/>
        <v>45000</v>
      </c>
      <c r="P99" s="241">
        <v>0</v>
      </c>
      <c r="Q99" s="16">
        <f>P99</f>
        <v>0</v>
      </c>
      <c r="R99" s="198">
        <v>0</v>
      </c>
      <c r="S99" s="9">
        <f>R99</f>
        <v>0</v>
      </c>
    </row>
    <row r="100" spans="1:19" x14ac:dyDescent="0.35">
      <c r="B100" s="89" t="s">
        <v>102</v>
      </c>
      <c r="C100" s="140"/>
      <c r="D100" s="140" t="s">
        <v>166</v>
      </c>
      <c r="E100" s="178" t="s">
        <v>114</v>
      </c>
      <c r="F100" s="63">
        <v>15000</v>
      </c>
      <c r="G100" s="9">
        <f t="shared" si="16"/>
        <v>15000</v>
      </c>
      <c r="H100" s="199">
        <v>10000</v>
      </c>
      <c r="I100" s="9">
        <f>H100</f>
        <v>10000</v>
      </c>
      <c r="J100" s="220">
        <v>15000</v>
      </c>
      <c r="K100" s="9">
        <f>J100</f>
        <v>15000</v>
      </c>
      <c r="L100" s="91">
        <v>15000</v>
      </c>
      <c r="M100" s="16">
        <f>L100</f>
        <v>15000</v>
      </c>
      <c r="N100" s="63">
        <v>15000</v>
      </c>
      <c r="O100" s="9">
        <f t="shared" si="17"/>
        <v>15000</v>
      </c>
      <c r="P100" s="208">
        <v>10000</v>
      </c>
      <c r="Q100" s="16">
        <f>P100</f>
        <v>10000</v>
      </c>
      <c r="R100" s="199">
        <v>10000</v>
      </c>
      <c r="S100" s="9">
        <f>R100</f>
        <v>10000</v>
      </c>
    </row>
    <row r="101" spans="1:19" x14ac:dyDescent="0.35">
      <c r="A101" t="s">
        <v>217</v>
      </c>
      <c r="B101" s="115" t="s">
        <v>58</v>
      </c>
      <c r="C101" s="330"/>
      <c r="D101" s="158" t="s">
        <v>133</v>
      </c>
      <c r="E101" s="185"/>
      <c r="F101" s="73">
        <v>600000</v>
      </c>
      <c r="G101" s="174">
        <f>F101</f>
        <v>600000</v>
      </c>
      <c r="H101" s="35" t="s">
        <v>220</v>
      </c>
      <c r="I101" s="120">
        <v>0</v>
      </c>
      <c r="J101" s="221">
        <v>600000</v>
      </c>
      <c r="K101" s="120">
        <v>600000</v>
      </c>
      <c r="L101" s="40">
        <v>600000</v>
      </c>
      <c r="M101" s="87">
        <v>0</v>
      </c>
      <c r="N101" s="73">
        <v>600000</v>
      </c>
      <c r="O101" s="174">
        <f>N101</f>
        <v>600000</v>
      </c>
      <c r="P101" s="40">
        <v>600000</v>
      </c>
      <c r="Q101" s="87">
        <v>0</v>
      </c>
      <c r="R101" s="35">
        <v>600000</v>
      </c>
      <c r="S101" s="120">
        <v>0</v>
      </c>
    </row>
    <row r="102" spans="1:19" x14ac:dyDescent="0.35">
      <c r="B102" s="83" t="s">
        <v>59</v>
      </c>
      <c r="C102" s="142"/>
      <c r="D102" s="142" t="s">
        <v>174</v>
      </c>
      <c r="E102" s="178" t="s">
        <v>201</v>
      </c>
      <c r="F102" s="62">
        <v>0.02</v>
      </c>
      <c r="G102" s="14">
        <f>(G34*(G22/12)*F102)</f>
        <v>516489.86666666664</v>
      </c>
      <c r="H102" s="200">
        <v>0</v>
      </c>
      <c r="I102" s="14">
        <f>(I34*(I22/12)*H102)</f>
        <v>0</v>
      </c>
      <c r="J102" s="96">
        <v>0.02</v>
      </c>
      <c r="K102" s="14">
        <f>(K34*(K22/12)*$J$102)</f>
        <v>500656.25280000002</v>
      </c>
      <c r="L102" s="215">
        <v>0.02</v>
      </c>
      <c r="M102" s="16">
        <f>(M34*(M22/12)*L102)</f>
        <v>249342.33333333337</v>
      </c>
      <c r="N102" s="62">
        <v>0.02</v>
      </c>
      <c r="O102" s="14">
        <f>(O34*(O22/12)*N102)</f>
        <v>505713.38666666666</v>
      </c>
      <c r="P102" s="242">
        <v>0</v>
      </c>
      <c r="Q102" s="238">
        <f>(Q34*(Q22/12)*P102)</f>
        <v>0</v>
      </c>
      <c r="R102" s="200">
        <v>0</v>
      </c>
      <c r="S102" s="14">
        <f>(S34*(S22/12)*$J$102)</f>
        <v>313686.33333333337</v>
      </c>
    </row>
    <row r="103" spans="1:19" x14ac:dyDescent="0.35">
      <c r="A103" s="197"/>
      <c r="B103" s="20" t="s">
        <v>60</v>
      </c>
      <c r="C103" s="139"/>
      <c r="D103" s="145" t="s">
        <v>122</v>
      </c>
      <c r="E103" s="178"/>
      <c r="F103" s="62">
        <v>0</v>
      </c>
      <c r="G103" s="15"/>
      <c r="H103" s="62">
        <v>0</v>
      </c>
      <c r="I103" s="15"/>
      <c r="J103" s="62">
        <v>0</v>
      </c>
      <c r="K103" s="15"/>
      <c r="L103" s="46">
        <v>0</v>
      </c>
      <c r="M103" s="16"/>
      <c r="N103" s="62">
        <v>0</v>
      </c>
      <c r="O103" s="15"/>
      <c r="P103" s="46">
        <v>0</v>
      </c>
      <c r="Q103" s="16"/>
      <c r="R103" s="62">
        <v>0</v>
      </c>
      <c r="S103" s="15"/>
    </row>
    <row r="104" spans="1:19" x14ac:dyDescent="0.35">
      <c r="B104" s="20" t="s">
        <v>100</v>
      </c>
      <c r="C104" s="139"/>
      <c r="D104" s="145" t="s">
        <v>122</v>
      </c>
      <c r="E104" s="178"/>
      <c r="F104" s="62">
        <v>0</v>
      </c>
      <c r="G104" s="15"/>
      <c r="H104" s="62">
        <v>0</v>
      </c>
      <c r="I104" s="15"/>
      <c r="J104" s="62">
        <v>0</v>
      </c>
      <c r="K104" s="15"/>
      <c r="L104" s="46">
        <v>0</v>
      </c>
      <c r="M104" s="16"/>
      <c r="N104" s="62">
        <v>0</v>
      </c>
      <c r="O104" s="15"/>
      <c r="P104" s="46">
        <v>0</v>
      </c>
      <c r="Q104" s="16"/>
      <c r="R104" s="62">
        <v>0</v>
      </c>
      <c r="S104" s="15"/>
    </row>
    <row r="105" spans="1:19" x14ac:dyDescent="0.35">
      <c r="B105" s="104" t="s">
        <v>61</v>
      </c>
      <c r="C105" s="157"/>
      <c r="D105" s="157"/>
      <c r="E105" s="186"/>
      <c r="F105" s="74">
        <v>0</v>
      </c>
      <c r="G105" s="15"/>
      <c r="H105" s="105">
        <v>0</v>
      </c>
      <c r="I105" s="15"/>
      <c r="J105" s="105">
        <v>0</v>
      </c>
      <c r="K105" s="15"/>
      <c r="L105" s="106">
        <v>0</v>
      </c>
      <c r="M105" s="16"/>
      <c r="N105" s="74">
        <v>0</v>
      </c>
      <c r="O105" s="15"/>
      <c r="P105" s="106">
        <v>0</v>
      </c>
      <c r="Q105" s="16"/>
      <c r="R105" s="105">
        <v>0</v>
      </c>
      <c r="S105" s="15"/>
    </row>
    <row r="106" spans="1:19" x14ac:dyDescent="0.35">
      <c r="B106" s="117" t="s">
        <v>62</v>
      </c>
      <c r="C106" s="331"/>
      <c r="D106" s="160" t="s">
        <v>122</v>
      </c>
      <c r="E106" s="176" t="s">
        <v>161</v>
      </c>
      <c r="F106" s="75">
        <v>0</v>
      </c>
      <c r="G106" s="175"/>
      <c r="H106" s="36">
        <v>0</v>
      </c>
      <c r="I106" s="118"/>
      <c r="J106" s="36">
        <v>0</v>
      </c>
      <c r="K106" s="118"/>
      <c r="L106" s="42">
        <v>0</v>
      </c>
      <c r="M106" s="87"/>
      <c r="N106" s="75">
        <v>0</v>
      </c>
      <c r="O106" s="175"/>
      <c r="P106" s="42">
        <v>0</v>
      </c>
      <c r="Q106" s="87"/>
      <c r="R106" s="36">
        <v>0</v>
      </c>
      <c r="S106" s="118"/>
    </row>
    <row r="107" spans="1:19" x14ac:dyDescent="0.35">
      <c r="B107" s="117" t="s">
        <v>99</v>
      </c>
      <c r="C107" s="331"/>
      <c r="D107" s="160" t="s">
        <v>171</v>
      </c>
      <c r="E107" s="176" t="s">
        <v>161</v>
      </c>
      <c r="F107" s="75">
        <v>43308</v>
      </c>
      <c r="G107" s="175">
        <f t="shared" ref="G107:G135" si="18">F107</f>
        <v>43308</v>
      </c>
      <c r="H107" s="201">
        <v>0</v>
      </c>
      <c r="I107" s="118">
        <f>H107</f>
        <v>0</v>
      </c>
      <c r="J107" s="222">
        <f>Table32[[#This Row],[Baseline]]</f>
        <v>43308</v>
      </c>
      <c r="K107" s="118">
        <f>J107</f>
        <v>43308</v>
      </c>
      <c r="L107" s="42">
        <v>43308</v>
      </c>
      <c r="M107" s="87">
        <f>L107</f>
        <v>43308</v>
      </c>
      <c r="N107" s="75">
        <v>43308</v>
      </c>
      <c r="O107" s="175">
        <f t="shared" ref="O107:O109" si="19">N107</f>
        <v>43308</v>
      </c>
      <c r="P107" s="243">
        <v>0</v>
      </c>
      <c r="Q107" s="87">
        <f>P107</f>
        <v>0</v>
      </c>
      <c r="R107" s="201">
        <v>0</v>
      </c>
      <c r="S107" s="118">
        <f>R107</f>
        <v>0</v>
      </c>
    </row>
    <row r="108" spans="1:19" x14ac:dyDescent="0.35">
      <c r="B108" s="117" t="s">
        <v>63</v>
      </c>
      <c r="C108" s="331"/>
      <c r="D108" s="161" t="s">
        <v>172</v>
      </c>
      <c r="E108" s="176" t="s">
        <v>161</v>
      </c>
      <c r="F108" s="75">
        <v>12000</v>
      </c>
      <c r="G108" s="175">
        <f t="shared" si="18"/>
        <v>12000</v>
      </c>
      <c r="H108" s="201">
        <v>0</v>
      </c>
      <c r="I108" s="118">
        <f>H108</f>
        <v>0</v>
      </c>
      <c r="J108" s="222">
        <f>Table32[[#This Row],[Baseline]]</f>
        <v>12000</v>
      </c>
      <c r="K108" s="118">
        <f>J108</f>
        <v>12000</v>
      </c>
      <c r="L108" s="42">
        <v>12000</v>
      </c>
      <c r="M108" s="87">
        <f t="shared" ref="M108:M117" si="20">L108</f>
        <v>12000</v>
      </c>
      <c r="N108" s="75">
        <v>12000</v>
      </c>
      <c r="O108" s="175">
        <f t="shared" si="19"/>
        <v>12000</v>
      </c>
      <c r="P108" s="243">
        <v>0</v>
      </c>
      <c r="Q108" s="87">
        <f t="shared" ref="Q108:Q117" si="21">P108</f>
        <v>0</v>
      </c>
      <c r="R108" s="201">
        <v>0</v>
      </c>
      <c r="S108" s="118">
        <f>R108</f>
        <v>0</v>
      </c>
    </row>
    <row r="109" spans="1:19" x14ac:dyDescent="0.35">
      <c r="B109" s="117" t="s">
        <v>111</v>
      </c>
      <c r="C109" s="331"/>
      <c r="D109" s="161" t="s">
        <v>170</v>
      </c>
      <c r="E109" s="176" t="s">
        <v>161</v>
      </c>
      <c r="F109" s="75">
        <v>0</v>
      </c>
      <c r="G109" s="175">
        <f t="shared" si="18"/>
        <v>0</v>
      </c>
      <c r="H109" s="36">
        <v>0</v>
      </c>
      <c r="I109" s="118">
        <f>G109</f>
        <v>0</v>
      </c>
      <c r="J109" s="36">
        <v>0</v>
      </c>
      <c r="K109" s="118">
        <f>I109</f>
        <v>0</v>
      </c>
      <c r="L109" s="42">
        <v>0</v>
      </c>
      <c r="M109" s="87">
        <f t="shared" si="20"/>
        <v>0</v>
      </c>
      <c r="N109" s="75">
        <v>0</v>
      </c>
      <c r="O109" s="175">
        <f t="shared" si="19"/>
        <v>0</v>
      </c>
      <c r="P109" s="42">
        <v>0</v>
      </c>
      <c r="Q109" s="87">
        <f t="shared" si="21"/>
        <v>0</v>
      </c>
      <c r="R109" s="36">
        <v>0</v>
      </c>
      <c r="S109" s="118">
        <f>M109</f>
        <v>0</v>
      </c>
    </row>
    <row r="110" spans="1:19" x14ac:dyDescent="0.35">
      <c r="B110" s="119" t="s">
        <v>96</v>
      </c>
      <c r="C110" s="332"/>
      <c r="D110" s="158" t="s">
        <v>130</v>
      </c>
      <c r="E110" s="185" t="s">
        <v>161</v>
      </c>
      <c r="F110" s="76"/>
      <c r="G110" s="167">
        <f>SUM(G111:G112)</f>
        <v>80000</v>
      </c>
      <c r="H110" s="37"/>
      <c r="I110" s="87">
        <f>SUM(I111:I112)</f>
        <v>0</v>
      </c>
      <c r="J110" s="37"/>
      <c r="K110" s="87">
        <f>SUM(K111:K112)</f>
        <v>80000</v>
      </c>
      <c r="L110" s="43">
        <v>0</v>
      </c>
      <c r="M110" s="87">
        <f t="shared" si="20"/>
        <v>0</v>
      </c>
      <c r="N110" s="76"/>
      <c r="O110" s="167">
        <f>SUM(O111:O112)</f>
        <v>80000</v>
      </c>
      <c r="P110" s="43">
        <v>0</v>
      </c>
      <c r="Q110" s="87">
        <f t="shared" si="21"/>
        <v>0</v>
      </c>
      <c r="R110" s="37"/>
      <c r="S110" s="87">
        <f>SUM(S111:S112)</f>
        <v>0</v>
      </c>
    </row>
    <row r="111" spans="1:19" x14ac:dyDescent="0.35">
      <c r="B111" s="83" t="s">
        <v>65</v>
      </c>
      <c r="C111" s="142"/>
      <c r="D111" s="142" t="s">
        <v>175</v>
      </c>
      <c r="E111" s="178" t="s">
        <v>114</v>
      </c>
      <c r="F111" s="77">
        <v>40000</v>
      </c>
      <c r="G111" s="15">
        <f t="shared" si="18"/>
        <v>40000</v>
      </c>
      <c r="H111" s="202">
        <v>0</v>
      </c>
      <c r="I111" s="15">
        <f>H111</f>
        <v>0</v>
      </c>
      <c r="J111" s="114">
        <f>Table32[[#This Row],[Base Variables ]]</f>
        <v>40000</v>
      </c>
      <c r="K111" s="15">
        <f>J111</f>
        <v>40000</v>
      </c>
      <c r="L111" s="93">
        <v>40000</v>
      </c>
      <c r="M111" s="87">
        <f t="shared" si="20"/>
        <v>40000</v>
      </c>
      <c r="N111" s="77">
        <v>40000</v>
      </c>
      <c r="O111" s="15">
        <f t="shared" ref="O111:O118" si="22">N111</f>
        <v>40000</v>
      </c>
      <c r="P111" s="209">
        <v>0</v>
      </c>
      <c r="Q111" s="87">
        <f t="shared" si="21"/>
        <v>0</v>
      </c>
      <c r="R111" s="202">
        <v>0</v>
      </c>
      <c r="S111" s="15">
        <f>R111</f>
        <v>0</v>
      </c>
    </row>
    <row r="112" spans="1:19" x14ac:dyDescent="0.35">
      <c r="B112" s="20" t="s">
        <v>104</v>
      </c>
      <c r="C112" s="139"/>
      <c r="D112" s="139" t="s">
        <v>180</v>
      </c>
      <c r="E112" s="178" t="s">
        <v>114</v>
      </c>
      <c r="F112" s="77">
        <v>40000</v>
      </c>
      <c r="G112" s="15">
        <f t="shared" si="18"/>
        <v>40000</v>
      </c>
      <c r="H112" s="203">
        <v>0</v>
      </c>
      <c r="I112" s="15">
        <f>H112</f>
        <v>0</v>
      </c>
      <c r="J112" s="114">
        <f>Table32[[#This Row],[Base Variables ]]</f>
        <v>40000</v>
      </c>
      <c r="K112" s="15">
        <f>J112</f>
        <v>40000</v>
      </c>
      <c r="L112" s="48">
        <v>40000</v>
      </c>
      <c r="M112" s="87">
        <f t="shared" si="20"/>
        <v>40000</v>
      </c>
      <c r="N112" s="77">
        <v>40000</v>
      </c>
      <c r="O112" s="15">
        <f t="shared" si="22"/>
        <v>40000</v>
      </c>
      <c r="P112" s="207">
        <v>0</v>
      </c>
      <c r="Q112" s="87">
        <f t="shared" si="21"/>
        <v>0</v>
      </c>
      <c r="R112" s="203">
        <v>0</v>
      </c>
      <c r="S112" s="15">
        <f>R112</f>
        <v>0</v>
      </c>
    </row>
    <row r="113" spans="1:19" x14ac:dyDescent="0.35">
      <c r="A113" s="197"/>
      <c r="B113" s="3" t="s">
        <v>66</v>
      </c>
      <c r="C113" s="319"/>
      <c r="D113" s="134" t="s">
        <v>181</v>
      </c>
      <c r="E113" s="184" t="s">
        <v>114</v>
      </c>
      <c r="F113" s="75">
        <v>55000</v>
      </c>
      <c r="G113" s="16">
        <f t="shared" si="18"/>
        <v>55000</v>
      </c>
      <c r="H113" s="204">
        <v>0</v>
      </c>
      <c r="I113" s="16">
        <f>H113</f>
        <v>0</v>
      </c>
      <c r="J113" s="204">
        <v>0</v>
      </c>
      <c r="K113" s="16">
        <f>J113</f>
        <v>0</v>
      </c>
      <c r="L113" s="53">
        <v>55000</v>
      </c>
      <c r="M113" s="87">
        <f t="shared" si="20"/>
        <v>55000</v>
      </c>
      <c r="N113" s="75">
        <v>55000</v>
      </c>
      <c r="O113" s="16">
        <f t="shared" si="22"/>
        <v>55000</v>
      </c>
      <c r="P113" s="244">
        <v>0</v>
      </c>
      <c r="Q113" s="87">
        <f t="shared" si="21"/>
        <v>0</v>
      </c>
      <c r="R113" s="204">
        <v>20000</v>
      </c>
      <c r="S113" s="16">
        <f>R113</f>
        <v>20000</v>
      </c>
    </row>
    <row r="114" spans="1:19" x14ac:dyDescent="0.35">
      <c r="B114" s="104" t="s">
        <v>67</v>
      </c>
      <c r="C114" s="157"/>
      <c r="D114" s="157"/>
      <c r="E114" s="186"/>
      <c r="F114" s="74">
        <v>0</v>
      </c>
      <c r="G114" s="15">
        <f t="shared" si="18"/>
        <v>0</v>
      </c>
      <c r="H114" s="105">
        <v>0</v>
      </c>
      <c r="I114" s="15">
        <f>G114</f>
        <v>0</v>
      </c>
      <c r="J114" s="105">
        <v>0</v>
      </c>
      <c r="K114" s="15">
        <f>I114</f>
        <v>0</v>
      </c>
      <c r="L114" s="106">
        <v>0</v>
      </c>
      <c r="M114" s="87">
        <f t="shared" si="20"/>
        <v>0</v>
      </c>
      <c r="N114" s="74">
        <v>0</v>
      </c>
      <c r="O114" s="15">
        <f t="shared" si="22"/>
        <v>0</v>
      </c>
      <c r="P114" s="106">
        <v>0</v>
      </c>
      <c r="Q114" s="87">
        <f t="shared" si="21"/>
        <v>0</v>
      </c>
      <c r="R114" s="105">
        <v>0</v>
      </c>
      <c r="S114" s="15">
        <f>M114</f>
        <v>0</v>
      </c>
    </row>
    <row r="115" spans="1:19" x14ac:dyDescent="0.35">
      <c r="B115" s="109" t="s">
        <v>68</v>
      </c>
      <c r="C115" s="333"/>
      <c r="D115" s="162" t="s">
        <v>199</v>
      </c>
      <c r="E115" s="176" t="s">
        <v>161</v>
      </c>
      <c r="F115" s="75">
        <v>600000</v>
      </c>
      <c r="G115" s="170">
        <f t="shared" si="18"/>
        <v>600000</v>
      </c>
      <c r="H115" s="205">
        <v>0</v>
      </c>
      <c r="I115" s="103">
        <f>H115</f>
        <v>0</v>
      </c>
      <c r="J115" s="223">
        <v>600000</v>
      </c>
      <c r="K115" s="103">
        <f>J115</f>
        <v>600000</v>
      </c>
      <c r="L115" s="110">
        <v>600000</v>
      </c>
      <c r="M115" s="87">
        <f t="shared" si="20"/>
        <v>600000</v>
      </c>
      <c r="N115" s="75">
        <v>600000</v>
      </c>
      <c r="O115" s="170">
        <f t="shared" si="22"/>
        <v>600000</v>
      </c>
      <c r="P115" s="245">
        <v>0</v>
      </c>
      <c r="Q115" s="87">
        <f t="shared" si="21"/>
        <v>0</v>
      </c>
      <c r="R115" s="205">
        <v>100000</v>
      </c>
      <c r="S115" s="103">
        <f>R115</f>
        <v>100000</v>
      </c>
    </row>
    <row r="116" spans="1:19" x14ac:dyDescent="0.35">
      <c r="B116" s="107" t="s">
        <v>101</v>
      </c>
      <c r="C116" s="163"/>
      <c r="D116" s="163" t="s">
        <v>183</v>
      </c>
      <c r="E116" s="176" t="s">
        <v>161</v>
      </c>
      <c r="F116" s="75">
        <v>75000</v>
      </c>
      <c r="G116" s="16">
        <f t="shared" si="18"/>
        <v>75000</v>
      </c>
      <c r="H116" s="206">
        <v>0</v>
      </c>
      <c r="I116" s="16">
        <f>H116</f>
        <v>0</v>
      </c>
      <c r="J116" s="224">
        <v>75000</v>
      </c>
      <c r="K116" s="16">
        <f>J116</f>
        <v>75000</v>
      </c>
      <c r="L116" s="108">
        <v>75000</v>
      </c>
      <c r="M116" s="87">
        <f t="shared" si="20"/>
        <v>75000</v>
      </c>
      <c r="N116" s="75">
        <v>75000</v>
      </c>
      <c r="O116" s="16">
        <f t="shared" si="22"/>
        <v>75000</v>
      </c>
      <c r="P116" s="246">
        <v>0</v>
      </c>
      <c r="Q116" s="87">
        <f t="shared" si="21"/>
        <v>0</v>
      </c>
      <c r="R116" s="206">
        <v>0</v>
      </c>
      <c r="S116" s="16">
        <f>R116</f>
        <v>0</v>
      </c>
    </row>
    <row r="117" spans="1:19" x14ac:dyDescent="0.35">
      <c r="B117" s="3" t="s">
        <v>69</v>
      </c>
      <c r="C117" s="319"/>
      <c r="D117" s="134" t="s">
        <v>182</v>
      </c>
      <c r="E117" s="176" t="s">
        <v>114</v>
      </c>
      <c r="F117" s="75">
        <v>36000</v>
      </c>
      <c r="G117" s="16">
        <f t="shared" si="18"/>
        <v>36000</v>
      </c>
      <c r="H117" s="75">
        <v>36000</v>
      </c>
      <c r="I117" s="16">
        <f>H117</f>
        <v>36000</v>
      </c>
      <c r="J117" s="75">
        <v>36000</v>
      </c>
      <c r="K117" s="16">
        <f>J117</f>
        <v>36000</v>
      </c>
      <c r="L117" s="53">
        <v>36000</v>
      </c>
      <c r="M117" s="87">
        <f t="shared" si="20"/>
        <v>36000</v>
      </c>
      <c r="N117" s="75">
        <v>36000</v>
      </c>
      <c r="O117" s="16">
        <f t="shared" si="22"/>
        <v>36000</v>
      </c>
      <c r="P117" s="53">
        <v>36000</v>
      </c>
      <c r="Q117" s="87">
        <f t="shared" si="21"/>
        <v>36000</v>
      </c>
      <c r="R117" s="75">
        <v>36000</v>
      </c>
      <c r="S117" s="16">
        <f>R117</f>
        <v>36000</v>
      </c>
    </row>
    <row r="118" spans="1:19" x14ac:dyDescent="0.35">
      <c r="B118" s="26" t="s">
        <v>70</v>
      </c>
      <c r="C118" s="164"/>
      <c r="D118" s="164"/>
      <c r="E118" s="186"/>
      <c r="F118" s="78">
        <v>0</v>
      </c>
      <c r="G118" s="15">
        <f t="shared" si="18"/>
        <v>0</v>
      </c>
      <c r="H118" s="78">
        <v>0</v>
      </c>
      <c r="I118" s="15">
        <f>G118</f>
        <v>0</v>
      </c>
      <c r="J118" s="78">
        <v>0</v>
      </c>
      <c r="K118" s="15">
        <f>I118</f>
        <v>0</v>
      </c>
      <c r="L118" s="52">
        <v>0</v>
      </c>
      <c r="M118" s="16">
        <f>K118</f>
        <v>0</v>
      </c>
      <c r="N118" s="78">
        <v>0</v>
      </c>
      <c r="O118" s="15">
        <f t="shared" si="22"/>
        <v>0</v>
      </c>
      <c r="P118" s="52">
        <v>0</v>
      </c>
      <c r="Q118" s="16">
        <f>O118</f>
        <v>0</v>
      </c>
      <c r="R118" s="78">
        <v>0</v>
      </c>
      <c r="S118" s="15">
        <f>M118</f>
        <v>0</v>
      </c>
    </row>
    <row r="119" spans="1:19" x14ac:dyDescent="0.35">
      <c r="B119" s="3" t="s">
        <v>71</v>
      </c>
      <c r="C119" s="319"/>
      <c r="D119" s="134" t="s">
        <v>184</v>
      </c>
      <c r="E119" s="176"/>
      <c r="F119" s="79">
        <v>1.2800000000000001E-2</v>
      </c>
      <c r="G119" s="15">
        <f>Table32[[#This Row],[Base Variables ]]*G29</f>
        <v>40320</v>
      </c>
      <c r="H119" s="79">
        <v>1.2800000000000001E-2</v>
      </c>
      <c r="I119" s="15">
        <f>Table32[[#This Row],[P1 Adjusted variables ]]*I29</f>
        <v>40320</v>
      </c>
      <c r="J119" s="228">
        <v>0</v>
      </c>
      <c r="K119" s="15">
        <f>J119*K29</f>
        <v>0</v>
      </c>
      <c r="L119" s="247">
        <v>1.2800000000000001E-2</v>
      </c>
      <c r="M119" s="16">
        <f>L119*M29</f>
        <v>40320</v>
      </c>
      <c r="N119" s="79">
        <v>1.2800000000000001E-2</v>
      </c>
      <c r="O119" s="15">
        <f>Table32[[#This Row],[Base Variables ]]*O29</f>
        <v>0</v>
      </c>
      <c r="P119" s="248">
        <v>0</v>
      </c>
      <c r="Q119" s="16">
        <f>P119*Q29</f>
        <v>0</v>
      </c>
      <c r="R119" s="79">
        <v>1.2800000000000001E-2</v>
      </c>
      <c r="S119" s="15">
        <f>M119</f>
        <v>40320</v>
      </c>
    </row>
    <row r="120" spans="1:19" x14ac:dyDescent="0.35">
      <c r="B120" s="25" t="s">
        <v>85</v>
      </c>
      <c r="C120" s="156"/>
      <c r="D120" s="156" t="s">
        <v>130</v>
      </c>
      <c r="E120" s="185"/>
      <c r="F120" s="76">
        <v>143242.57</v>
      </c>
      <c r="G120" s="16">
        <f>SUM(G121:G123)</f>
        <v>170000</v>
      </c>
      <c r="H120" s="76">
        <v>143242.57</v>
      </c>
      <c r="I120" s="16">
        <f>SUM(I121:I123)</f>
        <v>170000</v>
      </c>
      <c r="J120" s="76">
        <v>143242.57</v>
      </c>
      <c r="K120" s="16">
        <f>SUM(K121:K123)</f>
        <v>170000</v>
      </c>
      <c r="L120" s="54">
        <v>143242.57</v>
      </c>
      <c r="M120" s="16">
        <f>SUM(M121:M123)</f>
        <v>170000</v>
      </c>
      <c r="N120" s="76">
        <v>143242.57</v>
      </c>
      <c r="O120" s="16">
        <f>SUM(O121:O123)</f>
        <v>170000</v>
      </c>
      <c r="P120" s="54">
        <v>143242.57</v>
      </c>
      <c r="Q120" s="16">
        <f>SUM(Q121:Q123)</f>
        <v>170000</v>
      </c>
      <c r="R120" s="76">
        <v>143242.57</v>
      </c>
      <c r="S120" s="16">
        <f>SUM(S121:S123)</f>
        <v>170000</v>
      </c>
    </row>
    <row r="121" spans="1:19" x14ac:dyDescent="0.35">
      <c r="B121" s="20" t="s">
        <v>72</v>
      </c>
      <c r="C121" s="139"/>
      <c r="D121" s="139" t="s">
        <v>185</v>
      </c>
      <c r="E121" s="178" t="s">
        <v>114</v>
      </c>
      <c r="F121" s="77">
        <v>120000</v>
      </c>
      <c r="G121" s="15">
        <f t="shared" si="18"/>
        <v>120000</v>
      </c>
      <c r="H121" s="77">
        <v>120000</v>
      </c>
      <c r="I121" s="15">
        <f>G121</f>
        <v>120000</v>
      </c>
      <c r="J121" s="77">
        <v>120000</v>
      </c>
      <c r="K121" s="15">
        <f>I121</f>
        <v>120000</v>
      </c>
      <c r="L121" s="48">
        <v>120000</v>
      </c>
      <c r="M121" s="16">
        <f>K121</f>
        <v>120000</v>
      </c>
      <c r="N121" s="77">
        <v>120000</v>
      </c>
      <c r="O121" s="15">
        <f t="shared" ref="O121:O124" si="23">N121</f>
        <v>120000</v>
      </c>
      <c r="P121" s="48">
        <v>120000</v>
      </c>
      <c r="Q121" s="16">
        <f>O121</f>
        <v>120000</v>
      </c>
      <c r="R121" s="77">
        <v>120000</v>
      </c>
      <c r="S121" s="15">
        <f>M121</f>
        <v>120000</v>
      </c>
    </row>
    <row r="122" spans="1:19" x14ac:dyDescent="0.35">
      <c r="B122" s="20" t="s">
        <v>103</v>
      </c>
      <c r="C122" s="139"/>
      <c r="D122" s="139" t="s">
        <v>186</v>
      </c>
      <c r="E122" s="178" t="s">
        <v>114</v>
      </c>
      <c r="F122" s="77">
        <v>50000</v>
      </c>
      <c r="G122" s="15">
        <f t="shared" si="18"/>
        <v>50000</v>
      </c>
      <c r="H122" s="77">
        <v>50000</v>
      </c>
      <c r="I122" s="15">
        <f>G122</f>
        <v>50000</v>
      </c>
      <c r="J122" s="77">
        <v>50000</v>
      </c>
      <c r="K122" s="15">
        <f>I122</f>
        <v>50000</v>
      </c>
      <c r="L122" s="48">
        <v>50000</v>
      </c>
      <c r="M122" s="16">
        <f>K122</f>
        <v>50000</v>
      </c>
      <c r="N122" s="77">
        <v>50000</v>
      </c>
      <c r="O122" s="15">
        <f t="shared" si="23"/>
        <v>50000</v>
      </c>
      <c r="P122" s="48">
        <v>50000</v>
      </c>
      <c r="Q122" s="16">
        <f>O122</f>
        <v>50000</v>
      </c>
      <c r="R122" s="77">
        <v>50000</v>
      </c>
      <c r="S122" s="15">
        <f>M122</f>
        <v>50000</v>
      </c>
    </row>
    <row r="123" spans="1:19" x14ac:dyDescent="0.35">
      <c r="B123" s="20" t="s">
        <v>86</v>
      </c>
      <c r="C123" s="139"/>
      <c r="D123" s="165" t="s">
        <v>146</v>
      </c>
      <c r="E123" s="178"/>
      <c r="F123" s="77">
        <v>0</v>
      </c>
      <c r="G123" s="15">
        <f t="shared" si="18"/>
        <v>0</v>
      </c>
      <c r="H123" s="77">
        <v>0</v>
      </c>
      <c r="I123" s="15">
        <f>G123</f>
        <v>0</v>
      </c>
      <c r="J123" s="77">
        <v>0</v>
      </c>
      <c r="K123" s="15">
        <f>I123</f>
        <v>0</v>
      </c>
      <c r="L123" s="48">
        <v>0</v>
      </c>
      <c r="M123" s="16">
        <f>K123</f>
        <v>0</v>
      </c>
      <c r="N123" s="77">
        <v>0</v>
      </c>
      <c r="O123" s="15">
        <f t="shared" si="23"/>
        <v>0</v>
      </c>
      <c r="P123" s="48">
        <v>0</v>
      </c>
      <c r="Q123" s="16">
        <f>O123</f>
        <v>0</v>
      </c>
      <c r="R123" s="77">
        <v>0</v>
      </c>
      <c r="S123" s="15">
        <f>M123</f>
        <v>0</v>
      </c>
    </row>
    <row r="124" spans="1:19" x14ac:dyDescent="0.35">
      <c r="B124" s="111" t="s">
        <v>73</v>
      </c>
      <c r="C124" s="327"/>
      <c r="D124" s="147" t="s">
        <v>200</v>
      </c>
      <c r="E124" s="176" t="s">
        <v>116</v>
      </c>
      <c r="F124" s="75">
        <v>50000</v>
      </c>
      <c r="G124" s="16">
        <f t="shared" si="18"/>
        <v>50000</v>
      </c>
      <c r="H124" s="112">
        <v>50000</v>
      </c>
      <c r="I124" s="16">
        <f>G124</f>
        <v>50000</v>
      </c>
      <c r="J124" s="229">
        <v>0</v>
      </c>
      <c r="K124" s="16">
        <f>J124</f>
        <v>0</v>
      </c>
      <c r="L124" s="113">
        <v>50000</v>
      </c>
      <c r="M124" s="16">
        <f>L124</f>
        <v>50000</v>
      </c>
      <c r="N124" s="75">
        <v>50000</v>
      </c>
      <c r="O124" s="16">
        <f t="shared" si="23"/>
        <v>50000</v>
      </c>
      <c r="P124" s="249">
        <v>0</v>
      </c>
      <c r="Q124" s="16">
        <f>P124</f>
        <v>0</v>
      </c>
      <c r="R124" s="112">
        <v>50000</v>
      </c>
      <c r="S124" s="16">
        <f>M124</f>
        <v>50000</v>
      </c>
    </row>
    <row r="125" spans="1:19" x14ac:dyDescent="0.35">
      <c r="B125" s="115" t="s">
        <v>74</v>
      </c>
      <c r="C125" s="330"/>
      <c r="D125" s="160" t="s">
        <v>187</v>
      </c>
      <c r="E125" s="185"/>
      <c r="F125" s="76" t="s">
        <v>212</v>
      </c>
      <c r="G125" s="167">
        <f>SUM(G126:G131)</f>
        <v>780000</v>
      </c>
      <c r="H125" s="37" t="s">
        <v>212</v>
      </c>
      <c r="I125" s="87">
        <f>SUM(I126:I131)</f>
        <v>780000</v>
      </c>
      <c r="J125" s="37" t="s">
        <v>229</v>
      </c>
      <c r="K125" s="87">
        <f>SUM(K126:K131)</f>
        <v>65000</v>
      </c>
      <c r="L125" s="43">
        <v>709283</v>
      </c>
      <c r="M125" s="87">
        <f>SUM(M126:M131)</f>
        <v>780000</v>
      </c>
      <c r="N125" s="76" t="s">
        <v>212</v>
      </c>
      <c r="O125" s="167">
        <f>SUM(O126:O131)</f>
        <v>780000</v>
      </c>
      <c r="P125" s="37" t="s">
        <v>229</v>
      </c>
      <c r="Q125" s="87">
        <f>SUM(Q126:Q131)</f>
        <v>65000</v>
      </c>
      <c r="R125" s="37" t="s">
        <v>212</v>
      </c>
      <c r="S125" s="87">
        <f>SUM(S126:S131)</f>
        <v>780000</v>
      </c>
    </row>
    <row r="126" spans="1:19" x14ac:dyDescent="0.35">
      <c r="B126" s="83" t="s">
        <v>75</v>
      </c>
      <c r="C126" s="142"/>
      <c r="D126" s="142" t="s">
        <v>188</v>
      </c>
      <c r="E126" s="178" t="s">
        <v>114</v>
      </c>
      <c r="F126" s="77">
        <v>90000</v>
      </c>
      <c r="G126" s="15">
        <f t="shared" si="18"/>
        <v>90000</v>
      </c>
      <c r="H126" s="114">
        <v>90000</v>
      </c>
      <c r="I126" s="15">
        <f t="shared" ref="I126:I136" si="24">H126</f>
        <v>90000</v>
      </c>
      <c r="J126" s="202">
        <v>9000</v>
      </c>
      <c r="K126" s="15">
        <f t="shared" ref="K126:K136" si="25">J126</f>
        <v>9000</v>
      </c>
      <c r="L126" s="93">
        <v>90000</v>
      </c>
      <c r="M126" s="16">
        <f>L126</f>
        <v>90000</v>
      </c>
      <c r="N126" s="77">
        <v>90000</v>
      </c>
      <c r="O126" s="15">
        <f t="shared" ref="O126:O135" si="26">N126</f>
        <v>90000</v>
      </c>
      <c r="P126" s="209">
        <v>9000</v>
      </c>
      <c r="Q126" s="16">
        <f>P126</f>
        <v>9000</v>
      </c>
      <c r="R126" s="114">
        <v>90000</v>
      </c>
      <c r="S126" s="15">
        <f t="shared" ref="S126:S136" si="27">R126</f>
        <v>90000</v>
      </c>
    </row>
    <row r="127" spans="1:19" x14ac:dyDescent="0.35">
      <c r="B127" s="20" t="s">
        <v>76</v>
      </c>
      <c r="C127" s="139"/>
      <c r="D127" s="139" t="s">
        <v>189</v>
      </c>
      <c r="E127" s="178" t="s">
        <v>114</v>
      </c>
      <c r="F127" s="77">
        <v>200000</v>
      </c>
      <c r="G127" s="15">
        <f t="shared" si="18"/>
        <v>200000</v>
      </c>
      <c r="H127" s="77">
        <v>200000</v>
      </c>
      <c r="I127" s="15">
        <f t="shared" si="24"/>
        <v>200000</v>
      </c>
      <c r="J127" s="203">
        <v>20000</v>
      </c>
      <c r="K127" s="15">
        <f t="shared" si="25"/>
        <v>20000</v>
      </c>
      <c r="L127" s="48">
        <v>200000</v>
      </c>
      <c r="M127" s="16">
        <f t="shared" ref="M127:M130" si="28">L127</f>
        <v>200000</v>
      </c>
      <c r="N127" s="77">
        <v>200000</v>
      </c>
      <c r="O127" s="15">
        <f t="shared" si="26"/>
        <v>200000</v>
      </c>
      <c r="P127" s="207">
        <v>20000</v>
      </c>
      <c r="Q127" s="16">
        <f t="shared" ref="Q127:Q130" si="29">P127</f>
        <v>20000</v>
      </c>
      <c r="R127" s="77">
        <v>200000</v>
      </c>
      <c r="S127" s="15">
        <f t="shared" si="27"/>
        <v>200000</v>
      </c>
    </row>
    <row r="128" spans="1:19" x14ac:dyDescent="0.35">
      <c r="B128" s="20" t="s">
        <v>77</v>
      </c>
      <c r="C128" s="139"/>
      <c r="D128" s="139" t="s">
        <v>176</v>
      </c>
      <c r="E128" s="178" t="s">
        <v>114</v>
      </c>
      <c r="F128" s="77">
        <v>35000</v>
      </c>
      <c r="G128" s="15">
        <f t="shared" si="18"/>
        <v>35000</v>
      </c>
      <c r="H128" s="77">
        <v>35000</v>
      </c>
      <c r="I128" s="15">
        <f t="shared" si="24"/>
        <v>35000</v>
      </c>
      <c r="J128" s="203">
        <v>0</v>
      </c>
      <c r="K128" s="15">
        <f t="shared" si="25"/>
        <v>0</v>
      </c>
      <c r="L128" s="48">
        <v>35000</v>
      </c>
      <c r="M128" s="16">
        <f t="shared" si="28"/>
        <v>35000</v>
      </c>
      <c r="N128" s="77">
        <v>35000</v>
      </c>
      <c r="O128" s="15">
        <f t="shared" si="26"/>
        <v>35000</v>
      </c>
      <c r="P128" s="207">
        <v>0</v>
      </c>
      <c r="Q128" s="16">
        <f t="shared" si="29"/>
        <v>0</v>
      </c>
      <c r="R128" s="77">
        <v>35000</v>
      </c>
      <c r="S128" s="15">
        <f t="shared" si="27"/>
        <v>35000</v>
      </c>
    </row>
    <row r="129" spans="2:19" x14ac:dyDescent="0.35">
      <c r="B129" s="20" t="s">
        <v>78</v>
      </c>
      <c r="C129" s="139"/>
      <c r="D129" s="139" t="s">
        <v>177</v>
      </c>
      <c r="E129" s="178" t="s">
        <v>114</v>
      </c>
      <c r="F129" s="77">
        <v>95000</v>
      </c>
      <c r="G129" s="15">
        <f t="shared" si="18"/>
        <v>95000</v>
      </c>
      <c r="H129" s="77">
        <v>95000</v>
      </c>
      <c r="I129" s="15">
        <f t="shared" si="24"/>
        <v>95000</v>
      </c>
      <c r="J129" s="203">
        <v>0</v>
      </c>
      <c r="K129" s="15">
        <f t="shared" si="25"/>
        <v>0</v>
      </c>
      <c r="L129" s="48">
        <v>95000</v>
      </c>
      <c r="M129" s="16">
        <f t="shared" si="28"/>
        <v>95000</v>
      </c>
      <c r="N129" s="77">
        <v>95000</v>
      </c>
      <c r="O129" s="15">
        <f t="shared" si="26"/>
        <v>95000</v>
      </c>
      <c r="P129" s="207">
        <v>0</v>
      </c>
      <c r="Q129" s="16">
        <f t="shared" si="29"/>
        <v>0</v>
      </c>
      <c r="R129" s="77">
        <v>95000</v>
      </c>
      <c r="S129" s="15">
        <f t="shared" si="27"/>
        <v>95000</v>
      </c>
    </row>
    <row r="130" spans="2:19" x14ac:dyDescent="0.35">
      <c r="B130" s="20" t="s">
        <v>80</v>
      </c>
      <c r="C130" s="139"/>
      <c r="D130" s="166" t="s">
        <v>190</v>
      </c>
      <c r="E130" s="178" t="s">
        <v>114</v>
      </c>
      <c r="F130" s="77">
        <v>350000</v>
      </c>
      <c r="G130" s="15">
        <f t="shared" si="18"/>
        <v>350000</v>
      </c>
      <c r="H130" s="77">
        <v>350000</v>
      </c>
      <c r="I130" s="15">
        <f t="shared" si="24"/>
        <v>350000</v>
      </c>
      <c r="J130" s="203">
        <v>35000</v>
      </c>
      <c r="K130" s="15">
        <f t="shared" si="25"/>
        <v>35000</v>
      </c>
      <c r="L130" s="48">
        <v>350000</v>
      </c>
      <c r="M130" s="16">
        <f t="shared" si="28"/>
        <v>350000</v>
      </c>
      <c r="N130" s="77">
        <v>350000</v>
      </c>
      <c r="O130" s="15">
        <f t="shared" si="26"/>
        <v>350000</v>
      </c>
      <c r="P130" s="207">
        <v>35000</v>
      </c>
      <c r="Q130" s="16">
        <f t="shared" si="29"/>
        <v>35000</v>
      </c>
      <c r="R130" s="77">
        <v>350000</v>
      </c>
      <c r="S130" s="15">
        <f t="shared" si="27"/>
        <v>350000</v>
      </c>
    </row>
    <row r="131" spans="2:19" x14ac:dyDescent="0.35">
      <c r="B131" s="20" t="s">
        <v>79</v>
      </c>
      <c r="C131" s="139"/>
      <c r="D131" s="139" t="s">
        <v>178</v>
      </c>
      <c r="E131" s="178" t="s">
        <v>114</v>
      </c>
      <c r="F131" s="77">
        <v>10000</v>
      </c>
      <c r="G131" s="15">
        <f t="shared" si="18"/>
        <v>10000</v>
      </c>
      <c r="H131" s="77">
        <v>10000</v>
      </c>
      <c r="I131" s="15">
        <f t="shared" si="24"/>
        <v>10000</v>
      </c>
      <c r="J131" s="203">
        <v>1000</v>
      </c>
      <c r="K131" s="15">
        <f t="shared" si="25"/>
        <v>1000</v>
      </c>
      <c r="L131" s="48">
        <v>10000</v>
      </c>
      <c r="M131" s="16">
        <f>L131</f>
        <v>10000</v>
      </c>
      <c r="N131" s="77">
        <v>10000</v>
      </c>
      <c r="O131" s="15">
        <f t="shared" si="26"/>
        <v>10000</v>
      </c>
      <c r="P131" s="207">
        <v>1000</v>
      </c>
      <c r="Q131" s="16">
        <f>P131</f>
        <v>1000</v>
      </c>
      <c r="R131" s="77">
        <v>10000</v>
      </c>
      <c r="S131" s="15">
        <f t="shared" si="27"/>
        <v>10000</v>
      </c>
    </row>
    <row r="132" spans="2:19" x14ac:dyDescent="0.35">
      <c r="B132" s="3" t="s">
        <v>81</v>
      </c>
      <c r="C132" s="319"/>
      <c r="D132" s="145" t="s">
        <v>191</v>
      </c>
      <c r="E132" s="176"/>
      <c r="F132" s="75">
        <v>0</v>
      </c>
      <c r="G132" s="15">
        <f t="shared" si="18"/>
        <v>0</v>
      </c>
      <c r="H132" s="75">
        <v>0</v>
      </c>
      <c r="I132" s="15">
        <f t="shared" si="24"/>
        <v>0</v>
      </c>
      <c r="J132" s="75">
        <v>0</v>
      </c>
      <c r="K132" s="15">
        <f t="shared" si="25"/>
        <v>0</v>
      </c>
      <c r="L132" s="53">
        <v>0</v>
      </c>
      <c r="M132" s="16">
        <f t="shared" ref="M132:M136" si="30">K132</f>
        <v>0</v>
      </c>
      <c r="N132" s="75">
        <v>0</v>
      </c>
      <c r="O132" s="15">
        <f t="shared" si="26"/>
        <v>0</v>
      </c>
      <c r="P132" s="53">
        <v>0</v>
      </c>
      <c r="Q132" s="16">
        <f t="shared" ref="Q132:Q136" si="31">O132</f>
        <v>0</v>
      </c>
      <c r="R132" s="75">
        <v>0</v>
      </c>
      <c r="S132" s="15">
        <f t="shared" si="27"/>
        <v>0</v>
      </c>
    </row>
    <row r="133" spans="2:19" x14ac:dyDescent="0.35">
      <c r="B133" s="3" t="s">
        <v>64</v>
      </c>
      <c r="C133" s="319"/>
      <c r="D133" s="139" t="s">
        <v>192</v>
      </c>
      <c r="E133" s="178" t="s">
        <v>114</v>
      </c>
      <c r="F133" s="75">
        <v>25000</v>
      </c>
      <c r="G133" s="16">
        <f t="shared" si="18"/>
        <v>25000</v>
      </c>
      <c r="H133" s="75">
        <v>25000</v>
      </c>
      <c r="I133" s="16">
        <f t="shared" si="24"/>
        <v>25000</v>
      </c>
      <c r="J133" s="75">
        <v>25000</v>
      </c>
      <c r="K133" s="16">
        <f t="shared" si="25"/>
        <v>25000</v>
      </c>
      <c r="L133" s="53">
        <v>25000</v>
      </c>
      <c r="M133" s="16">
        <f t="shared" si="30"/>
        <v>25000</v>
      </c>
      <c r="N133" s="75">
        <v>25000</v>
      </c>
      <c r="O133" s="16">
        <f t="shared" si="26"/>
        <v>25000</v>
      </c>
      <c r="P133" s="53">
        <v>25000</v>
      </c>
      <c r="Q133" s="16">
        <f t="shared" si="31"/>
        <v>25000</v>
      </c>
      <c r="R133" s="75">
        <v>25000</v>
      </c>
      <c r="S133" s="16">
        <f t="shared" si="27"/>
        <v>25000</v>
      </c>
    </row>
    <row r="134" spans="2:19" x14ac:dyDescent="0.35">
      <c r="B134" s="3" t="s">
        <v>82</v>
      </c>
      <c r="C134" s="319"/>
      <c r="D134" s="134" t="s">
        <v>179</v>
      </c>
      <c r="E134" s="178" t="s">
        <v>114</v>
      </c>
      <c r="F134" s="75">
        <v>20000</v>
      </c>
      <c r="G134" s="16">
        <f t="shared" si="18"/>
        <v>20000</v>
      </c>
      <c r="H134" s="75">
        <v>20000</v>
      </c>
      <c r="I134" s="16">
        <f t="shared" si="24"/>
        <v>20000</v>
      </c>
      <c r="J134" s="75">
        <v>20000</v>
      </c>
      <c r="K134" s="16">
        <f t="shared" si="25"/>
        <v>20000</v>
      </c>
      <c r="L134" s="53">
        <v>20000</v>
      </c>
      <c r="M134" s="16">
        <f t="shared" si="30"/>
        <v>20000</v>
      </c>
      <c r="N134" s="75">
        <v>20000</v>
      </c>
      <c r="O134" s="16">
        <f t="shared" si="26"/>
        <v>20000</v>
      </c>
      <c r="P134" s="53">
        <v>20000</v>
      </c>
      <c r="Q134" s="16">
        <f t="shared" si="31"/>
        <v>20000</v>
      </c>
      <c r="R134" s="75">
        <v>20000</v>
      </c>
      <c r="S134" s="16">
        <f t="shared" si="27"/>
        <v>20000</v>
      </c>
    </row>
    <row r="135" spans="2:19" x14ac:dyDescent="0.35">
      <c r="B135" s="3" t="s">
        <v>83</v>
      </c>
      <c r="C135" s="319"/>
      <c r="D135" s="134" t="s">
        <v>193</v>
      </c>
      <c r="E135" s="178" t="s">
        <v>114</v>
      </c>
      <c r="F135" s="75">
        <v>15000</v>
      </c>
      <c r="G135" s="16">
        <f t="shared" si="18"/>
        <v>15000</v>
      </c>
      <c r="H135" s="75">
        <v>15000</v>
      </c>
      <c r="I135" s="16">
        <f t="shared" si="24"/>
        <v>15000</v>
      </c>
      <c r="J135" s="75">
        <v>15000</v>
      </c>
      <c r="K135" s="16">
        <f t="shared" si="25"/>
        <v>15000</v>
      </c>
      <c r="L135" s="53">
        <v>15000</v>
      </c>
      <c r="M135" s="16">
        <f t="shared" si="30"/>
        <v>15000</v>
      </c>
      <c r="N135" s="75">
        <v>15000</v>
      </c>
      <c r="O135" s="16">
        <f t="shared" si="26"/>
        <v>15000</v>
      </c>
      <c r="P135" s="53">
        <v>15000</v>
      </c>
      <c r="Q135" s="16">
        <f t="shared" si="31"/>
        <v>15000</v>
      </c>
      <c r="R135" s="75">
        <v>15000</v>
      </c>
      <c r="S135" s="16">
        <f t="shared" si="27"/>
        <v>15000</v>
      </c>
    </row>
    <row r="136" spans="2:19" x14ac:dyDescent="0.35">
      <c r="B136" s="3" t="s">
        <v>84</v>
      </c>
      <c r="C136" s="319"/>
      <c r="D136" s="134" t="s">
        <v>189</v>
      </c>
      <c r="E136" s="178" t="s">
        <v>114</v>
      </c>
      <c r="F136" s="75">
        <v>200000</v>
      </c>
      <c r="G136" s="16">
        <f>F136</f>
        <v>200000</v>
      </c>
      <c r="H136" s="75">
        <v>200000</v>
      </c>
      <c r="I136" s="16">
        <f t="shared" si="24"/>
        <v>200000</v>
      </c>
      <c r="J136" s="75">
        <v>200000</v>
      </c>
      <c r="K136" s="16">
        <f t="shared" si="25"/>
        <v>200000</v>
      </c>
      <c r="L136" s="53">
        <v>200000</v>
      </c>
      <c r="M136" s="16">
        <f t="shared" si="30"/>
        <v>200000</v>
      </c>
      <c r="N136" s="75">
        <v>200000</v>
      </c>
      <c r="O136" s="16">
        <f>N136</f>
        <v>200000</v>
      </c>
      <c r="P136" s="53">
        <v>200000</v>
      </c>
      <c r="Q136" s="16">
        <f t="shared" si="31"/>
        <v>200000</v>
      </c>
      <c r="R136" s="75">
        <v>200000</v>
      </c>
      <c r="S136" s="16">
        <f t="shared" si="27"/>
        <v>200000</v>
      </c>
    </row>
    <row r="137" spans="2:19" ht="15.5" x14ac:dyDescent="0.35">
      <c r="B137" s="18" t="s">
        <v>144</v>
      </c>
      <c r="C137" s="18"/>
      <c r="D137" s="3"/>
      <c r="E137" s="107"/>
      <c r="F137" s="107"/>
      <c r="L137" s="44"/>
      <c r="N137" s="44"/>
      <c r="P137" s="44"/>
    </row>
  </sheetData>
  <mergeCells count="12">
    <mergeCell ref="N8:O8"/>
    <mergeCell ref="N9:O11"/>
    <mergeCell ref="R9:S11"/>
    <mergeCell ref="R8:S8"/>
    <mergeCell ref="H8:I8"/>
    <mergeCell ref="H9:I11"/>
    <mergeCell ref="J8:K8"/>
    <mergeCell ref="J9:K11"/>
    <mergeCell ref="L8:M8"/>
    <mergeCell ref="L9:M11"/>
    <mergeCell ref="P8:Q8"/>
    <mergeCell ref="P9:Q11"/>
  </mergeCells>
  <phoneticPr fontId="7" type="noConversion"/>
  <conditionalFormatting sqref="H28">
    <cfRule type="cellIs" dxfId="29" priority="6" operator="greaterThan">
      <formula>$F28</formula>
    </cfRule>
  </conditionalFormatting>
  <conditionalFormatting sqref="H29">
    <cfRule type="expression" dxfId="28" priority="5">
      <formula>IF(H29&gt;F29,Ture,FALSE)</formula>
    </cfRule>
  </conditionalFormatting>
  <conditionalFormatting sqref="J28">
    <cfRule type="cellIs" dxfId="27" priority="4" operator="greaterThan">
      <formula>$F28</formula>
    </cfRule>
  </conditionalFormatting>
  <conditionalFormatting sqref="J29">
    <cfRule type="expression" dxfId="26" priority="3">
      <formula>IF(J29&gt;H29,Ture,FALSE)</formula>
    </cfRule>
  </conditionalFormatting>
  <conditionalFormatting sqref="R28">
    <cfRule type="cellIs" dxfId="25" priority="2" operator="greaterThan">
      <formula>$F28</formula>
    </cfRule>
  </conditionalFormatting>
  <conditionalFormatting sqref="R29">
    <cfRule type="expression" dxfId="24" priority="1">
      <formula>IF(R29&gt;L29,Ture,FALSE)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0478-6948-4950-B837-5BD08603DB90}">
  <dimension ref="A1:AA143"/>
  <sheetViews>
    <sheetView topLeftCell="A23" workbookViewId="0">
      <selection activeCell="J33" sqref="J33"/>
    </sheetView>
  </sheetViews>
  <sheetFormatPr defaultRowHeight="14.5" x14ac:dyDescent="0.35"/>
  <cols>
    <col min="1" max="1" width="10" bestFit="1" customWidth="1"/>
    <col min="2" max="2" width="40.1796875" bestFit="1" customWidth="1"/>
    <col min="3" max="3" width="17.26953125" bestFit="1" customWidth="1"/>
    <col min="4" max="4" width="19.81640625" customWidth="1"/>
    <col min="5" max="5" width="14.7265625" bestFit="1" customWidth="1"/>
    <col min="6" max="6" width="11.90625" bestFit="1" customWidth="1"/>
    <col min="7" max="7" width="12.26953125" customWidth="1"/>
    <col min="8" max="8" width="13.08984375" bestFit="1" customWidth="1"/>
    <col min="9" max="9" width="13.08984375" customWidth="1"/>
    <col min="10" max="10" width="11.90625" customWidth="1"/>
    <col min="11" max="11" width="14.6328125" bestFit="1" customWidth="1"/>
    <col min="12" max="13" width="14.6328125" customWidth="1"/>
    <col min="14" max="15" width="18.7265625" customWidth="1"/>
    <col min="16" max="16" width="17.08984375" bestFit="1" customWidth="1"/>
    <col min="17" max="19" width="8.26953125" customWidth="1"/>
    <col min="20" max="20" width="11" bestFit="1" customWidth="1"/>
  </cols>
  <sheetData>
    <row r="1" spans="2:15" x14ac:dyDescent="0.35">
      <c r="D1" s="269"/>
      <c r="E1" s="269"/>
      <c r="F1" s="268"/>
    </row>
    <row r="2" spans="2:15" x14ac:dyDescent="0.35">
      <c r="D2" s="6"/>
      <c r="J2" s="6"/>
    </row>
    <row r="3" spans="2:15" ht="13.5" customHeight="1" x14ac:dyDescent="0.35">
      <c r="B3" s="1" t="s">
        <v>263</v>
      </c>
      <c r="C3" s="1"/>
      <c r="D3" s="287"/>
      <c r="E3" s="287"/>
      <c r="F3" s="287"/>
      <c r="G3" s="287"/>
      <c r="H3" s="287"/>
      <c r="I3" s="287"/>
      <c r="J3" s="288"/>
    </row>
    <row r="4" spans="2:15" ht="15.5" x14ac:dyDescent="0.35">
      <c r="B4" t="s">
        <v>264</v>
      </c>
      <c r="D4" s="289"/>
      <c r="E4" s="290">
        <v>62632</v>
      </c>
      <c r="F4" s="291"/>
      <c r="G4" s="292"/>
      <c r="H4">
        <v>52934</v>
      </c>
      <c r="J4" s="292"/>
      <c r="K4">
        <v>61152</v>
      </c>
      <c r="N4" s="293">
        <v>83236</v>
      </c>
      <c r="O4" s="293"/>
    </row>
    <row r="5" spans="2:15" ht="15.5" x14ac:dyDescent="0.35">
      <c r="B5" t="s">
        <v>265</v>
      </c>
      <c r="D5" s="289"/>
      <c r="E5" s="290"/>
      <c r="F5" s="291"/>
      <c r="G5" s="292"/>
      <c r="J5" s="292"/>
      <c r="N5" s="293">
        <v>4400</v>
      </c>
      <c r="O5" s="293"/>
    </row>
    <row r="6" spans="2:15" ht="15.5" x14ac:dyDescent="0.35">
      <c r="B6" t="s">
        <v>266</v>
      </c>
      <c r="D6" s="289"/>
      <c r="E6" s="290"/>
      <c r="F6" s="291"/>
      <c r="G6" s="292"/>
      <c r="J6" s="292"/>
      <c r="N6" s="293">
        <v>2907</v>
      </c>
      <c r="O6" s="293"/>
    </row>
    <row r="7" spans="2:15" ht="15.5" x14ac:dyDescent="0.35">
      <c r="B7" t="s">
        <v>267</v>
      </c>
      <c r="D7" s="289"/>
      <c r="E7" s="290"/>
      <c r="F7" s="291"/>
      <c r="G7" s="292"/>
      <c r="J7" s="292"/>
      <c r="N7" s="293">
        <v>21826</v>
      </c>
      <c r="O7" s="293"/>
    </row>
    <row r="8" spans="2:15" x14ac:dyDescent="0.35">
      <c r="B8" t="s">
        <v>268</v>
      </c>
      <c r="E8">
        <v>58587</v>
      </c>
      <c r="H8">
        <v>49233</v>
      </c>
      <c r="K8">
        <v>53711.05</v>
      </c>
    </row>
    <row r="9" spans="2:15" x14ac:dyDescent="0.35">
      <c r="B9" t="s">
        <v>269</v>
      </c>
      <c r="E9">
        <v>4045</v>
      </c>
      <c r="H9">
        <v>3701</v>
      </c>
      <c r="K9">
        <v>10192</v>
      </c>
    </row>
    <row r="10" spans="2:15" x14ac:dyDescent="0.35">
      <c r="B10" t="s">
        <v>270</v>
      </c>
      <c r="D10" t="s">
        <v>271</v>
      </c>
      <c r="E10">
        <v>10961</v>
      </c>
      <c r="H10">
        <v>9263.4500000000007</v>
      </c>
      <c r="K10">
        <v>10701.6</v>
      </c>
    </row>
    <row r="11" spans="2:15" x14ac:dyDescent="0.35">
      <c r="B11" t="s">
        <v>108</v>
      </c>
      <c r="E11">
        <v>6</v>
      </c>
      <c r="H11">
        <v>6</v>
      </c>
      <c r="K11">
        <v>6</v>
      </c>
      <c r="N11">
        <v>7</v>
      </c>
    </row>
    <row r="12" spans="2:15" x14ac:dyDescent="0.35">
      <c r="B12" t="s">
        <v>272</v>
      </c>
      <c r="E12">
        <v>102</v>
      </c>
      <c r="H12">
        <v>91</v>
      </c>
      <c r="K12">
        <v>100</v>
      </c>
      <c r="N12">
        <v>156</v>
      </c>
    </row>
    <row r="13" spans="2:15" x14ac:dyDescent="0.35">
      <c r="B13" t="s">
        <v>2</v>
      </c>
      <c r="C13">
        <v>300</v>
      </c>
      <c r="E13">
        <v>3</v>
      </c>
      <c r="H13">
        <v>1</v>
      </c>
      <c r="K13">
        <v>3</v>
      </c>
    </row>
    <row r="14" spans="2:15" x14ac:dyDescent="0.35">
      <c r="B14" t="s">
        <v>273</v>
      </c>
      <c r="E14">
        <v>105</v>
      </c>
      <c r="H14">
        <v>92</v>
      </c>
      <c r="K14">
        <v>103</v>
      </c>
    </row>
    <row r="15" spans="2:15" x14ac:dyDescent="0.35">
      <c r="B15" t="s">
        <v>167</v>
      </c>
    </row>
    <row r="16" spans="2:15" x14ac:dyDescent="0.35">
      <c r="B16" t="s">
        <v>168</v>
      </c>
    </row>
    <row r="17" spans="2:27" x14ac:dyDescent="0.35">
      <c r="B17" t="s">
        <v>169</v>
      </c>
    </row>
    <row r="18" spans="2:27" x14ac:dyDescent="0.35">
      <c r="B18" t="s">
        <v>173</v>
      </c>
    </row>
    <row r="19" spans="2:27" x14ac:dyDescent="0.35">
      <c r="B19" t="s">
        <v>113</v>
      </c>
      <c r="E19" s="2">
        <v>33485773.987150773</v>
      </c>
      <c r="F19" s="2"/>
      <c r="H19" s="2">
        <v>30863550.892999999</v>
      </c>
      <c r="I19" s="2"/>
      <c r="K19" s="2">
        <v>36414874.422999918</v>
      </c>
      <c r="L19" s="2"/>
      <c r="M19" s="2"/>
      <c r="N19" s="2">
        <v>42837797</v>
      </c>
      <c r="O19" s="2"/>
      <c r="S19">
        <v>1.1798666507702127</v>
      </c>
      <c r="U19" t="s">
        <v>274</v>
      </c>
    </row>
    <row r="20" spans="2:27" x14ac:dyDescent="0.35">
      <c r="B20" t="s">
        <v>275</v>
      </c>
      <c r="C20" s="2">
        <v>335975.99420297053</v>
      </c>
      <c r="E20" s="6">
        <v>318912.13321095973</v>
      </c>
      <c r="F20" s="6"/>
      <c r="G20" s="6"/>
      <c r="H20" s="6">
        <v>335473.3792717391</v>
      </c>
      <c r="I20" s="6"/>
      <c r="J20" s="6"/>
      <c r="K20" s="6">
        <v>353542.47012621281</v>
      </c>
      <c r="L20" s="6"/>
      <c r="M20" s="6"/>
      <c r="N20" s="6">
        <v>274601.26282051281</v>
      </c>
      <c r="O20" s="6"/>
    </row>
    <row r="21" spans="2:27" x14ac:dyDescent="0.35">
      <c r="B21" s="294" t="s">
        <v>276</v>
      </c>
      <c r="C21" s="294"/>
      <c r="E21" s="6">
        <v>285578.79987762641</v>
      </c>
      <c r="F21" s="6"/>
      <c r="G21" s="6"/>
      <c r="H21" s="6">
        <v>335473.3792717391</v>
      </c>
      <c r="I21" s="6"/>
      <c r="J21" s="6"/>
      <c r="K21" s="6">
        <v>324704.85847572738</v>
      </c>
      <c r="L21" s="6"/>
      <c r="M21" s="6"/>
      <c r="N21" s="6"/>
      <c r="O21" s="6"/>
      <c r="Q21" t="s">
        <v>277</v>
      </c>
      <c r="R21" t="s">
        <v>278</v>
      </c>
    </row>
    <row r="22" spans="2:27" x14ac:dyDescent="0.35">
      <c r="B22" s="294" t="s">
        <v>279</v>
      </c>
      <c r="C22" s="294"/>
      <c r="E22" s="6">
        <v>177516.65686274509</v>
      </c>
      <c r="F22" s="6"/>
      <c r="G22" s="6"/>
      <c r="H22" s="6">
        <v>206290.81318681317</v>
      </c>
      <c r="I22" s="6"/>
      <c r="J22" s="6"/>
      <c r="K22" s="6">
        <v>229165.22000000003</v>
      </c>
      <c r="L22" s="6"/>
      <c r="M22" s="6"/>
      <c r="N22" s="6"/>
      <c r="O22" s="6"/>
    </row>
    <row r="23" spans="2:27" x14ac:dyDescent="0.35"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2:27" ht="15.5" x14ac:dyDescent="0.35">
      <c r="B24" s="1" t="s">
        <v>0</v>
      </c>
      <c r="C24" s="291" t="s">
        <v>280</v>
      </c>
      <c r="D24" t="s">
        <v>281</v>
      </c>
      <c r="E24" t="s">
        <v>282</v>
      </c>
      <c r="F24" t="s">
        <v>283</v>
      </c>
      <c r="G24" t="s">
        <v>284</v>
      </c>
      <c r="H24" t="s">
        <v>282</v>
      </c>
      <c r="J24" t="s">
        <v>285</v>
      </c>
      <c r="K24" t="s">
        <v>282</v>
      </c>
      <c r="M24" t="s">
        <v>286</v>
      </c>
      <c r="P24" t="s">
        <v>287</v>
      </c>
      <c r="T24" t="s">
        <v>288</v>
      </c>
    </row>
    <row r="25" spans="2:27" ht="15.5" x14ac:dyDescent="0.35">
      <c r="B25" s="295" t="s">
        <v>3</v>
      </c>
      <c r="C25" t="s">
        <v>270</v>
      </c>
      <c r="D25" s="296">
        <v>0.10452199794883126</v>
      </c>
      <c r="E25" s="297">
        <v>3500000</v>
      </c>
      <c r="F25" s="298">
        <v>319.31393121065594</v>
      </c>
      <c r="G25" s="296">
        <v>0</v>
      </c>
      <c r="H25" s="299">
        <v>0</v>
      </c>
      <c r="I25" s="299">
        <v>0</v>
      </c>
      <c r="J25" s="300">
        <v>8.1567602444454726E-2</v>
      </c>
      <c r="K25" s="2">
        <v>2970274</v>
      </c>
      <c r="L25" s="7">
        <v>277.55419750317708</v>
      </c>
      <c r="M25" s="300">
        <v>5.7200000000000001E-2</v>
      </c>
      <c r="N25" s="7">
        <v>2450321.9884000001</v>
      </c>
      <c r="O25" s="7">
        <v>104.94</v>
      </c>
      <c r="P25" s="301">
        <v>2.2954395504376529E-2</v>
      </c>
      <c r="Q25" s="301" t="s">
        <v>308</v>
      </c>
      <c r="R25" s="301"/>
      <c r="S25" s="301"/>
      <c r="T25" s="2">
        <v>529726</v>
      </c>
      <c r="U25" s="4">
        <v>0.15135028571428571</v>
      </c>
    </row>
    <row r="26" spans="2:27" ht="15.5" x14ac:dyDescent="0.35">
      <c r="B26" s="295" t="s">
        <v>289</v>
      </c>
      <c r="D26" s="296"/>
      <c r="E26" s="297"/>
      <c r="F26" s="298"/>
      <c r="G26" s="296"/>
      <c r="H26" s="299"/>
      <c r="I26" s="299"/>
      <c r="J26" s="300"/>
      <c r="K26" s="2"/>
      <c r="L26" s="7"/>
      <c r="M26" s="300">
        <v>2.3E-3</v>
      </c>
      <c r="N26" s="7">
        <v>98526.933099999995</v>
      </c>
      <c r="O26" s="7"/>
      <c r="P26" s="301"/>
      <c r="Q26" s="301"/>
      <c r="R26" s="301"/>
      <c r="S26" s="301"/>
      <c r="T26" s="2"/>
      <c r="U26" s="4"/>
    </row>
    <row r="27" spans="2:27" ht="15.5" x14ac:dyDescent="0.35">
      <c r="B27" s="295" t="s">
        <v>4</v>
      </c>
      <c r="C27" s="302" t="s">
        <v>290</v>
      </c>
      <c r="D27" s="296">
        <v>0</v>
      </c>
      <c r="E27" s="297">
        <v>0</v>
      </c>
      <c r="F27" s="298">
        <v>0</v>
      </c>
      <c r="G27" s="296">
        <v>0</v>
      </c>
      <c r="H27" s="299">
        <v>0</v>
      </c>
      <c r="I27" s="299">
        <v>0</v>
      </c>
      <c r="J27" s="300">
        <v>0</v>
      </c>
      <c r="K27" s="2">
        <v>0</v>
      </c>
      <c r="L27" s="7">
        <v>0</v>
      </c>
      <c r="M27" s="300">
        <v>0</v>
      </c>
      <c r="N27" s="7">
        <v>0</v>
      </c>
      <c r="O27" s="7"/>
      <c r="P27" s="301">
        <v>0</v>
      </c>
      <c r="Q27" s="301" t="s">
        <v>308</v>
      </c>
      <c r="R27" s="301"/>
      <c r="S27" s="301"/>
      <c r="T27" s="2">
        <v>0</v>
      </c>
      <c r="U27" s="4" t="s">
        <v>309</v>
      </c>
      <c r="Z27" t="s">
        <v>291</v>
      </c>
    </row>
    <row r="28" spans="2:27" ht="15.5" x14ac:dyDescent="0.35">
      <c r="B28" s="302" t="s">
        <v>292</v>
      </c>
      <c r="C28" s="302"/>
      <c r="D28" s="296"/>
      <c r="E28" s="297"/>
      <c r="F28" s="298"/>
      <c r="G28" s="296"/>
      <c r="H28" s="299"/>
      <c r="I28" s="299"/>
      <c r="J28" s="300"/>
      <c r="K28" s="2"/>
      <c r="L28" s="7"/>
      <c r="M28" s="300">
        <v>4.6999999999999999E-4</v>
      </c>
      <c r="N28" s="7">
        <v>20133.764589999999</v>
      </c>
      <c r="O28" s="7"/>
      <c r="P28" s="301"/>
      <c r="Q28" s="301"/>
      <c r="R28" s="301"/>
      <c r="S28" s="301"/>
      <c r="T28" s="2"/>
      <c r="U28" s="4"/>
    </row>
    <row r="29" spans="2:27" ht="15.5" x14ac:dyDescent="0.35">
      <c r="B29" s="1" t="s">
        <v>1</v>
      </c>
      <c r="C29" s="1"/>
      <c r="D29" s="296">
        <v>0</v>
      </c>
      <c r="E29" s="297">
        <v>0</v>
      </c>
      <c r="F29" s="298" t="e">
        <v>#N/A</v>
      </c>
      <c r="G29" s="296">
        <v>0</v>
      </c>
      <c r="H29" s="299">
        <v>0</v>
      </c>
      <c r="I29" s="299" t="e">
        <v>#N/A</v>
      </c>
      <c r="J29" s="300">
        <v>0</v>
      </c>
      <c r="K29" s="2">
        <v>0</v>
      </c>
      <c r="L29" s="7" t="e">
        <v>#N/A</v>
      </c>
      <c r="M29" s="300">
        <v>0</v>
      </c>
      <c r="N29" s="7">
        <v>0</v>
      </c>
      <c r="O29" s="7"/>
      <c r="P29" s="301">
        <v>0</v>
      </c>
      <c r="Q29" s="301" t="s">
        <v>308</v>
      </c>
      <c r="R29" s="301"/>
      <c r="S29" s="301"/>
      <c r="T29" s="2">
        <v>0</v>
      </c>
      <c r="U29" s="4" t="s">
        <v>309</v>
      </c>
    </row>
    <row r="30" spans="2:27" ht="15.5" x14ac:dyDescent="0.35">
      <c r="B30" s="295" t="s">
        <v>20</v>
      </c>
      <c r="C30" s="302" t="s">
        <v>270</v>
      </c>
      <c r="D30" s="296">
        <v>4.4798725589428783E-3</v>
      </c>
      <c r="E30" s="297">
        <v>150012</v>
      </c>
      <c r="F30" s="298">
        <v>13.685977556792263</v>
      </c>
      <c r="G30" s="296">
        <v>0</v>
      </c>
      <c r="H30" s="299">
        <v>0</v>
      </c>
      <c r="I30" s="299">
        <v>0</v>
      </c>
      <c r="J30" s="300">
        <v>0</v>
      </c>
      <c r="K30" s="2">
        <v>0</v>
      </c>
      <c r="L30" s="7">
        <v>0</v>
      </c>
      <c r="M30" s="300"/>
      <c r="N30" s="7">
        <v>0</v>
      </c>
      <c r="O30" s="7"/>
      <c r="P30" s="301">
        <v>4.4798725589428783E-3</v>
      </c>
      <c r="Q30" s="301" t="s">
        <v>308</v>
      </c>
      <c r="R30" s="301"/>
      <c r="S30" s="301"/>
      <c r="T30" s="2">
        <v>150012</v>
      </c>
      <c r="U30" s="4">
        <v>1</v>
      </c>
    </row>
    <row r="31" spans="2:27" ht="15.5" x14ac:dyDescent="0.35">
      <c r="B31" s="295" t="s">
        <v>5</v>
      </c>
      <c r="C31" s="302" t="s">
        <v>264</v>
      </c>
      <c r="D31" s="296">
        <v>1.3883507670403327E-3</v>
      </c>
      <c r="E31" s="297">
        <v>46490</v>
      </c>
      <c r="F31" s="298">
        <v>0.74227232085834716</v>
      </c>
      <c r="G31" s="296">
        <v>0</v>
      </c>
      <c r="H31" s="299">
        <v>0</v>
      </c>
      <c r="I31" s="299">
        <v>0</v>
      </c>
      <c r="J31" s="300">
        <v>0</v>
      </c>
      <c r="K31" s="2">
        <v>0</v>
      </c>
      <c r="L31" s="7">
        <v>0</v>
      </c>
      <c r="M31" s="300"/>
      <c r="N31" s="7">
        <v>0</v>
      </c>
      <c r="O31" s="7"/>
      <c r="P31" s="301">
        <v>1.3883507670403327E-3</v>
      </c>
      <c r="Q31" s="301" t="s">
        <v>308</v>
      </c>
      <c r="R31" s="301"/>
      <c r="S31" s="301"/>
      <c r="T31" s="2">
        <v>46490</v>
      </c>
      <c r="U31" s="4">
        <v>1</v>
      </c>
      <c r="Y31" t="s">
        <v>293</v>
      </c>
      <c r="Z31" t="s">
        <v>294</v>
      </c>
      <c r="AA31" t="s">
        <v>295</v>
      </c>
    </row>
    <row r="32" spans="2:27" ht="15.5" x14ac:dyDescent="0.35">
      <c r="B32" s="303" t="s">
        <v>296</v>
      </c>
      <c r="C32" s="304" t="s">
        <v>264</v>
      </c>
      <c r="D32" s="296">
        <v>0.5407281016394585</v>
      </c>
      <c r="E32" s="297">
        <v>18106699</v>
      </c>
      <c r="F32" s="298">
        <v>289.09661195554986</v>
      </c>
      <c r="G32" s="296">
        <v>0.60824057688895694</v>
      </c>
      <c r="H32" s="299">
        <v>18772464</v>
      </c>
      <c r="I32" s="299">
        <v>354.63905996146144</v>
      </c>
      <c r="J32" s="300">
        <v>0.54775001468635565</v>
      </c>
      <c r="K32" s="2">
        <v>19946248.000000004</v>
      </c>
      <c r="L32" s="7">
        <v>326.17490842490849</v>
      </c>
      <c r="M32" s="300"/>
      <c r="N32" s="7">
        <v>0</v>
      </c>
      <c r="O32" s="7"/>
      <c r="P32" s="301">
        <v>6.7512475249498438E-2</v>
      </c>
      <c r="Q32" s="301" t="s">
        <v>310</v>
      </c>
      <c r="R32" s="301"/>
      <c r="S32" s="301"/>
      <c r="T32" s="2">
        <v>1839549.0000000037</v>
      </c>
      <c r="U32" s="4">
        <v>9.2225314755938231E-2</v>
      </c>
      <c r="AA32" t="s">
        <v>297</v>
      </c>
    </row>
    <row r="33" spans="2:21" ht="15.5" x14ac:dyDescent="0.35">
      <c r="B33" s="305" t="s">
        <v>6</v>
      </c>
      <c r="C33" s="306" t="s">
        <v>264</v>
      </c>
      <c r="D33" s="296">
        <v>0.4586509783495914</v>
      </c>
      <c r="E33" s="297">
        <v>15358283</v>
      </c>
      <c r="F33" s="298">
        <v>245.21463469153147</v>
      </c>
      <c r="G33" s="296">
        <v>0.58907758420381706</v>
      </c>
      <c r="H33" s="299">
        <v>18181026</v>
      </c>
      <c r="I33" s="299">
        <v>343.46593871613709</v>
      </c>
      <c r="J33" s="300">
        <v>0.52950403662030621</v>
      </c>
      <c r="K33" s="2">
        <v>19281823</v>
      </c>
      <c r="L33" s="7">
        <v>315.30976909994769</v>
      </c>
      <c r="M33" s="300">
        <v>0.66510000000000002</v>
      </c>
      <c r="N33" s="7">
        <v>28491418.784700003</v>
      </c>
      <c r="O33" s="7"/>
      <c r="P33" s="301">
        <v>0.13042660585422566</v>
      </c>
      <c r="Q33" s="301" t="s">
        <v>310</v>
      </c>
      <c r="R33" s="301"/>
      <c r="S33" s="301"/>
      <c r="T33" s="2">
        <v>3923540</v>
      </c>
      <c r="U33" s="4">
        <v>0.20348387183099856</v>
      </c>
    </row>
    <row r="34" spans="2:21" ht="15.5" x14ac:dyDescent="0.35">
      <c r="B34" s="305" t="s">
        <v>7</v>
      </c>
      <c r="C34" s="306" t="s">
        <v>264</v>
      </c>
      <c r="D34" s="296">
        <v>0</v>
      </c>
      <c r="E34" s="297">
        <v>0</v>
      </c>
      <c r="F34" s="298">
        <v>0</v>
      </c>
      <c r="G34" s="296">
        <v>0</v>
      </c>
      <c r="H34" s="299">
        <v>0</v>
      </c>
      <c r="I34" s="299">
        <v>0</v>
      </c>
      <c r="J34" s="300">
        <v>0</v>
      </c>
      <c r="K34" s="2">
        <v>0</v>
      </c>
      <c r="L34" s="7">
        <v>0</v>
      </c>
      <c r="M34" s="300"/>
      <c r="N34" s="7">
        <v>0</v>
      </c>
      <c r="O34" s="7"/>
      <c r="P34" s="301">
        <v>0</v>
      </c>
      <c r="Q34" s="301" t="s">
        <v>308</v>
      </c>
      <c r="R34" s="301"/>
      <c r="S34" s="301"/>
      <c r="T34" s="2">
        <v>0</v>
      </c>
      <c r="U34" s="4" t="s">
        <v>309</v>
      </c>
    </row>
    <row r="35" spans="2:21" ht="15.5" x14ac:dyDescent="0.35">
      <c r="B35" s="305" t="s">
        <v>15</v>
      </c>
      <c r="C35" s="306" t="s">
        <v>290</v>
      </c>
      <c r="D35" s="296">
        <v>6.9069330781707109E-3</v>
      </c>
      <c r="E35" s="297">
        <v>231284</v>
      </c>
      <c r="F35" s="298">
        <v>2202.7047619047621</v>
      </c>
      <c r="G35" s="296">
        <v>0</v>
      </c>
      <c r="H35" s="299">
        <v>0</v>
      </c>
      <c r="I35" s="299">
        <v>0</v>
      </c>
      <c r="J35" s="300">
        <v>0</v>
      </c>
      <c r="K35" s="2">
        <v>0</v>
      </c>
      <c r="L35" s="7">
        <v>0</v>
      </c>
      <c r="M35" s="300">
        <v>7.4700000000000001E-3</v>
      </c>
      <c r="N35" s="7">
        <v>319998.34359</v>
      </c>
      <c r="O35" s="7"/>
      <c r="P35" s="301">
        <v>6.9069330781707109E-3</v>
      </c>
      <c r="Q35" s="301" t="s">
        <v>308</v>
      </c>
      <c r="R35" s="301"/>
      <c r="S35" s="301"/>
      <c r="T35" s="2">
        <v>231284</v>
      </c>
      <c r="U35" s="4">
        <v>1</v>
      </c>
    </row>
    <row r="36" spans="2:21" ht="15.5" x14ac:dyDescent="0.35">
      <c r="B36" s="305" t="s">
        <v>16</v>
      </c>
      <c r="C36" s="306" t="s">
        <v>290</v>
      </c>
      <c r="D36" s="296">
        <v>7.2077473882674473E-3</v>
      </c>
      <c r="E36" s="297">
        <v>241357</v>
      </c>
      <c r="F36" s="298">
        <v>2298.638095238095</v>
      </c>
      <c r="G36" s="296">
        <v>0</v>
      </c>
      <c r="H36" s="299">
        <v>0</v>
      </c>
      <c r="I36" s="299">
        <v>0</v>
      </c>
      <c r="J36" s="300">
        <v>0</v>
      </c>
      <c r="K36" s="2">
        <v>0</v>
      </c>
      <c r="L36" s="7">
        <v>0</v>
      </c>
      <c r="M36" s="300"/>
      <c r="N36" s="7">
        <v>0</v>
      </c>
      <c r="O36" s="7"/>
      <c r="P36" s="301">
        <v>7.2077473882674473E-3</v>
      </c>
      <c r="Q36" s="301" t="s">
        <v>308</v>
      </c>
      <c r="R36" s="301"/>
      <c r="S36" s="301"/>
      <c r="T36" s="2">
        <v>241357</v>
      </c>
      <c r="U36" s="4">
        <v>1</v>
      </c>
    </row>
    <row r="37" spans="2:21" ht="15.5" x14ac:dyDescent="0.35">
      <c r="B37" s="305" t="s">
        <v>8</v>
      </c>
      <c r="C37" s="306" t="s">
        <v>264</v>
      </c>
      <c r="D37" s="296">
        <v>0</v>
      </c>
      <c r="E37" s="297">
        <v>0</v>
      </c>
      <c r="F37" s="298">
        <v>0</v>
      </c>
      <c r="G37" s="296">
        <v>0</v>
      </c>
      <c r="H37" s="299">
        <v>0</v>
      </c>
      <c r="I37" s="299">
        <v>0</v>
      </c>
      <c r="J37" s="300">
        <v>0</v>
      </c>
      <c r="K37" s="2">
        <v>0</v>
      </c>
      <c r="L37" s="7">
        <v>0</v>
      </c>
      <c r="M37" s="300"/>
      <c r="N37" s="7">
        <v>0</v>
      </c>
      <c r="O37" s="7"/>
      <c r="P37" s="301">
        <v>0</v>
      </c>
      <c r="Q37" s="301" t="s">
        <v>308</v>
      </c>
      <c r="R37" s="301"/>
      <c r="S37" s="301"/>
      <c r="T37" s="2">
        <v>0</v>
      </c>
      <c r="U37" s="4" t="s">
        <v>309</v>
      </c>
    </row>
    <row r="38" spans="2:21" ht="15.5" x14ac:dyDescent="0.35">
      <c r="B38" s="305" t="s">
        <v>97</v>
      </c>
      <c r="C38" s="306" t="s">
        <v>264</v>
      </c>
      <c r="D38" s="296">
        <v>1.1085394058457146E-2</v>
      </c>
      <c r="E38" s="297">
        <v>371203</v>
      </c>
      <c r="F38" s="298">
        <v>5.926730744667263</v>
      </c>
      <c r="G38" s="296"/>
      <c r="H38" s="299">
        <v>0</v>
      </c>
      <c r="I38" s="299">
        <v>0</v>
      </c>
      <c r="J38" s="300"/>
      <c r="K38" s="2">
        <v>0</v>
      </c>
      <c r="L38" s="7">
        <v>0</v>
      </c>
      <c r="M38" s="300"/>
      <c r="N38" s="7">
        <v>0</v>
      </c>
      <c r="O38" s="7"/>
      <c r="P38" s="301">
        <v>0</v>
      </c>
      <c r="Q38" s="301" t="s">
        <v>310</v>
      </c>
      <c r="R38" s="301"/>
      <c r="S38" s="301"/>
      <c r="T38" s="2">
        <v>371203</v>
      </c>
      <c r="U38" s="4">
        <v>1</v>
      </c>
    </row>
    <row r="39" spans="2:21" ht="15.5" x14ac:dyDescent="0.35">
      <c r="B39" s="305" t="s">
        <v>98</v>
      </c>
      <c r="C39" s="306" t="s">
        <v>270</v>
      </c>
      <c r="D39" s="296">
        <v>4.0829607239319866E-2</v>
      </c>
      <c r="E39" s="297">
        <v>1367211</v>
      </c>
      <c r="F39" s="298">
        <v>124.73414834412918</v>
      </c>
      <c r="G39" s="296"/>
      <c r="H39" s="299">
        <v>0</v>
      </c>
      <c r="I39" s="299">
        <v>0</v>
      </c>
      <c r="J39" s="300"/>
      <c r="K39" s="2">
        <v>0</v>
      </c>
      <c r="L39" s="7">
        <v>0</v>
      </c>
      <c r="M39" s="300"/>
      <c r="N39" s="7">
        <v>0</v>
      </c>
      <c r="O39" s="7"/>
      <c r="P39" s="301">
        <v>0</v>
      </c>
      <c r="Q39" s="301" t="s">
        <v>310</v>
      </c>
      <c r="R39" s="301"/>
      <c r="S39" s="301"/>
      <c r="T39" s="2">
        <v>1367211</v>
      </c>
      <c r="U39" s="4">
        <v>1</v>
      </c>
    </row>
    <row r="40" spans="2:21" ht="15.5" x14ac:dyDescent="0.35">
      <c r="B40" s="305" t="s">
        <v>9</v>
      </c>
      <c r="C40" s="306" t="s">
        <v>298</v>
      </c>
      <c r="D40" s="296">
        <v>0</v>
      </c>
      <c r="E40" s="297">
        <v>0</v>
      </c>
      <c r="F40" s="298" t="e">
        <v>#N/A</v>
      </c>
      <c r="G40" s="296">
        <v>0</v>
      </c>
      <c r="H40" s="299">
        <v>0</v>
      </c>
      <c r="I40" s="299" t="e">
        <v>#N/A</v>
      </c>
      <c r="J40" s="300">
        <v>0</v>
      </c>
      <c r="K40" s="2">
        <v>0</v>
      </c>
      <c r="L40" s="7" t="e">
        <v>#N/A</v>
      </c>
      <c r="M40" s="300"/>
      <c r="N40" s="7">
        <v>0</v>
      </c>
      <c r="O40" s="7"/>
      <c r="P40" s="301">
        <v>0</v>
      </c>
      <c r="Q40" s="301" t="s">
        <v>308</v>
      </c>
      <c r="R40" s="301"/>
      <c r="S40" s="301"/>
      <c r="T40" s="2">
        <v>0</v>
      </c>
      <c r="U40" s="4" t="s">
        <v>309</v>
      </c>
    </row>
    <row r="41" spans="2:21" ht="15.5" x14ac:dyDescent="0.35">
      <c r="B41" s="305" t="s">
        <v>10</v>
      </c>
      <c r="C41" s="306" t="s">
        <v>264</v>
      </c>
      <c r="D41" s="296">
        <v>0</v>
      </c>
      <c r="E41" s="297">
        <v>0</v>
      </c>
      <c r="F41" s="298">
        <v>0</v>
      </c>
      <c r="G41" s="296">
        <v>0</v>
      </c>
      <c r="H41" s="299">
        <v>0</v>
      </c>
      <c r="I41" s="299">
        <v>0</v>
      </c>
      <c r="J41" s="300">
        <v>0</v>
      </c>
      <c r="K41" s="2">
        <v>0</v>
      </c>
      <c r="L41" s="7">
        <v>0</v>
      </c>
      <c r="M41" s="300">
        <v>5.8E-4</v>
      </c>
      <c r="N41" s="7">
        <v>24845.922259999999</v>
      </c>
      <c r="O41" s="7"/>
      <c r="P41" s="301">
        <v>0</v>
      </c>
      <c r="Q41" s="301" t="s">
        <v>308</v>
      </c>
      <c r="R41" s="301"/>
      <c r="S41" s="301"/>
      <c r="T41" s="2">
        <v>0</v>
      </c>
      <c r="U41" s="4" t="s">
        <v>309</v>
      </c>
    </row>
    <row r="42" spans="2:21" ht="15.5" x14ac:dyDescent="0.35">
      <c r="B42" s="305" t="s">
        <v>11</v>
      </c>
      <c r="C42" s="306" t="s">
        <v>270</v>
      </c>
      <c r="D42" s="296">
        <v>2.9863427985380358E-4</v>
      </c>
      <c r="E42" s="297">
        <v>10000</v>
      </c>
      <c r="F42" s="298">
        <v>0.91232551774473136</v>
      </c>
      <c r="G42" s="296">
        <v>0</v>
      </c>
      <c r="H42" s="299">
        <v>0</v>
      </c>
      <c r="I42" s="299">
        <v>0</v>
      </c>
      <c r="J42" s="300">
        <v>0</v>
      </c>
      <c r="K42" s="2">
        <v>0</v>
      </c>
      <c r="L42" s="7">
        <v>0</v>
      </c>
      <c r="M42" s="300">
        <v>1.17E-3</v>
      </c>
      <c r="N42" s="7">
        <v>50120.22249</v>
      </c>
      <c r="O42" s="7"/>
      <c r="P42" s="301">
        <v>2.9863427985380358E-4</v>
      </c>
      <c r="Q42" s="301" t="s">
        <v>308</v>
      </c>
      <c r="R42" s="301"/>
      <c r="S42" s="301"/>
      <c r="T42" s="2">
        <v>10000</v>
      </c>
      <c r="U42" s="4">
        <v>1</v>
      </c>
    </row>
    <row r="43" spans="2:21" ht="15.5" x14ac:dyDescent="0.35">
      <c r="B43" s="305" t="s">
        <v>12</v>
      </c>
      <c r="C43" s="306" t="s">
        <v>264</v>
      </c>
      <c r="D43" s="296">
        <v>0</v>
      </c>
      <c r="E43" s="297">
        <v>0</v>
      </c>
      <c r="F43" s="298">
        <v>0</v>
      </c>
      <c r="G43" s="296">
        <v>1.9162992685139834E-2</v>
      </c>
      <c r="H43" s="299">
        <v>591438</v>
      </c>
      <c r="I43" s="299">
        <v>11.173121245324365</v>
      </c>
      <c r="J43" s="300">
        <v>9.1229890330247025E-3</v>
      </c>
      <c r="K43" s="2">
        <v>332212.5</v>
      </c>
      <c r="L43" s="7">
        <v>5.4325696624803772</v>
      </c>
      <c r="M43" s="300"/>
      <c r="N43" s="7">
        <v>0</v>
      </c>
      <c r="O43" s="7"/>
      <c r="P43" s="301">
        <v>1.0040003652115131E-2</v>
      </c>
      <c r="Q43" s="301" t="s">
        <v>308</v>
      </c>
      <c r="R43" s="301"/>
      <c r="S43" s="301"/>
      <c r="T43" s="2">
        <v>259225.5</v>
      </c>
      <c r="U43" s="4">
        <v>0.43829699816379741</v>
      </c>
    </row>
    <row r="44" spans="2:21" ht="15.5" x14ac:dyDescent="0.35">
      <c r="B44" s="305" t="s">
        <v>13</v>
      </c>
      <c r="C44" s="306" t="s">
        <v>264</v>
      </c>
      <c r="D44" s="296">
        <v>1.574880724579817E-2</v>
      </c>
      <c r="E44" s="297">
        <v>527361</v>
      </c>
      <c r="F44" s="298">
        <v>8.4199929748371432</v>
      </c>
      <c r="G44" s="296">
        <v>0</v>
      </c>
      <c r="H44" s="299">
        <v>0</v>
      </c>
      <c r="I44" s="299">
        <v>0</v>
      </c>
      <c r="J44" s="300">
        <v>9.1229890330247025E-3</v>
      </c>
      <c r="K44" s="2">
        <v>332212.5</v>
      </c>
      <c r="L44" s="7">
        <v>5.4325696624803772</v>
      </c>
      <c r="M44" s="300"/>
      <c r="N44" s="7">
        <v>0</v>
      </c>
      <c r="O44" s="7"/>
      <c r="P44" s="301">
        <v>6.6258182127734676E-3</v>
      </c>
      <c r="Q44" s="301" t="s">
        <v>308</v>
      </c>
      <c r="R44" s="301"/>
      <c r="S44" s="301"/>
      <c r="T44" s="2">
        <v>195148.5</v>
      </c>
      <c r="U44" s="4">
        <v>0.37004727312031038</v>
      </c>
    </row>
    <row r="45" spans="2:21" ht="15.5" x14ac:dyDescent="0.35">
      <c r="B45" s="307" t="s">
        <v>87</v>
      </c>
      <c r="C45" s="308"/>
      <c r="D45" s="296">
        <v>0</v>
      </c>
      <c r="E45" s="297">
        <v>0</v>
      </c>
      <c r="F45" s="298" t="e">
        <v>#N/A</v>
      </c>
      <c r="G45" s="296">
        <v>0</v>
      </c>
      <c r="H45" s="299">
        <v>0</v>
      </c>
      <c r="I45" s="299" t="e">
        <v>#N/A</v>
      </c>
      <c r="J45" s="300">
        <v>0</v>
      </c>
      <c r="K45" s="2">
        <v>0</v>
      </c>
      <c r="L45" s="7" t="e">
        <v>#N/A</v>
      </c>
      <c r="M45" s="300"/>
      <c r="N45" s="7">
        <v>0</v>
      </c>
      <c r="O45" s="7"/>
      <c r="P45" s="301">
        <v>0</v>
      </c>
      <c r="Q45" s="301" t="s">
        <v>308</v>
      </c>
      <c r="R45" s="301"/>
      <c r="S45" s="301"/>
      <c r="T45" s="2">
        <v>0</v>
      </c>
      <c r="U45" s="4" t="s">
        <v>309</v>
      </c>
    </row>
    <row r="46" spans="2:21" ht="15.5" x14ac:dyDescent="0.35">
      <c r="B46" s="305" t="s">
        <v>88</v>
      </c>
      <c r="C46" s="306" t="s">
        <v>264</v>
      </c>
      <c r="D46" s="296">
        <v>2.9377878509766057E-4</v>
      </c>
      <c r="E46" s="297">
        <v>9837.41</v>
      </c>
      <c r="F46" s="298">
        <v>0.15706683484480777</v>
      </c>
      <c r="G46" s="296">
        <v>0</v>
      </c>
      <c r="H46" s="299">
        <v>0</v>
      </c>
      <c r="I46" s="299">
        <v>0</v>
      </c>
      <c r="J46" s="300">
        <v>1.6476783443774155E-3</v>
      </c>
      <c r="K46" s="2">
        <v>60000</v>
      </c>
      <c r="L46" s="7">
        <v>0.98116169544740972</v>
      </c>
      <c r="M46" s="300"/>
      <c r="N46" s="7">
        <v>0</v>
      </c>
      <c r="O46" s="7"/>
      <c r="P46" s="301">
        <v>1.3538995592797549E-3</v>
      </c>
      <c r="Q46" s="301" t="s">
        <v>308</v>
      </c>
      <c r="R46" s="301"/>
      <c r="S46" s="301"/>
      <c r="T46" s="2">
        <v>50162.59</v>
      </c>
      <c r="U46" s="4">
        <v>0.83604316666666656</v>
      </c>
    </row>
    <row r="47" spans="2:21" ht="15.5" x14ac:dyDescent="0.35">
      <c r="B47" s="305" t="s">
        <v>299</v>
      </c>
      <c r="C47" s="306" t="s">
        <v>270</v>
      </c>
      <c r="D47" s="296">
        <v>3.6709798031596717E-4</v>
      </c>
      <c r="E47" s="297">
        <v>12292.56</v>
      </c>
      <c r="F47" s="298">
        <v>1.1214816166408175</v>
      </c>
      <c r="G47" s="296">
        <v>0</v>
      </c>
      <c r="H47" s="299">
        <v>0</v>
      </c>
      <c r="I47" s="299">
        <v>0</v>
      </c>
      <c r="J47" s="300">
        <v>0</v>
      </c>
      <c r="K47" s="2">
        <v>0</v>
      </c>
      <c r="L47" s="7">
        <v>0</v>
      </c>
      <c r="M47" s="300"/>
      <c r="N47" s="7">
        <v>0</v>
      </c>
      <c r="O47" s="7"/>
      <c r="P47" s="301">
        <v>3.6709798031596717E-4</v>
      </c>
      <c r="Q47" s="301" t="s">
        <v>308</v>
      </c>
      <c r="R47" s="301"/>
      <c r="S47" s="301"/>
      <c r="T47" s="2">
        <v>12292.56</v>
      </c>
      <c r="U47" s="4">
        <v>1</v>
      </c>
    </row>
    <row r="48" spans="2:21" ht="15.5" x14ac:dyDescent="0.35">
      <c r="B48" s="309" t="s">
        <v>90</v>
      </c>
      <c r="C48" s="309"/>
      <c r="D48" s="296">
        <v>0</v>
      </c>
      <c r="E48" s="297">
        <v>0</v>
      </c>
      <c r="F48" s="310" t="e">
        <v>#N/A</v>
      </c>
      <c r="G48" s="296">
        <v>0</v>
      </c>
      <c r="H48" s="299">
        <v>0</v>
      </c>
      <c r="I48" s="299" t="e">
        <v>#N/A</v>
      </c>
      <c r="J48" s="300">
        <v>0</v>
      </c>
      <c r="K48" s="2">
        <v>0</v>
      </c>
      <c r="L48" s="7" t="e">
        <v>#N/A</v>
      </c>
      <c r="M48" s="300"/>
      <c r="N48" s="7">
        <v>0</v>
      </c>
      <c r="O48" s="7"/>
      <c r="P48" s="301">
        <v>0</v>
      </c>
      <c r="Q48" s="301" t="s">
        <v>308</v>
      </c>
      <c r="R48" s="301"/>
      <c r="S48" s="301"/>
      <c r="T48" s="2">
        <v>0</v>
      </c>
      <c r="U48" s="4" t="s">
        <v>309</v>
      </c>
    </row>
    <row r="49" spans="1:21" ht="15.5" x14ac:dyDescent="0.35">
      <c r="B49" s="311" t="s">
        <v>14</v>
      </c>
      <c r="C49" s="311" t="s">
        <v>300</v>
      </c>
      <c r="D49" s="296">
        <v>3.6824830761659287E-2</v>
      </c>
      <c r="E49" s="297">
        <v>1233107.9600000002</v>
      </c>
      <c r="F49" s="312">
        <v>6.8102306223790446E-2</v>
      </c>
      <c r="G49" s="296">
        <v>4.2576840382226991E-2</v>
      </c>
      <c r="H49" s="299">
        <v>1314072.4800000002</v>
      </c>
      <c r="I49" s="312">
        <v>4.8424703331432679E-2</v>
      </c>
      <c r="J49" s="300">
        <v>3.8342501028044894E-2</v>
      </c>
      <c r="K49" s="2">
        <v>1396237.36</v>
      </c>
      <c r="L49" s="313">
        <v>6.9999999999999993E-2</v>
      </c>
      <c r="M49" s="300">
        <v>3.703E-2</v>
      </c>
      <c r="N49" s="7">
        <v>1586283.6229099999</v>
      </c>
      <c r="O49" s="7" t="s">
        <v>301</v>
      </c>
      <c r="P49" s="301">
        <v>5.7520096205677038E-3</v>
      </c>
      <c r="Q49" s="301" t="s">
        <v>310</v>
      </c>
      <c r="R49" s="301"/>
      <c r="S49" s="301"/>
      <c r="T49" s="2">
        <v>163129.39999999991</v>
      </c>
      <c r="U49" s="4">
        <v>0.11683500576148449</v>
      </c>
    </row>
    <row r="50" spans="1:21" ht="15.5" x14ac:dyDescent="0.35">
      <c r="B50" s="311" t="s">
        <v>19</v>
      </c>
      <c r="C50" s="311" t="s">
        <v>300</v>
      </c>
      <c r="D50" s="296">
        <v>0</v>
      </c>
      <c r="E50" s="297">
        <v>0</v>
      </c>
      <c r="F50" s="312">
        <v>0</v>
      </c>
      <c r="G50" s="296">
        <v>2.9453869489987204E-2</v>
      </c>
      <c r="H50" s="299">
        <v>909051</v>
      </c>
      <c r="I50" s="312">
        <v>0</v>
      </c>
      <c r="J50" s="300">
        <v>2.7387500734317779E-2</v>
      </c>
      <c r="K50" s="2">
        <v>997312.4</v>
      </c>
      <c r="L50" s="313">
        <v>4.9999999999999989E-2</v>
      </c>
      <c r="M50" s="300"/>
      <c r="N50" s="7">
        <v>0</v>
      </c>
      <c r="O50" s="7"/>
      <c r="P50" s="301">
        <v>2.0663687556694253E-3</v>
      </c>
      <c r="Q50" s="301" t="s">
        <v>308</v>
      </c>
      <c r="R50" s="301"/>
      <c r="S50" s="301"/>
      <c r="T50" s="2">
        <v>88261.400000000023</v>
      </c>
      <c r="U50" s="4">
        <v>8.8499250585874614E-2</v>
      </c>
    </row>
    <row r="51" spans="1:21" ht="15.5" x14ac:dyDescent="0.35">
      <c r="B51" s="311" t="s">
        <v>89</v>
      </c>
      <c r="C51" s="311" t="s">
        <v>300</v>
      </c>
      <c r="D51" s="296">
        <v>5.1976400505714948E-3</v>
      </c>
      <c r="E51" s="297">
        <v>174047</v>
      </c>
      <c r="F51" s="312">
        <v>9.6122987409245613E-3</v>
      </c>
      <c r="G51" s="296">
        <v>0</v>
      </c>
      <c r="H51" s="299">
        <v>0</v>
      </c>
      <c r="I51" s="312">
        <v>0.10179002623203859</v>
      </c>
      <c r="J51" s="300">
        <v>0</v>
      </c>
      <c r="K51" s="2">
        <v>0</v>
      </c>
      <c r="L51" s="313">
        <v>0</v>
      </c>
      <c r="M51" s="300"/>
      <c r="N51" s="7">
        <v>0</v>
      </c>
      <c r="O51" s="7"/>
      <c r="P51" s="301">
        <v>5.1976400505714948E-3</v>
      </c>
      <c r="Q51" s="301" t="s">
        <v>308</v>
      </c>
      <c r="R51" s="301"/>
      <c r="S51" s="301"/>
      <c r="T51" s="2">
        <v>174047</v>
      </c>
      <c r="U51" s="4">
        <v>1</v>
      </c>
    </row>
    <row r="52" spans="1:21" ht="15.5" x14ac:dyDescent="0.35">
      <c r="A52" t="s">
        <v>302</v>
      </c>
      <c r="B52" s="309" t="s">
        <v>17</v>
      </c>
      <c r="C52" s="309" t="s">
        <v>290</v>
      </c>
      <c r="D52" s="296">
        <v>6.0904683989403324E-2</v>
      </c>
      <c r="E52" s="297">
        <v>2039440.4828280001</v>
      </c>
      <c r="F52" s="297">
        <v>19423.242693600001</v>
      </c>
      <c r="G52" s="296">
        <v>6.191282427691721E-2</v>
      </c>
      <c r="H52" s="299">
        <v>1910849.6030000001</v>
      </c>
      <c r="I52" s="298">
        <v>20770.104380434783</v>
      </c>
      <c r="J52" s="300">
        <v>6.2127897174102664E-2</v>
      </c>
      <c r="K52" s="2">
        <v>2262379.5737600001</v>
      </c>
      <c r="L52" s="7">
        <v>21964.850230679611</v>
      </c>
      <c r="M52" s="300"/>
      <c r="N52" s="7">
        <v>0</v>
      </c>
      <c r="O52" s="7"/>
      <c r="P52" s="301">
        <v>1.2232131846993399E-3</v>
      </c>
      <c r="Q52" s="301" t="s">
        <v>310</v>
      </c>
      <c r="R52" s="301"/>
      <c r="S52" s="301"/>
      <c r="T52" s="2">
        <v>351529.97075999994</v>
      </c>
      <c r="U52" s="4">
        <v>0.15538063322228848</v>
      </c>
    </row>
    <row r="53" spans="1:21" ht="15.5" x14ac:dyDescent="0.35">
      <c r="B53" s="311" t="s">
        <v>91</v>
      </c>
      <c r="C53" s="311" t="s">
        <v>303</v>
      </c>
      <c r="D53" s="296">
        <v>5.5731190466617342E-2</v>
      </c>
      <c r="E53" s="297">
        <v>1866202.0480000002</v>
      </c>
      <c r="F53" s="312">
        <v>0.10306693936868339</v>
      </c>
      <c r="G53" s="296">
        <v>0</v>
      </c>
      <c r="H53" s="299">
        <v>0</v>
      </c>
      <c r="I53" s="298" t="e">
        <v>#N/A</v>
      </c>
      <c r="J53" s="300">
        <v>5.5322751483321921E-2</v>
      </c>
      <c r="K53" s="2">
        <v>2014571.0480000002</v>
      </c>
      <c r="L53" s="313">
        <v>0.10099999999999999</v>
      </c>
      <c r="M53" s="300">
        <v>6.7930000000000004E-2</v>
      </c>
      <c r="N53" s="7">
        <v>2909971.55021</v>
      </c>
      <c r="O53" s="7"/>
      <c r="P53" s="301">
        <v>4.0843898329542133E-4</v>
      </c>
      <c r="Q53" s="301" t="s">
        <v>308</v>
      </c>
      <c r="R53" s="301"/>
      <c r="S53" s="301"/>
      <c r="T53" s="2">
        <v>148369</v>
      </c>
      <c r="U53" s="4">
        <v>7.364793619331314E-2</v>
      </c>
    </row>
    <row r="54" spans="1:21" ht="15.5" x14ac:dyDescent="0.35">
      <c r="B54" s="311" t="s">
        <v>92</v>
      </c>
      <c r="C54" s="311" t="s">
        <v>303</v>
      </c>
      <c r="D54" s="296">
        <v>5.1734935227859867E-3</v>
      </c>
      <c r="E54" s="297">
        <v>173238.434828</v>
      </c>
      <c r="F54" s="312">
        <v>0.12448795911457705</v>
      </c>
      <c r="G54" s="296">
        <v>0</v>
      </c>
      <c r="H54" s="299">
        <v>0</v>
      </c>
      <c r="I54" s="298" t="e">
        <v>#N/A</v>
      </c>
      <c r="J54" s="300">
        <v>6.8051456907807497E-3</v>
      </c>
      <c r="K54" s="2">
        <v>247808.52576000005</v>
      </c>
      <c r="L54" s="313">
        <v>0.21466204430929542</v>
      </c>
      <c r="M54" s="300"/>
      <c r="N54" s="7">
        <v>0</v>
      </c>
      <c r="O54" s="7"/>
      <c r="P54" s="301">
        <v>1.631652167994763E-3</v>
      </c>
      <c r="Q54" s="301" t="s">
        <v>308</v>
      </c>
      <c r="R54" s="301"/>
      <c r="S54" s="301"/>
      <c r="T54" s="2">
        <v>74570.09093200005</v>
      </c>
      <c r="U54" s="4">
        <v>0.30091818150042343</v>
      </c>
    </row>
    <row r="55" spans="1:21" ht="15.5" x14ac:dyDescent="0.35">
      <c r="B55" s="314" t="s">
        <v>18</v>
      </c>
      <c r="C55" s="314" t="s">
        <v>290</v>
      </c>
      <c r="D55" s="296">
        <v>3.6109961217082368E-3</v>
      </c>
      <c r="E55" s="297">
        <v>120917</v>
      </c>
      <c r="F55" s="298">
        <v>1151.5904761904762</v>
      </c>
      <c r="G55" s="296">
        <v>4.7576832785401818E-3</v>
      </c>
      <c r="H55" s="299">
        <v>146839</v>
      </c>
      <c r="I55" s="298">
        <v>1596.0760869565217</v>
      </c>
      <c r="J55" s="300">
        <v>4.0289580102831355E-3</v>
      </c>
      <c r="K55" s="2">
        <v>146714</v>
      </c>
      <c r="L55" s="7">
        <v>1424.4077669902913</v>
      </c>
      <c r="M55" s="300"/>
      <c r="N55" s="7">
        <v>0</v>
      </c>
      <c r="O55" s="7"/>
      <c r="P55" s="301">
        <v>1.146687156831945E-3</v>
      </c>
      <c r="Q55" s="301" t="s">
        <v>310</v>
      </c>
      <c r="R55" s="301"/>
      <c r="S55" s="301"/>
      <c r="T55" s="2">
        <v>25922</v>
      </c>
      <c r="U55" s="4">
        <v>0.17653348224926621</v>
      </c>
    </row>
    <row r="56" spans="1:21" ht="15.5" x14ac:dyDescent="0.35">
      <c r="B56" s="309" t="s">
        <v>21</v>
      </c>
      <c r="C56" s="309" t="s">
        <v>264</v>
      </c>
      <c r="D56" s="296">
        <v>2.0698612439597815E-2</v>
      </c>
      <c r="E56" s="297">
        <v>693109.05799999996</v>
      </c>
      <c r="F56" s="298">
        <v>11.066372748754629</v>
      </c>
      <c r="G56" s="296">
        <v>5.5599564870197644E-3</v>
      </c>
      <c r="H56" s="299">
        <v>171600</v>
      </c>
      <c r="I56" s="298">
        <v>3.2417727736426492</v>
      </c>
      <c r="J56" s="300">
        <v>4.3141711316948663E-3</v>
      </c>
      <c r="K56" s="2">
        <v>157100</v>
      </c>
      <c r="L56" s="7">
        <v>2.569008372579801</v>
      </c>
      <c r="M56" s="300"/>
      <c r="N56" s="7">
        <v>0</v>
      </c>
      <c r="O56" s="7"/>
      <c r="P56" s="301">
        <v>1.6384441307902949E-2</v>
      </c>
      <c r="Q56" s="301" t="s">
        <v>310</v>
      </c>
      <c r="R56" s="301"/>
      <c r="S56" s="301"/>
      <c r="T56" s="2">
        <v>536009.05799999996</v>
      </c>
      <c r="U56" s="4">
        <v>0.77334014295914744</v>
      </c>
    </row>
    <row r="57" spans="1:21" ht="15.5" x14ac:dyDescent="0.35">
      <c r="B57" s="311" t="s">
        <v>22</v>
      </c>
      <c r="C57" s="311" t="s">
        <v>269</v>
      </c>
      <c r="D57" s="296">
        <v>2.5383913787573303E-3</v>
      </c>
      <c r="E57" s="297">
        <v>85000</v>
      </c>
      <c r="F57" s="298">
        <v>21.013597033374538</v>
      </c>
      <c r="G57" s="296">
        <v>2.4300509121589881E-3</v>
      </c>
      <c r="H57" s="299">
        <v>75000</v>
      </c>
      <c r="I57" s="298">
        <v>20.264793299108348</v>
      </c>
      <c r="J57" s="300">
        <v>2.3342109878680055E-3</v>
      </c>
      <c r="K57" s="2">
        <v>85000</v>
      </c>
      <c r="L57" s="7">
        <v>8.3398744113029828</v>
      </c>
      <c r="M57" s="300"/>
      <c r="N57" s="7">
        <v>0</v>
      </c>
      <c r="O57" s="7"/>
      <c r="P57" s="301">
        <v>2.041803908893248E-4</v>
      </c>
      <c r="Q57" s="301" t="s">
        <v>310</v>
      </c>
      <c r="R57" s="301"/>
      <c r="S57" s="301"/>
      <c r="T57" s="2">
        <v>10000</v>
      </c>
      <c r="U57" s="4">
        <v>0.11764705882352941</v>
      </c>
    </row>
    <row r="58" spans="1:21" ht="15.5" x14ac:dyDescent="0.35">
      <c r="B58" s="311" t="s">
        <v>23</v>
      </c>
      <c r="C58" s="311" t="s">
        <v>304</v>
      </c>
      <c r="D58" s="296">
        <v>2.1949619569254565E-3</v>
      </c>
      <c r="E58" s="297">
        <v>73500</v>
      </c>
      <c r="F58" s="298">
        <v>1.2545445235291106</v>
      </c>
      <c r="G58" s="296">
        <v>3.1299055748607767E-3</v>
      </c>
      <c r="H58" s="299">
        <v>96600</v>
      </c>
      <c r="I58" s="298">
        <v>1.9620985924075316</v>
      </c>
      <c r="J58" s="300">
        <v>1.9799601438268608E-3</v>
      </c>
      <c r="K58" s="2">
        <v>72100</v>
      </c>
      <c r="L58" s="7">
        <v>1.3423680974399121</v>
      </c>
      <c r="M58" s="300"/>
      <c r="N58" s="7">
        <v>0</v>
      </c>
      <c r="O58" s="7"/>
      <c r="P58" s="301">
        <v>1.1499454310339159E-3</v>
      </c>
      <c r="Q58" s="301" t="s">
        <v>310</v>
      </c>
      <c r="R58" s="301"/>
      <c r="S58" s="301"/>
      <c r="T58" s="2">
        <v>24500</v>
      </c>
      <c r="U58" s="4">
        <v>0.25362318840579712</v>
      </c>
    </row>
    <row r="59" spans="1:21" ht="15.5" x14ac:dyDescent="0.35">
      <c r="B59" s="311" t="s">
        <v>24</v>
      </c>
      <c r="C59" s="311" t="s">
        <v>264</v>
      </c>
      <c r="D59" s="296">
        <v>9.0063607344338156E-3</v>
      </c>
      <c r="E59" s="297">
        <v>301584.96000000002</v>
      </c>
      <c r="F59" s="298">
        <v>4.8151896793971138</v>
      </c>
      <c r="G59" s="296">
        <v>0</v>
      </c>
      <c r="H59" s="299">
        <v>0</v>
      </c>
      <c r="I59" s="298">
        <v>0</v>
      </c>
      <c r="J59" s="300">
        <v>0</v>
      </c>
      <c r="K59" s="2">
        <v>0</v>
      </c>
      <c r="L59" s="7">
        <v>0</v>
      </c>
      <c r="M59" s="300"/>
      <c r="N59" s="7">
        <v>0</v>
      </c>
      <c r="O59" s="7"/>
      <c r="P59" s="301">
        <v>9.0063607344338156E-3</v>
      </c>
      <c r="Q59" s="301" t="s">
        <v>308</v>
      </c>
      <c r="R59" s="301"/>
      <c r="S59" s="301"/>
      <c r="T59" s="2">
        <v>301584.96000000002</v>
      </c>
      <c r="U59" s="4">
        <v>1</v>
      </c>
    </row>
    <row r="60" spans="1:21" ht="15.5" x14ac:dyDescent="0.35">
      <c r="B60" s="311" t="s">
        <v>25</v>
      </c>
      <c r="C60" s="311" t="s">
        <v>264</v>
      </c>
      <c r="D60" s="296">
        <v>6.9588983694812145E-3</v>
      </c>
      <c r="E60" s="297">
        <v>233024.098</v>
      </c>
      <c r="F60" s="298">
        <v>3.7205278132583981</v>
      </c>
      <c r="G60" s="296">
        <v>0</v>
      </c>
      <c r="H60" s="299">
        <v>0</v>
      </c>
      <c r="I60" s="298">
        <v>0</v>
      </c>
      <c r="J60" s="300">
        <v>0</v>
      </c>
      <c r="K60" s="2">
        <v>0</v>
      </c>
      <c r="L60" s="7">
        <v>0</v>
      </c>
      <c r="M60" s="300"/>
      <c r="N60" s="7">
        <v>0</v>
      </c>
      <c r="O60" s="7"/>
      <c r="P60" s="301">
        <v>6.9588983694812145E-3</v>
      </c>
      <c r="Q60" s="301" t="s">
        <v>308</v>
      </c>
      <c r="R60" s="301"/>
      <c r="S60" s="301"/>
      <c r="T60" s="2">
        <v>233024.098</v>
      </c>
      <c r="U60" s="4">
        <v>1</v>
      </c>
    </row>
    <row r="61" spans="1:21" ht="15.5" x14ac:dyDescent="0.35">
      <c r="B61" s="1" t="s">
        <v>26</v>
      </c>
      <c r="C61" s="1"/>
      <c r="D61" s="296">
        <v>0</v>
      </c>
      <c r="E61" s="297">
        <v>0</v>
      </c>
      <c r="F61" s="298" t="e">
        <v>#N/A</v>
      </c>
      <c r="G61" s="296">
        <v>0</v>
      </c>
      <c r="H61" s="299">
        <v>0</v>
      </c>
      <c r="I61" s="298" t="e">
        <v>#N/A</v>
      </c>
      <c r="J61" s="300">
        <v>0</v>
      </c>
      <c r="K61" s="2">
        <v>0</v>
      </c>
      <c r="L61" s="7" t="e">
        <v>#N/A</v>
      </c>
      <c r="M61" s="300"/>
      <c r="N61" s="7">
        <v>0</v>
      </c>
      <c r="O61" s="7"/>
      <c r="P61" s="301">
        <v>0</v>
      </c>
      <c r="Q61" s="301" t="s">
        <v>308</v>
      </c>
      <c r="R61" s="301"/>
      <c r="S61" s="301"/>
      <c r="T61" s="2">
        <v>0</v>
      </c>
      <c r="U61" s="4" t="s">
        <v>309</v>
      </c>
    </row>
    <row r="62" spans="1:21" ht="15.5" x14ac:dyDescent="0.35">
      <c r="B62" t="s">
        <v>27</v>
      </c>
      <c r="C62" s="311" t="s">
        <v>290</v>
      </c>
      <c r="D62" s="296">
        <v>0</v>
      </c>
      <c r="E62" s="297">
        <v>0</v>
      </c>
      <c r="F62" s="298">
        <v>0</v>
      </c>
      <c r="G62" s="296">
        <v>1.1340237590075278E-4</v>
      </c>
      <c r="H62" s="299">
        <v>3500</v>
      </c>
      <c r="I62" s="298">
        <v>38.043478260869563</v>
      </c>
      <c r="J62" s="300">
        <v>0</v>
      </c>
      <c r="K62" s="2">
        <v>0</v>
      </c>
      <c r="L62" s="7">
        <v>0</v>
      </c>
      <c r="M62" s="300">
        <v>2.0000000000000001E-4</v>
      </c>
      <c r="N62" s="7">
        <v>8567.5594000000001</v>
      </c>
      <c r="O62" s="7"/>
      <c r="P62" s="301">
        <v>1.1340237590075278E-4</v>
      </c>
      <c r="Q62" s="301" t="s">
        <v>308</v>
      </c>
      <c r="R62" s="301"/>
      <c r="S62" s="301"/>
      <c r="T62" s="2">
        <v>3500</v>
      </c>
      <c r="U62" s="4">
        <v>1</v>
      </c>
    </row>
    <row r="63" spans="1:21" ht="15.5" x14ac:dyDescent="0.35">
      <c r="B63" t="s">
        <v>28</v>
      </c>
      <c r="C63" s="311" t="s">
        <v>290</v>
      </c>
      <c r="D63" s="296">
        <v>0</v>
      </c>
      <c r="E63" s="297">
        <v>0</v>
      </c>
      <c r="F63" s="298">
        <v>0</v>
      </c>
      <c r="G63" s="296">
        <v>2.2680475180150556E-4</v>
      </c>
      <c r="H63" s="299">
        <v>7000</v>
      </c>
      <c r="I63" s="298">
        <v>76.086956521739125</v>
      </c>
      <c r="J63" s="300">
        <v>0</v>
      </c>
      <c r="K63" s="2">
        <v>0</v>
      </c>
      <c r="L63" s="7">
        <v>0</v>
      </c>
      <c r="M63" s="300">
        <v>1.2E-4</v>
      </c>
      <c r="N63" s="7">
        <v>5140.5356400000001</v>
      </c>
      <c r="O63" s="7"/>
      <c r="P63" s="301">
        <v>2.2680475180150556E-4</v>
      </c>
      <c r="Q63" s="301" t="s">
        <v>308</v>
      </c>
      <c r="R63" s="301"/>
      <c r="S63" s="301"/>
      <c r="T63" s="2">
        <v>7000</v>
      </c>
      <c r="U63" s="4">
        <v>1</v>
      </c>
    </row>
    <row r="64" spans="1:21" ht="15.5" x14ac:dyDescent="0.35">
      <c r="B64" s="309" t="s">
        <v>93</v>
      </c>
      <c r="C64" s="309" t="s">
        <v>290</v>
      </c>
      <c r="D64" s="296">
        <v>3.3317730700449306E-2</v>
      </c>
      <c r="E64" s="297">
        <v>1115670</v>
      </c>
      <c r="F64" s="298">
        <v>10625.428571428571</v>
      </c>
      <c r="G64" s="296">
        <v>3.4841259961564855E-2</v>
      </c>
      <c r="H64" s="299">
        <v>1075325</v>
      </c>
      <c r="I64" s="298">
        <v>11688.315217391304</v>
      </c>
      <c r="J64" s="300">
        <v>3.8392073353326887E-2</v>
      </c>
      <c r="K64" s="2">
        <v>1398042.53</v>
      </c>
      <c r="L64" s="7">
        <v>13573.228446601943</v>
      </c>
      <c r="M64" s="300">
        <v>1.7510000000000001E-2</v>
      </c>
      <c r="N64" s="7">
        <v>750089.82547000004</v>
      </c>
      <c r="O64" s="7"/>
      <c r="P64" s="301">
        <v>5.0743426528775809E-3</v>
      </c>
      <c r="Q64" s="301" t="s">
        <v>310</v>
      </c>
      <c r="R64" s="301"/>
      <c r="S64" s="301"/>
      <c r="T64" s="2">
        <v>322717.53000000003</v>
      </c>
      <c r="U64" s="4">
        <v>0.23083527365937861</v>
      </c>
    </row>
    <row r="65" spans="1:21" ht="15.5" x14ac:dyDescent="0.35">
      <c r="B65" s="305" t="s">
        <v>29</v>
      </c>
      <c r="C65" s="306" t="s">
        <v>270</v>
      </c>
      <c r="D65" s="296">
        <v>0</v>
      </c>
      <c r="E65" s="297">
        <v>0</v>
      </c>
      <c r="F65" s="298">
        <v>0</v>
      </c>
      <c r="G65" s="296">
        <v>0</v>
      </c>
      <c r="H65" s="299">
        <v>0</v>
      </c>
      <c r="I65" s="298">
        <v>0</v>
      </c>
      <c r="J65" s="300">
        <v>1.5103718156792975E-3</v>
      </c>
      <c r="K65" s="2">
        <v>55000</v>
      </c>
      <c r="L65" s="7">
        <v>5.1394184047245268</v>
      </c>
      <c r="M65" s="300"/>
      <c r="N65" s="7">
        <v>0</v>
      </c>
      <c r="O65" s="7"/>
      <c r="P65" s="301">
        <v>1.5103718156792975E-3</v>
      </c>
      <c r="Q65" s="301" t="s">
        <v>308</v>
      </c>
      <c r="R65" s="301"/>
      <c r="S65" s="301"/>
      <c r="T65" s="2">
        <v>55000</v>
      </c>
      <c r="U65" s="4">
        <v>1</v>
      </c>
    </row>
    <row r="66" spans="1:21" ht="15.5" x14ac:dyDescent="0.35">
      <c r="B66" s="305" t="s">
        <v>30</v>
      </c>
      <c r="C66" s="306" t="s">
        <v>290</v>
      </c>
      <c r="D66" s="296">
        <v>3.1944013013121809E-2</v>
      </c>
      <c r="E66" s="297">
        <v>1069670</v>
      </c>
      <c r="F66" s="298">
        <v>10187.333333333334</v>
      </c>
      <c r="G66" s="296">
        <v>3.4841259961564855E-2</v>
      </c>
      <c r="H66" s="299">
        <v>1075325</v>
      </c>
      <c r="I66" s="298">
        <v>11688.315217391304</v>
      </c>
      <c r="J66" s="300">
        <v>3.5865633225281517E-2</v>
      </c>
      <c r="K66" s="2">
        <v>1306042.53</v>
      </c>
      <c r="L66" s="7">
        <v>12680.024563106796</v>
      </c>
      <c r="M66" s="300"/>
      <c r="N66" s="7">
        <v>0</v>
      </c>
      <c r="O66" s="7"/>
      <c r="P66" s="301">
        <v>3.9216202121597071E-3</v>
      </c>
      <c r="Q66" s="301" t="s">
        <v>310</v>
      </c>
      <c r="R66" s="301"/>
      <c r="S66" s="301"/>
      <c r="T66" s="2">
        <v>236372.53000000003</v>
      </c>
      <c r="U66" s="4">
        <v>0.18098379231187825</v>
      </c>
    </row>
    <row r="67" spans="1:21" ht="15.5" x14ac:dyDescent="0.35">
      <c r="B67" s="305" t="s">
        <v>31</v>
      </c>
      <c r="C67" s="306" t="s">
        <v>290</v>
      </c>
      <c r="D67" s="296">
        <v>2.9863427985380358E-4</v>
      </c>
      <c r="E67" s="297">
        <v>10000</v>
      </c>
      <c r="F67" s="298">
        <v>95.238095238095241</v>
      </c>
      <c r="G67" s="296">
        <v>0</v>
      </c>
      <c r="H67" s="299">
        <v>0</v>
      </c>
      <c r="I67" s="298">
        <v>0</v>
      </c>
      <c r="J67" s="300">
        <v>1.9222914017736514E-4</v>
      </c>
      <c r="K67" s="2">
        <v>7000</v>
      </c>
      <c r="L67" s="7">
        <v>67.961165048543691</v>
      </c>
      <c r="M67" s="300"/>
      <c r="N67" s="7">
        <v>0</v>
      </c>
      <c r="O67" s="7"/>
      <c r="P67" s="301">
        <v>1.0640513967643845E-4</v>
      </c>
      <c r="Q67" s="301" t="s">
        <v>308</v>
      </c>
      <c r="R67" s="301"/>
      <c r="S67" s="301"/>
      <c r="T67" s="2">
        <v>3000</v>
      </c>
      <c r="U67" s="4">
        <v>0.3</v>
      </c>
    </row>
    <row r="68" spans="1:21" ht="15.5" x14ac:dyDescent="0.35">
      <c r="B68" s="305" t="s">
        <v>32</v>
      </c>
      <c r="C68" s="306" t="s">
        <v>290</v>
      </c>
      <c r="D68" s="296">
        <v>1.0750834074736929E-3</v>
      </c>
      <c r="E68" s="297">
        <v>36000</v>
      </c>
      <c r="F68" s="298">
        <v>342.85714285714283</v>
      </c>
      <c r="G68" s="296">
        <v>0</v>
      </c>
      <c r="H68" s="299">
        <v>0</v>
      </c>
      <c r="I68" s="298">
        <v>0</v>
      </c>
      <c r="J68" s="300">
        <v>8.2383917218870777E-4</v>
      </c>
      <c r="K68" s="2">
        <v>30000</v>
      </c>
      <c r="L68" s="7">
        <v>291.26213592233012</v>
      </c>
      <c r="M68" s="300"/>
      <c r="N68" s="7">
        <v>0</v>
      </c>
      <c r="O68" s="7"/>
      <c r="P68" s="301">
        <v>2.5124423528498515E-4</v>
      </c>
      <c r="Q68" s="301" t="s">
        <v>308</v>
      </c>
      <c r="R68" s="301"/>
      <c r="S68" s="301"/>
      <c r="T68" s="2">
        <v>6000</v>
      </c>
      <c r="U68" s="4">
        <v>0.16666666666666666</v>
      </c>
    </row>
    <row r="69" spans="1:21" ht="15.5" x14ac:dyDescent="0.35">
      <c r="B69" t="s">
        <v>33</v>
      </c>
      <c r="C69" s="306" t="s">
        <v>264</v>
      </c>
      <c r="D69" s="296">
        <v>5.9726855970760717E-4</v>
      </c>
      <c r="E69" s="297">
        <v>20000</v>
      </c>
      <c r="F69" s="298">
        <v>0.31932558436581937</v>
      </c>
      <c r="G69" s="296">
        <v>0</v>
      </c>
      <c r="H69" s="299">
        <v>0</v>
      </c>
      <c r="I69" s="298">
        <v>0</v>
      </c>
      <c r="J69" s="300">
        <v>0</v>
      </c>
      <c r="K69" s="2">
        <v>0</v>
      </c>
      <c r="L69" s="7">
        <v>0</v>
      </c>
      <c r="M69" s="300">
        <v>1.6299999999999999E-3</v>
      </c>
      <c r="N69" s="7">
        <v>69825.60910999999</v>
      </c>
      <c r="O69" s="7"/>
      <c r="P69" s="301">
        <v>5.9726855970760717E-4</v>
      </c>
      <c r="Q69" s="301" t="s">
        <v>308</v>
      </c>
      <c r="R69" s="301"/>
      <c r="S69" s="301"/>
      <c r="T69" s="2">
        <v>20000</v>
      </c>
      <c r="U69" s="4">
        <v>1</v>
      </c>
    </row>
    <row r="70" spans="1:21" ht="15.5" x14ac:dyDescent="0.35">
      <c r="B70" t="s">
        <v>34</v>
      </c>
      <c r="C70" s="306" t="s">
        <v>270</v>
      </c>
      <c r="D70" s="296">
        <v>4.6721333083127569E-4</v>
      </c>
      <c r="E70" s="297">
        <v>15645</v>
      </c>
      <c r="F70" s="298">
        <v>1.4273332725116321</v>
      </c>
      <c r="G70" s="296">
        <v>3.2400678828786511E-4</v>
      </c>
      <c r="H70" s="299">
        <v>10000</v>
      </c>
      <c r="I70" s="298">
        <v>1.0795114131344152</v>
      </c>
      <c r="J70" s="300">
        <v>2.7461305739623592E-4</v>
      </c>
      <c r="K70" s="2">
        <v>10000</v>
      </c>
      <c r="L70" s="7">
        <v>0.93443970994991399</v>
      </c>
      <c r="M70" s="300">
        <v>2.3000000000000001E-4</v>
      </c>
      <c r="N70" s="7">
        <v>9852.6933100000006</v>
      </c>
      <c r="O70" s="7"/>
      <c r="P70" s="301">
        <v>1.9260027343503977E-4</v>
      </c>
      <c r="Q70" s="301" t="s">
        <v>310</v>
      </c>
      <c r="R70" s="301"/>
      <c r="S70" s="301"/>
      <c r="T70" s="2">
        <v>5645</v>
      </c>
      <c r="U70" s="4">
        <v>0.3608181527644615</v>
      </c>
    </row>
    <row r="71" spans="1:21" ht="15.5" x14ac:dyDescent="0.35">
      <c r="B71" t="s">
        <v>35</v>
      </c>
      <c r="C71" s="306" t="s">
        <v>270</v>
      </c>
      <c r="D71" s="296">
        <v>3.7171008813402929E-4</v>
      </c>
      <c r="E71" s="297">
        <v>12447</v>
      </c>
      <c r="F71" s="298">
        <v>1.1355715719368671</v>
      </c>
      <c r="G71" s="296">
        <v>3.2400678828786511E-4</v>
      </c>
      <c r="H71" s="299">
        <v>10000</v>
      </c>
      <c r="I71" s="298">
        <v>1.0795114131344152</v>
      </c>
      <c r="J71" s="300">
        <v>0</v>
      </c>
      <c r="K71" s="2">
        <v>0</v>
      </c>
      <c r="L71" s="7">
        <v>0</v>
      </c>
      <c r="M71" s="300">
        <v>3.5E-4</v>
      </c>
      <c r="N71" s="7">
        <v>14993.228950000001</v>
      </c>
      <c r="O71" s="7"/>
      <c r="P71" s="301">
        <v>4.7703299846164188E-5</v>
      </c>
      <c r="Q71" s="301" t="s">
        <v>308</v>
      </c>
      <c r="R71" s="301"/>
      <c r="S71" s="301"/>
      <c r="T71" s="2">
        <v>2447</v>
      </c>
      <c r="U71" s="4">
        <v>0.19659355668032458</v>
      </c>
    </row>
    <row r="72" spans="1:21" ht="15.5" x14ac:dyDescent="0.35">
      <c r="B72" t="s">
        <v>36</v>
      </c>
      <c r="C72" s="306" t="s">
        <v>270</v>
      </c>
      <c r="D72" s="296">
        <v>8.8652572317400125E-4</v>
      </c>
      <c r="E72" s="297">
        <v>29686</v>
      </c>
      <c r="F72" s="298">
        <v>2.7083295319770095</v>
      </c>
      <c r="G72" s="296">
        <v>1.2960271531514604E-3</v>
      </c>
      <c r="H72" s="299">
        <v>40000</v>
      </c>
      <c r="I72" s="298">
        <v>4.3180456525376609</v>
      </c>
      <c r="J72" s="300">
        <v>1.3730652869811796E-3</v>
      </c>
      <c r="K72" s="2">
        <v>50000</v>
      </c>
      <c r="L72" s="7">
        <v>4.6721985497495702</v>
      </c>
      <c r="M72" s="300">
        <v>4.6999999999999999E-4</v>
      </c>
      <c r="N72" s="7">
        <v>20133.764589999999</v>
      </c>
      <c r="O72" s="7"/>
      <c r="P72" s="301">
        <v>4.8653956380717838E-4</v>
      </c>
      <c r="Q72" s="301" t="s">
        <v>310</v>
      </c>
      <c r="R72" s="301"/>
      <c r="S72" s="301"/>
      <c r="T72" s="2">
        <v>20314</v>
      </c>
      <c r="U72" s="4">
        <v>0.40627999999999997</v>
      </c>
    </row>
    <row r="73" spans="1:21" ht="15.5" x14ac:dyDescent="0.35">
      <c r="B73" t="s">
        <v>37</v>
      </c>
      <c r="C73" s="306" t="s">
        <v>270</v>
      </c>
      <c r="D73" s="296">
        <v>5.2048968635719423E-4</v>
      </c>
      <c r="E73" s="297">
        <v>17429</v>
      </c>
      <c r="F73" s="298">
        <v>1.5900921448772922</v>
      </c>
      <c r="G73" s="296">
        <v>1.1340237590075277E-3</v>
      </c>
      <c r="H73" s="299">
        <v>35000</v>
      </c>
      <c r="I73" s="298">
        <v>3.7782899459704535</v>
      </c>
      <c r="J73" s="300">
        <v>0</v>
      </c>
      <c r="K73" s="2">
        <v>0</v>
      </c>
      <c r="L73" s="7">
        <v>0</v>
      </c>
      <c r="M73" s="300">
        <v>1.8699999999999999E-3</v>
      </c>
      <c r="N73" s="7">
        <v>80106.680389999994</v>
      </c>
      <c r="O73" s="7"/>
      <c r="P73" s="301">
        <v>6.1353407265033345E-4</v>
      </c>
      <c r="Q73" s="301" t="s">
        <v>308</v>
      </c>
      <c r="R73" s="301"/>
      <c r="S73" s="301"/>
      <c r="T73" s="2">
        <v>17571</v>
      </c>
      <c r="U73" s="4">
        <v>0.50202857142857138</v>
      </c>
    </row>
    <row r="74" spans="1:21" ht="15.5" x14ac:dyDescent="0.35">
      <c r="A74" t="s">
        <v>305</v>
      </c>
      <c r="B74" s="315" t="s">
        <v>94</v>
      </c>
      <c r="C74" s="309" t="s">
        <v>264</v>
      </c>
      <c r="D74" s="296">
        <v>6.234423611653938E-2</v>
      </c>
      <c r="E74" s="297">
        <v>2087645</v>
      </c>
      <c r="F74" s="298">
        <v>33.331922978669049</v>
      </c>
      <c r="G74" s="296">
        <v>8.2817431113531473E-2</v>
      </c>
      <c r="H74" s="299">
        <v>2556040</v>
      </c>
      <c r="I74" s="298">
        <v>48.287301167491592</v>
      </c>
      <c r="J74" s="300">
        <v>8.2249029829662965E-2</v>
      </c>
      <c r="K74" s="2">
        <v>2995088.0926607512</v>
      </c>
      <c r="L74" s="7">
        <v>48.977761850156185</v>
      </c>
      <c r="M74" s="300">
        <v>4.0849999999999997E-2</v>
      </c>
      <c r="N74" s="7">
        <v>1749924.0074499999</v>
      </c>
      <c r="O74" s="7"/>
      <c r="P74" s="301">
        <v>2.0473194996992093E-2</v>
      </c>
      <c r="Q74" s="301" t="s">
        <v>310</v>
      </c>
      <c r="R74" s="301"/>
      <c r="S74" s="301"/>
      <c r="T74" s="2">
        <v>907443.09266075119</v>
      </c>
      <c r="U74" s="4">
        <v>0.30297709602745093</v>
      </c>
    </row>
    <row r="75" spans="1:21" ht="15.5" x14ac:dyDescent="0.35">
      <c r="B75" s="305" t="s">
        <v>38</v>
      </c>
      <c r="C75" s="306" t="s">
        <v>264</v>
      </c>
      <c r="D75" s="296">
        <v>5.0000098568498449E-2</v>
      </c>
      <c r="E75" s="297">
        <v>1674292</v>
      </c>
      <c r="F75" s="298">
        <v>26.732213564950825</v>
      </c>
      <c r="G75" s="296">
        <v>6.6253944890825173E-2</v>
      </c>
      <c r="H75" s="299">
        <v>2044832</v>
      </c>
      <c r="I75" s="298">
        <v>38.629840933993272</v>
      </c>
      <c r="J75" s="300">
        <v>6.5799223863730369E-2</v>
      </c>
      <c r="K75" s="2">
        <v>2396070.4741286007</v>
      </c>
      <c r="L75" s="7">
        <v>39.182209480124946</v>
      </c>
      <c r="M75" s="300"/>
      <c r="N75" s="7">
        <v>0</v>
      </c>
      <c r="O75" s="7"/>
      <c r="P75" s="301">
        <v>1.6253846322326723E-2</v>
      </c>
      <c r="Q75" s="301" t="s">
        <v>310</v>
      </c>
      <c r="R75" s="301"/>
      <c r="S75" s="301"/>
      <c r="T75" s="2">
        <v>721778.47412860068</v>
      </c>
      <c r="U75" s="4">
        <v>0.30123424244902314</v>
      </c>
    </row>
    <row r="76" spans="1:21" ht="15.5" x14ac:dyDescent="0.35">
      <c r="B76" s="305" t="s">
        <v>39</v>
      </c>
      <c r="C76" s="306" t="s">
        <v>264</v>
      </c>
      <c r="D76" s="296">
        <v>1.2344137548040927E-2</v>
      </c>
      <c r="E76" s="297">
        <v>413353</v>
      </c>
      <c r="F76" s="298">
        <v>6.5997094137182275</v>
      </c>
      <c r="G76" s="296">
        <v>1.6563486222706293E-2</v>
      </c>
      <c r="H76" s="299">
        <v>511208</v>
      </c>
      <c r="I76" s="298">
        <v>9.6574602334983179</v>
      </c>
      <c r="J76" s="300">
        <v>1.6449805965932599E-2</v>
      </c>
      <c r="K76" s="2">
        <v>599017.61853215052</v>
      </c>
      <c r="L76" s="7">
        <v>9.7955523700312419</v>
      </c>
      <c r="M76" s="300"/>
      <c r="N76" s="7">
        <v>0</v>
      </c>
      <c r="O76" s="7"/>
      <c r="P76" s="301">
        <v>4.2193486746653665E-3</v>
      </c>
      <c r="Q76" s="301" t="s">
        <v>310</v>
      </c>
      <c r="R76" s="301"/>
      <c r="S76" s="301"/>
      <c r="T76" s="2">
        <v>185664.61853215052</v>
      </c>
      <c r="U76" s="4">
        <v>0.30994851034116205</v>
      </c>
    </row>
    <row r="77" spans="1:21" ht="15.5" x14ac:dyDescent="0.35">
      <c r="B77" t="s">
        <v>40</v>
      </c>
      <c r="C77" s="306" t="s">
        <v>264</v>
      </c>
      <c r="D77" s="296">
        <v>2.418937666815809E-4</v>
      </c>
      <c r="E77" s="297">
        <v>8100</v>
      </c>
      <c r="F77" s="298">
        <v>0.12932686166815685</v>
      </c>
      <c r="G77" s="296">
        <v>0</v>
      </c>
      <c r="H77" s="299">
        <v>0</v>
      </c>
      <c r="I77" s="298">
        <v>0</v>
      </c>
      <c r="J77" s="300">
        <v>0</v>
      </c>
      <c r="K77" s="2">
        <v>0</v>
      </c>
      <c r="L77" s="7">
        <v>0</v>
      </c>
      <c r="M77" s="300">
        <v>5.8399999999999997E-3</v>
      </c>
      <c r="N77" s="7">
        <v>250172.73447999998</v>
      </c>
      <c r="O77" s="7"/>
      <c r="P77" s="301">
        <v>2.418937666815809E-4</v>
      </c>
      <c r="Q77" s="301" t="s">
        <v>308</v>
      </c>
      <c r="R77" s="301"/>
      <c r="S77" s="301"/>
      <c r="T77" s="2">
        <v>8100</v>
      </c>
      <c r="U77" s="4">
        <v>1</v>
      </c>
    </row>
    <row r="78" spans="1:21" ht="15.5" x14ac:dyDescent="0.35">
      <c r="B78" s="316" t="s">
        <v>41</v>
      </c>
      <c r="C78" s="316" t="s">
        <v>290</v>
      </c>
      <c r="D78" s="296">
        <v>5.2398893353138116E-3</v>
      </c>
      <c r="E78" s="297">
        <v>175461.75</v>
      </c>
      <c r="F78" s="298">
        <v>1671.0642857142857</v>
      </c>
      <c r="G78" s="296">
        <v>5.6701187950376391E-3</v>
      </c>
      <c r="H78" s="299">
        <v>175000</v>
      </c>
      <c r="I78" s="298">
        <v>1902.1739130434783</v>
      </c>
      <c r="J78" s="300">
        <v>4.9430350331322462E-3</v>
      </c>
      <c r="K78" s="2">
        <v>180000</v>
      </c>
      <c r="L78" s="7">
        <v>1747.5728155339805</v>
      </c>
      <c r="M78" s="300"/>
      <c r="N78" s="7">
        <v>0</v>
      </c>
      <c r="O78" s="7"/>
      <c r="P78" s="301">
        <v>7.2708376190539284E-4</v>
      </c>
      <c r="Q78" s="301" t="s">
        <v>310</v>
      </c>
      <c r="R78" s="301"/>
      <c r="S78" s="301"/>
      <c r="T78" s="2">
        <v>5000</v>
      </c>
      <c r="U78" s="4">
        <v>2.7777777777777776E-2</v>
      </c>
    </row>
    <row r="79" spans="1:21" ht="15.5" x14ac:dyDescent="0.35">
      <c r="B79" s="305" t="s">
        <v>42</v>
      </c>
      <c r="C79" s="306" t="s">
        <v>270</v>
      </c>
      <c r="D79" s="296">
        <v>1.7918056791228214E-3</v>
      </c>
      <c r="E79" s="317">
        <v>60000</v>
      </c>
      <c r="F79" s="298">
        <v>5.4739531064683877</v>
      </c>
      <c r="G79" s="296">
        <v>0</v>
      </c>
      <c r="H79" s="299">
        <v>0</v>
      </c>
      <c r="I79" s="298">
        <v>0</v>
      </c>
      <c r="J79" s="300">
        <v>1.0984522295849437E-3</v>
      </c>
      <c r="K79" s="2">
        <v>40000</v>
      </c>
      <c r="L79" s="7">
        <v>3.737758839799656</v>
      </c>
      <c r="M79" s="300"/>
      <c r="N79" s="7">
        <v>0</v>
      </c>
      <c r="O79" s="7"/>
      <c r="P79" s="301">
        <v>6.9335344953787769E-4</v>
      </c>
      <c r="Q79" s="301" t="s">
        <v>308</v>
      </c>
      <c r="R79" s="301"/>
      <c r="S79" s="301"/>
      <c r="T79" s="2">
        <v>20000</v>
      </c>
      <c r="U79" s="4">
        <v>0.33333333333333331</v>
      </c>
    </row>
    <row r="80" spans="1:21" ht="15.5" x14ac:dyDescent="0.35">
      <c r="B80" s="305" t="s">
        <v>43</v>
      </c>
      <c r="C80" s="306" t="s">
        <v>290</v>
      </c>
      <c r="D80" s="296">
        <v>0</v>
      </c>
      <c r="E80" s="317">
        <v>0</v>
      </c>
      <c r="F80" s="298">
        <v>0</v>
      </c>
      <c r="G80" s="296">
        <v>6.4801357657573021E-4</v>
      </c>
      <c r="H80" s="299">
        <v>20000</v>
      </c>
      <c r="I80" s="298">
        <v>217.39130434782609</v>
      </c>
      <c r="J80" s="300">
        <v>4.1191958609435389E-4</v>
      </c>
      <c r="K80" s="2">
        <v>15000</v>
      </c>
      <c r="L80" s="7">
        <v>145.63106796116506</v>
      </c>
      <c r="M80" s="300"/>
      <c r="N80" s="7">
        <v>0</v>
      </c>
      <c r="O80" s="7"/>
      <c r="P80" s="301">
        <v>2.3609399048137632E-4</v>
      </c>
      <c r="Q80" s="301" t="s">
        <v>308</v>
      </c>
      <c r="R80" s="301"/>
      <c r="S80" s="301"/>
      <c r="T80" s="2">
        <v>5000</v>
      </c>
      <c r="U80" s="4">
        <v>0.25</v>
      </c>
    </row>
    <row r="81" spans="1:21" ht="15.5" x14ac:dyDescent="0.35">
      <c r="B81" s="305" t="s">
        <v>44</v>
      </c>
      <c r="C81" s="306" t="s">
        <v>290</v>
      </c>
      <c r="D81" s="296">
        <v>7.1672227164912858E-4</v>
      </c>
      <c r="E81" s="317">
        <v>24000</v>
      </c>
      <c r="F81" s="298">
        <v>228.57142857142858</v>
      </c>
      <c r="G81" s="296">
        <v>1.6200339414393255E-3</v>
      </c>
      <c r="H81" s="299">
        <v>50000</v>
      </c>
      <c r="I81" s="298">
        <v>543.47826086956525</v>
      </c>
      <c r="J81" s="300">
        <v>1.3730652869811796E-3</v>
      </c>
      <c r="K81" s="2">
        <v>50000</v>
      </c>
      <c r="L81" s="7">
        <v>485.43689320388347</v>
      </c>
      <c r="M81" s="300"/>
      <c r="N81" s="7">
        <v>0</v>
      </c>
      <c r="O81" s="7"/>
      <c r="P81" s="301">
        <v>9.033116697901969E-4</v>
      </c>
      <c r="Q81" s="301" t="s">
        <v>310</v>
      </c>
      <c r="R81" s="301"/>
      <c r="S81" s="301"/>
      <c r="T81" s="2">
        <v>26000</v>
      </c>
      <c r="U81" s="4">
        <v>0.52</v>
      </c>
    </row>
    <row r="82" spans="1:21" ht="15.5" x14ac:dyDescent="0.35">
      <c r="B82" s="305" t="s">
        <v>45</v>
      </c>
      <c r="C82" s="306" t="s">
        <v>290</v>
      </c>
      <c r="D82" s="296">
        <v>9.3991406655486505E-4</v>
      </c>
      <c r="E82" s="317">
        <v>31473.75</v>
      </c>
      <c r="F82" s="298">
        <v>299.75</v>
      </c>
      <c r="G82" s="296">
        <v>2.2680475180150554E-3</v>
      </c>
      <c r="H82" s="299">
        <v>70000</v>
      </c>
      <c r="I82" s="298">
        <v>760.86956521739125</v>
      </c>
      <c r="J82" s="300">
        <v>1.0984522295849437E-3</v>
      </c>
      <c r="K82" s="2">
        <v>40000</v>
      </c>
      <c r="L82" s="7">
        <v>388.34951456310682</v>
      </c>
      <c r="M82" s="300"/>
      <c r="N82" s="7">
        <v>0</v>
      </c>
      <c r="O82" s="7"/>
      <c r="P82" s="301">
        <v>1.3281334514601904E-3</v>
      </c>
      <c r="Q82" s="301" t="s">
        <v>310</v>
      </c>
      <c r="R82" s="301"/>
      <c r="S82" s="301"/>
      <c r="T82" s="2">
        <v>38526.25</v>
      </c>
      <c r="U82" s="4">
        <v>0.55037499999999995</v>
      </c>
    </row>
    <row r="83" spans="1:21" ht="15.5" x14ac:dyDescent="0.35">
      <c r="B83" s="305" t="s">
        <v>46</v>
      </c>
      <c r="C83" s="306" t="s">
        <v>290</v>
      </c>
      <c r="D83" s="296">
        <v>1.7914473179869968E-3</v>
      </c>
      <c r="E83" s="317">
        <v>59988</v>
      </c>
      <c r="F83" s="298">
        <v>571.31428571428569</v>
      </c>
      <c r="G83" s="296">
        <v>1.1340237590075277E-3</v>
      </c>
      <c r="H83" s="299">
        <v>35000</v>
      </c>
      <c r="I83" s="298">
        <v>380.43478260869563</v>
      </c>
      <c r="J83" s="300">
        <v>9.6114570088682574E-4</v>
      </c>
      <c r="K83" s="2">
        <v>35000</v>
      </c>
      <c r="L83" s="7">
        <v>339.80582524271847</v>
      </c>
      <c r="M83" s="300"/>
      <c r="N83" s="7">
        <v>0</v>
      </c>
      <c r="O83" s="7"/>
      <c r="P83" s="301">
        <v>8.3030161710017107E-4</v>
      </c>
      <c r="Q83" s="301" t="s">
        <v>310</v>
      </c>
      <c r="R83" s="301"/>
      <c r="S83" s="301"/>
      <c r="T83" s="2">
        <v>24988</v>
      </c>
      <c r="U83" s="4">
        <v>0.41654997666199906</v>
      </c>
    </row>
    <row r="84" spans="1:21" ht="15.5" x14ac:dyDescent="0.35">
      <c r="B84" s="316" t="s">
        <v>47</v>
      </c>
      <c r="C84" s="316" t="s">
        <v>290</v>
      </c>
      <c r="D84" s="296">
        <v>1.2290974673541352E-3</v>
      </c>
      <c r="E84" s="297">
        <v>41157.279999999999</v>
      </c>
      <c r="F84" s="298">
        <v>391.97409523809523</v>
      </c>
      <c r="G84" s="296">
        <v>0</v>
      </c>
      <c r="H84" s="299">
        <v>0</v>
      </c>
      <c r="I84" s="298">
        <v>0</v>
      </c>
      <c r="J84" s="300">
        <v>9.0622308940757851E-4</v>
      </c>
      <c r="K84" s="2">
        <v>33000</v>
      </c>
      <c r="L84" s="7">
        <v>320.38834951456312</v>
      </c>
      <c r="M84" s="300">
        <v>3.7399999999999998E-3</v>
      </c>
      <c r="N84" s="7">
        <v>160213.36077999999</v>
      </c>
      <c r="O84" s="7"/>
      <c r="P84" s="301">
        <v>3.2287437794655666E-4</v>
      </c>
      <c r="Q84" s="301" t="s">
        <v>308</v>
      </c>
      <c r="R84" s="301"/>
      <c r="S84" s="301"/>
      <c r="T84" s="2">
        <v>8157.2799999999988</v>
      </c>
      <c r="U84" s="4">
        <v>0.19819774290234921</v>
      </c>
    </row>
    <row r="85" spans="1:21" ht="15.5" x14ac:dyDescent="0.35">
      <c r="B85" s="305" t="s">
        <v>48</v>
      </c>
      <c r="C85" s="306" t="s">
        <v>290</v>
      </c>
      <c r="D85" s="296">
        <v>1.0797803274272333E-3</v>
      </c>
      <c r="E85" s="297">
        <v>36157.279999999999</v>
      </c>
      <c r="F85" s="298">
        <v>344.35504761904758</v>
      </c>
      <c r="G85" s="296">
        <v>0</v>
      </c>
      <c r="H85" s="299">
        <v>0</v>
      </c>
      <c r="I85" s="298">
        <v>0</v>
      </c>
      <c r="J85" s="300">
        <v>6.8653264349058981E-4</v>
      </c>
      <c r="K85" s="2">
        <v>25000</v>
      </c>
      <c r="L85" s="7">
        <v>242.71844660194174</v>
      </c>
      <c r="M85" s="300"/>
      <c r="N85" s="7">
        <v>0</v>
      </c>
      <c r="O85" s="7"/>
      <c r="P85" s="301">
        <v>3.9324768393664354E-4</v>
      </c>
      <c r="Q85" s="301" t="s">
        <v>308</v>
      </c>
      <c r="R85" s="301"/>
      <c r="S85" s="301"/>
      <c r="T85" s="2">
        <v>11157.279999999999</v>
      </c>
      <c r="U85" s="4">
        <v>0.3085763088373904</v>
      </c>
    </row>
    <row r="86" spans="1:21" ht="15.5" x14ac:dyDescent="0.35">
      <c r="B86" s="305" t="s">
        <v>49</v>
      </c>
      <c r="C86" s="306" t="s">
        <v>290</v>
      </c>
      <c r="D86" s="296">
        <v>1.4931713992690179E-4</v>
      </c>
      <c r="E86" s="297">
        <v>5000</v>
      </c>
      <c r="F86" s="298">
        <v>47.61904761904762</v>
      </c>
      <c r="G86" s="296"/>
      <c r="H86" s="299">
        <v>0</v>
      </c>
      <c r="I86" s="298">
        <v>0</v>
      </c>
      <c r="J86" s="300">
        <v>2.1969044591698872E-4</v>
      </c>
      <c r="K86" s="2">
        <v>7999.9999999999991</v>
      </c>
      <c r="L86" s="7">
        <v>77.669902912621353</v>
      </c>
      <c r="M86" s="300"/>
      <c r="N86" s="7">
        <v>0</v>
      </c>
      <c r="O86" s="7"/>
      <c r="P86" s="301">
        <v>7.0373305990086932E-5</v>
      </c>
      <c r="Q86" s="301" t="s">
        <v>310</v>
      </c>
      <c r="R86" s="301"/>
      <c r="S86" s="301"/>
      <c r="T86" s="2">
        <v>2999.9999999999991</v>
      </c>
      <c r="U86" s="4">
        <v>0.37499999999999994</v>
      </c>
    </row>
    <row r="87" spans="1:21" ht="15.5" x14ac:dyDescent="0.35">
      <c r="B87" s="318" t="s">
        <v>50</v>
      </c>
      <c r="C87" s="318"/>
      <c r="D87" s="296">
        <v>0</v>
      </c>
      <c r="E87" s="297">
        <v>0</v>
      </c>
      <c r="F87" s="298" t="e">
        <v>#N/A</v>
      </c>
      <c r="G87" s="296">
        <v>0</v>
      </c>
      <c r="H87" s="299">
        <v>0</v>
      </c>
      <c r="I87" s="298" t="e">
        <v>#N/A</v>
      </c>
      <c r="J87" s="300">
        <v>0</v>
      </c>
      <c r="K87" s="2">
        <v>0</v>
      </c>
      <c r="L87" s="7" t="e">
        <v>#N/A</v>
      </c>
      <c r="M87" s="300"/>
      <c r="N87" s="7">
        <v>0</v>
      </c>
      <c r="O87" s="7"/>
      <c r="P87" s="301">
        <v>0</v>
      </c>
      <c r="Q87" s="301" t="s">
        <v>308</v>
      </c>
      <c r="R87" s="301"/>
      <c r="S87" s="301"/>
      <c r="T87" s="2">
        <v>0</v>
      </c>
      <c r="U87" s="4" t="s">
        <v>309</v>
      </c>
    </row>
    <row r="88" spans="1:21" ht="15.5" x14ac:dyDescent="0.35">
      <c r="B88" t="s">
        <v>51</v>
      </c>
      <c r="C88" s="306" t="s">
        <v>290</v>
      </c>
      <c r="D88" s="296">
        <v>8.3617598359064999E-4</v>
      </c>
      <c r="E88" s="297">
        <v>28000</v>
      </c>
      <c r="F88" s="298">
        <v>266.66666666666669</v>
      </c>
      <c r="G88" s="296">
        <v>0</v>
      </c>
      <c r="H88" s="299">
        <v>0</v>
      </c>
      <c r="I88" s="298">
        <v>0</v>
      </c>
      <c r="J88" s="300">
        <v>0</v>
      </c>
      <c r="K88" s="2">
        <v>0</v>
      </c>
      <c r="L88" s="7">
        <v>0</v>
      </c>
      <c r="M88" s="300">
        <v>5.6999999999999998E-4</v>
      </c>
      <c r="N88" s="7">
        <v>24417.544289999998</v>
      </c>
      <c r="O88" s="7"/>
      <c r="P88" s="301">
        <v>8.3617598359064999E-4</v>
      </c>
      <c r="Q88" s="301" t="s">
        <v>308</v>
      </c>
      <c r="R88" s="301"/>
      <c r="S88" s="301"/>
      <c r="T88" s="2">
        <v>28000</v>
      </c>
      <c r="U88" s="4">
        <v>1</v>
      </c>
    </row>
    <row r="89" spans="1:21" ht="15.5" x14ac:dyDescent="0.35">
      <c r="B89" s="316" t="s">
        <v>52</v>
      </c>
      <c r="C89" s="316" t="s">
        <v>290</v>
      </c>
      <c r="D89" s="296">
        <v>8.5223483294579235E-3</v>
      </c>
      <c r="E89" s="297">
        <v>285377.43</v>
      </c>
      <c r="F89" s="298">
        <v>2717.8802857142855</v>
      </c>
      <c r="G89" s="296">
        <v>8.0191680101246606E-4</v>
      </c>
      <c r="H89" s="299">
        <v>24750</v>
      </c>
      <c r="I89" s="298">
        <v>269.02173913043481</v>
      </c>
      <c r="J89" s="300">
        <v>9.2681906871229622E-4</v>
      </c>
      <c r="K89" s="2">
        <v>33750</v>
      </c>
      <c r="L89" s="7">
        <v>327.66990291262135</v>
      </c>
      <c r="M89" s="300">
        <v>3.0300000000000001E-3</v>
      </c>
      <c r="N89" s="7">
        <v>129798.52491000001</v>
      </c>
      <c r="O89" s="7"/>
      <c r="P89" s="301">
        <v>7.7204315284454574E-3</v>
      </c>
      <c r="Q89" s="301" t="s">
        <v>310</v>
      </c>
      <c r="R89" s="301"/>
      <c r="S89" s="301"/>
      <c r="T89" s="2">
        <v>260627.43</v>
      </c>
      <c r="U89" s="4">
        <v>0.91327274900471278</v>
      </c>
    </row>
    <row r="90" spans="1:21" ht="15.5" x14ac:dyDescent="0.35">
      <c r="A90" s="197"/>
      <c r="B90" s="305" t="s">
        <v>54</v>
      </c>
      <c r="C90" s="306" t="s">
        <v>290</v>
      </c>
      <c r="D90" s="296">
        <v>7.7811550690147354E-3</v>
      </c>
      <c r="E90" s="297">
        <v>260558</v>
      </c>
      <c r="F90" s="298">
        <v>2481.5047619047618</v>
      </c>
      <c r="G90" s="296">
        <v>0</v>
      </c>
      <c r="H90" s="299">
        <v>0</v>
      </c>
      <c r="I90" s="298">
        <v>0</v>
      </c>
      <c r="J90" s="300">
        <v>0</v>
      </c>
      <c r="K90" s="2">
        <v>0</v>
      </c>
      <c r="L90" s="7">
        <v>0</v>
      </c>
      <c r="M90" s="300"/>
      <c r="N90" s="7">
        <v>0</v>
      </c>
      <c r="O90" s="7"/>
      <c r="P90" s="301">
        <v>7.7811550690147354E-3</v>
      </c>
      <c r="Q90" s="301" t="s">
        <v>308</v>
      </c>
      <c r="R90" s="301"/>
      <c r="S90" s="301"/>
      <c r="T90" s="2">
        <v>260558</v>
      </c>
      <c r="U90" s="4">
        <v>1</v>
      </c>
    </row>
    <row r="91" spans="1:21" ht="15.5" x14ac:dyDescent="0.35">
      <c r="B91" s="305" t="s">
        <v>105</v>
      </c>
      <c r="C91" s="306" t="s">
        <v>290</v>
      </c>
      <c r="D91" s="296">
        <v>6.8088615806667218E-4</v>
      </c>
      <c r="E91" s="297">
        <v>22800</v>
      </c>
      <c r="F91" s="298">
        <v>217.14285714285714</v>
      </c>
      <c r="G91" s="296">
        <v>8.0191680101246606E-4</v>
      </c>
      <c r="H91" s="299">
        <v>24750</v>
      </c>
      <c r="I91" s="298">
        <v>269.02173913043481</v>
      </c>
      <c r="J91" s="300">
        <v>9.2681906871229622E-4</v>
      </c>
      <c r="K91" s="2">
        <v>33750</v>
      </c>
      <c r="L91" s="7">
        <v>327.66990291262135</v>
      </c>
      <c r="M91" s="300"/>
      <c r="N91" s="7">
        <v>0</v>
      </c>
      <c r="O91" s="7"/>
      <c r="P91" s="301">
        <v>2.4593291064562404E-4</v>
      </c>
      <c r="Q91" s="301" t="s">
        <v>310</v>
      </c>
      <c r="R91" s="301"/>
      <c r="S91" s="301"/>
      <c r="T91" s="2">
        <v>10950</v>
      </c>
      <c r="U91" s="4">
        <v>0.32444444444444442</v>
      </c>
    </row>
    <row r="92" spans="1:21" ht="15.5" x14ac:dyDescent="0.35">
      <c r="B92" s="318" t="s">
        <v>53</v>
      </c>
      <c r="C92" s="318"/>
      <c r="D92" s="296">
        <v>0</v>
      </c>
      <c r="E92" s="297">
        <v>0</v>
      </c>
      <c r="F92" s="298" t="e">
        <v>#N/A</v>
      </c>
      <c r="G92" s="296">
        <v>0</v>
      </c>
      <c r="H92" s="299">
        <v>0</v>
      </c>
      <c r="I92" s="298" t="e">
        <v>#N/A</v>
      </c>
      <c r="J92" s="300">
        <v>0</v>
      </c>
      <c r="K92" s="2">
        <v>0</v>
      </c>
      <c r="L92" s="7" t="e">
        <v>#N/A</v>
      </c>
      <c r="M92" s="300"/>
      <c r="N92" s="7">
        <v>0</v>
      </c>
      <c r="O92" s="7"/>
      <c r="P92" s="301">
        <v>0</v>
      </c>
      <c r="Q92" s="301" t="s">
        <v>308</v>
      </c>
      <c r="R92" s="301"/>
      <c r="S92" s="301"/>
      <c r="T92" s="2">
        <v>0</v>
      </c>
      <c r="U92" s="4" t="s">
        <v>309</v>
      </c>
    </row>
    <row r="93" spans="1:21" ht="15.5" x14ac:dyDescent="0.35">
      <c r="B93" s="316" t="s">
        <v>95</v>
      </c>
      <c r="C93" s="316"/>
      <c r="D93" s="296"/>
      <c r="E93" s="297">
        <v>0</v>
      </c>
      <c r="F93" s="298" t="e">
        <v>#N/A</v>
      </c>
      <c r="G93" s="296">
        <v>0</v>
      </c>
      <c r="H93" s="299">
        <v>0</v>
      </c>
      <c r="I93" s="298" t="e">
        <v>#N/A</v>
      </c>
      <c r="J93" s="300">
        <v>0</v>
      </c>
      <c r="K93" s="2">
        <v>0</v>
      </c>
      <c r="L93" s="7" t="e">
        <v>#N/A</v>
      </c>
      <c r="M93" s="300"/>
      <c r="N93" s="7">
        <v>0</v>
      </c>
      <c r="O93" s="7"/>
      <c r="P93" s="301">
        <v>0</v>
      </c>
      <c r="Q93" s="301" t="s">
        <v>308</v>
      </c>
      <c r="R93" s="301"/>
      <c r="S93" s="301"/>
      <c r="T93" s="2">
        <v>0</v>
      </c>
      <c r="U93" s="4" t="s">
        <v>309</v>
      </c>
    </row>
    <row r="94" spans="1:21" ht="15.5" x14ac:dyDescent="0.35">
      <c r="B94" s="305" t="s">
        <v>56</v>
      </c>
      <c r="C94" s="306" t="s">
        <v>264</v>
      </c>
      <c r="D94" s="296">
        <v>2.9371278692181288E-3</v>
      </c>
      <c r="E94" s="297">
        <v>98352</v>
      </c>
      <c r="F94" s="298">
        <v>1.5703154936773533</v>
      </c>
      <c r="G94" s="296">
        <v>5.5729167585512798E-3</v>
      </c>
      <c r="H94" s="299">
        <v>172000</v>
      </c>
      <c r="I94" s="298">
        <v>3.2493293535345904</v>
      </c>
      <c r="J94" s="300">
        <v>3.7347375805888085E-3</v>
      </c>
      <c r="K94" s="2">
        <v>136000</v>
      </c>
      <c r="L94" s="7">
        <v>2.2239665096807952</v>
      </c>
      <c r="M94" s="300">
        <v>4.3200000000000001E-3</v>
      </c>
      <c r="N94" s="7">
        <v>185059.28304000001</v>
      </c>
      <c r="O94" s="7"/>
      <c r="P94" s="301">
        <v>2.635788889333151E-3</v>
      </c>
      <c r="Q94" s="301" t="s">
        <v>310</v>
      </c>
      <c r="R94" s="301"/>
      <c r="S94" s="301"/>
      <c r="T94" s="2">
        <v>73648</v>
      </c>
      <c r="U94" s="4">
        <v>0.42818604651162789</v>
      </c>
    </row>
    <row r="95" spans="1:21" ht="15.5" x14ac:dyDescent="0.35">
      <c r="B95" s="305" t="s">
        <v>57</v>
      </c>
      <c r="C95" s="306" t="s">
        <v>264</v>
      </c>
      <c r="D95" s="296">
        <v>4.4795141978070535E-4</v>
      </c>
      <c r="E95" s="297">
        <v>15000</v>
      </c>
      <c r="F95" s="298">
        <v>0.23949418827436456</v>
      </c>
      <c r="G95" s="296">
        <v>6.4801357657573021E-4</v>
      </c>
      <c r="H95" s="299">
        <v>20000</v>
      </c>
      <c r="I95" s="298">
        <v>0.37782899459704539</v>
      </c>
      <c r="J95" s="300">
        <v>5.4922611479247185E-4</v>
      </c>
      <c r="K95" s="2">
        <v>20000</v>
      </c>
      <c r="L95" s="7">
        <v>0.32705389848246991</v>
      </c>
      <c r="M95" s="300">
        <v>8.8999999999999995E-4</v>
      </c>
      <c r="N95" s="7">
        <v>38125.639329999998</v>
      </c>
      <c r="O95" s="7"/>
      <c r="P95" s="301">
        <v>2.0006215679502486E-4</v>
      </c>
      <c r="Q95" s="301" t="s">
        <v>310</v>
      </c>
      <c r="R95" s="301"/>
      <c r="S95" s="301"/>
      <c r="T95" s="2">
        <v>5000</v>
      </c>
      <c r="U95" s="4">
        <v>0.25</v>
      </c>
    </row>
    <row r="96" spans="1:21" ht="15.5" x14ac:dyDescent="0.35">
      <c r="B96" s="305" t="s">
        <v>27</v>
      </c>
      <c r="C96" s="306" t="s">
        <v>264</v>
      </c>
      <c r="D96" s="296">
        <v>0</v>
      </c>
      <c r="E96" s="297">
        <v>0</v>
      </c>
      <c r="F96" s="298">
        <v>0</v>
      </c>
      <c r="G96" s="296">
        <v>1.1340237590075278E-4</v>
      </c>
      <c r="H96" s="299">
        <v>3500</v>
      </c>
      <c r="I96" s="298">
        <v>6.6120074054482947E-2</v>
      </c>
      <c r="J96" s="300">
        <v>0</v>
      </c>
      <c r="K96" s="2">
        <v>0</v>
      </c>
      <c r="L96" s="7">
        <v>0</v>
      </c>
      <c r="M96" s="300"/>
      <c r="N96" s="7">
        <v>0</v>
      </c>
      <c r="O96" s="7"/>
      <c r="P96" s="301">
        <v>1.1340237590075278E-4</v>
      </c>
      <c r="Q96" s="301" t="s">
        <v>308</v>
      </c>
      <c r="R96" s="301"/>
      <c r="S96" s="301"/>
      <c r="T96" s="2">
        <v>3500</v>
      </c>
      <c r="U96" s="4">
        <v>1</v>
      </c>
    </row>
    <row r="97" spans="2:21" ht="15.5" x14ac:dyDescent="0.35">
      <c r="B97" s="305" t="s">
        <v>55</v>
      </c>
      <c r="C97" s="306" t="s">
        <v>264</v>
      </c>
      <c r="D97" s="296">
        <v>1.7918056791228214E-3</v>
      </c>
      <c r="E97" s="297">
        <v>60000</v>
      </c>
      <c r="F97" s="298">
        <v>0.95797675309745822</v>
      </c>
      <c r="G97" s="296">
        <v>8.1001697071966274E-4</v>
      </c>
      <c r="H97" s="299">
        <v>25000</v>
      </c>
      <c r="I97" s="298">
        <v>0.47228624324630675</v>
      </c>
      <c r="J97" s="300">
        <v>1.0984522295849437E-3</v>
      </c>
      <c r="K97" s="2">
        <v>40000</v>
      </c>
      <c r="L97" s="7">
        <v>0.65410779696493981</v>
      </c>
      <c r="M97" s="300"/>
      <c r="N97" s="7">
        <v>0</v>
      </c>
      <c r="O97" s="7"/>
      <c r="P97" s="301">
        <v>9.8178870840315855E-4</v>
      </c>
      <c r="Q97" s="301" t="s">
        <v>310</v>
      </c>
      <c r="R97" s="301"/>
      <c r="S97" s="301"/>
      <c r="T97" s="2">
        <v>35000</v>
      </c>
      <c r="U97" s="4">
        <v>0.58333333333333337</v>
      </c>
    </row>
    <row r="98" spans="2:21" ht="15.5" x14ac:dyDescent="0.35">
      <c r="B98" s="305" t="s">
        <v>102</v>
      </c>
      <c r="C98" s="306" t="s">
        <v>264</v>
      </c>
      <c r="D98" s="296">
        <v>3.4130911844491212E-4</v>
      </c>
      <c r="E98" s="297">
        <v>11429</v>
      </c>
      <c r="F98" s="298">
        <v>0.18247860518584749</v>
      </c>
      <c r="G98" s="296">
        <v>1.2960271531514604E-3</v>
      </c>
      <c r="H98" s="299">
        <v>40000</v>
      </c>
      <c r="I98" s="298">
        <v>0.75565798919409077</v>
      </c>
      <c r="J98" s="300">
        <v>4.1191958609435389E-4</v>
      </c>
      <c r="K98" s="2">
        <v>15000</v>
      </c>
      <c r="L98" s="7">
        <v>0.24529042386185243</v>
      </c>
      <c r="M98" s="300">
        <v>9.3000000000000005E-4</v>
      </c>
      <c r="N98" s="7">
        <v>39839.151210000004</v>
      </c>
      <c r="O98" s="7"/>
      <c r="P98" s="301">
        <v>9.5471803470654831E-4</v>
      </c>
      <c r="Q98" s="301" t="s">
        <v>310</v>
      </c>
      <c r="R98" s="301"/>
      <c r="S98" s="301"/>
      <c r="T98" s="2">
        <v>28571</v>
      </c>
      <c r="U98" s="4">
        <v>0.71427499999999999</v>
      </c>
    </row>
    <row r="99" spans="2:21" ht="15.5" x14ac:dyDescent="0.35">
      <c r="B99" s="316" t="s">
        <v>58</v>
      </c>
      <c r="C99" s="316"/>
      <c r="D99" s="296">
        <v>0</v>
      </c>
      <c r="E99" s="297">
        <v>0</v>
      </c>
      <c r="F99" s="298" t="e">
        <v>#N/A</v>
      </c>
      <c r="G99" s="296">
        <v>0</v>
      </c>
      <c r="H99" s="299">
        <v>0</v>
      </c>
      <c r="I99" s="298" t="e">
        <v>#N/A</v>
      </c>
      <c r="J99" s="300">
        <v>0</v>
      </c>
      <c r="K99" s="2">
        <v>0</v>
      </c>
      <c r="L99" s="7" t="e">
        <v>#N/A</v>
      </c>
      <c r="M99" s="300"/>
      <c r="N99" s="7">
        <v>0</v>
      </c>
      <c r="O99" s="7"/>
      <c r="P99" s="301">
        <v>0</v>
      </c>
      <c r="Q99" s="301" t="s">
        <v>308</v>
      </c>
      <c r="R99" s="301"/>
      <c r="S99" s="301"/>
      <c r="T99" s="2">
        <v>0</v>
      </c>
      <c r="U99" s="4" t="s">
        <v>309</v>
      </c>
    </row>
    <row r="100" spans="2:21" ht="15.5" x14ac:dyDescent="0.35">
      <c r="B100" s="305" t="s">
        <v>59</v>
      </c>
      <c r="C100" s="306" t="s">
        <v>290</v>
      </c>
      <c r="D100" s="296">
        <v>5.2484192359319847E-3</v>
      </c>
      <c r="E100" s="297">
        <v>175747.380324233</v>
      </c>
      <c r="F100" s="298">
        <v>1673.7845745165048</v>
      </c>
      <c r="G100" s="296">
        <v>1.1340237590075278E-2</v>
      </c>
      <c r="H100" s="299">
        <v>350000</v>
      </c>
      <c r="I100" s="298">
        <v>3804.3478260869565</v>
      </c>
      <c r="J100" s="300">
        <v>6.7959527304980762E-3</v>
      </c>
      <c r="K100" s="2">
        <v>247473.76526573085</v>
      </c>
      <c r="L100" s="7">
        <v>2402.6579152012705</v>
      </c>
      <c r="M100" s="300">
        <v>1.1560000000000001E-2</v>
      </c>
      <c r="N100" s="7">
        <v>495204.93332000001</v>
      </c>
      <c r="O100" s="7"/>
      <c r="P100" s="301">
        <v>6.0918183541432934E-3</v>
      </c>
      <c r="Q100" s="301" t="s">
        <v>310</v>
      </c>
      <c r="R100" s="301"/>
      <c r="S100" s="301"/>
      <c r="T100" s="2">
        <v>174252.619675767</v>
      </c>
      <c r="U100" s="4">
        <v>0.49786462764504857</v>
      </c>
    </row>
    <row r="101" spans="2:21" ht="15.5" x14ac:dyDescent="0.35">
      <c r="B101" s="305" t="s">
        <v>60</v>
      </c>
      <c r="C101" s="306" t="s">
        <v>290</v>
      </c>
      <c r="D101" s="296">
        <v>1.6791595326848516E-2</v>
      </c>
      <c r="E101" s="297">
        <v>562279.56599854655</v>
      </c>
      <c r="F101" s="298">
        <v>5355.0434857004429</v>
      </c>
      <c r="G101" s="296">
        <v>1.0530220619355615E-2</v>
      </c>
      <c r="H101" s="299">
        <v>325000</v>
      </c>
      <c r="I101" s="298">
        <v>3532.608695652174</v>
      </c>
      <c r="J101" s="300">
        <v>7.8031297310032759E-3</v>
      </c>
      <c r="K101" s="2">
        <v>284149.98926086142</v>
      </c>
      <c r="L101" s="7">
        <v>2758.7377598141884</v>
      </c>
      <c r="M101" s="300">
        <v>1.413E-2</v>
      </c>
      <c r="N101" s="7">
        <v>605298.07160999998</v>
      </c>
      <c r="O101" s="7"/>
      <c r="P101" s="301">
        <v>8.9884655958452405E-3</v>
      </c>
      <c r="Q101" s="301" t="s">
        <v>310</v>
      </c>
      <c r="R101" s="301"/>
      <c r="S101" s="301"/>
      <c r="T101" s="2">
        <v>278129.57673768513</v>
      </c>
      <c r="U101" s="4">
        <v>0.49464642422805755</v>
      </c>
    </row>
    <row r="102" spans="2:21" ht="15.5" x14ac:dyDescent="0.35">
      <c r="B102" s="306" t="s">
        <v>100</v>
      </c>
      <c r="C102" s="306" t="s">
        <v>290</v>
      </c>
      <c r="D102" s="296">
        <v>0</v>
      </c>
      <c r="E102" s="297">
        <v>0</v>
      </c>
      <c r="F102" s="298">
        <v>0</v>
      </c>
      <c r="G102" s="296"/>
      <c r="H102" s="299">
        <v>0</v>
      </c>
      <c r="I102" s="298">
        <v>0</v>
      </c>
      <c r="J102" s="300"/>
      <c r="K102" s="2">
        <v>0</v>
      </c>
      <c r="L102" s="7">
        <v>0</v>
      </c>
      <c r="M102" s="300"/>
      <c r="N102" s="7">
        <v>0</v>
      </c>
      <c r="O102" s="7"/>
      <c r="P102" s="301" t="e">
        <v>#NUM!</v>
      </c>
      <c r="Q102" s="301" t="s">
        <v>308</v>
      </c>
      <c r="R102" s="301"/>
      <c r="S102" s="301"/>
      <c r="T102" s="2">
        <v>0</v>
      </c>
      <c r="U102" s="4" t="s">
        <v>309</v>
      </c>
    </row>
    <row r="103" spans="2:21" ht="15.5" x14ac:dyDescent="0.35">
      <c r="B103" s="318" t="s">
        <v>61</v>
      </c>
      <c r="C103" s="318"/>
      <c r="D103" s="296">
        <v>0</v>
      </c>
      <c r="E103" s="297">
        <v>0</v>
      </c>
      <c r="F103" s="298" t="e">
        <v>#N/A</v>
      </c>
      <c r="G103" s="296">
        <v>0</v>
      </c>
      <c r="H103" s="299">
        <v>0</v>
      </c>
      <c r="I103" s="298" t="e">
        <v>#N/A</v>
      </c>
      <c r="J103" s="300">
        <v>0</v>
      </c>
      <c r="K103" s="2">
        <v>0</v>
      </c>
      <c r="L103" s="7" t="e">
        <v>#N/A</v>
      </c>
      <c r="M103" s="300"/>
      <c r="N103" s="7">
        <v>0</v>
      </c>
      <c r="O103" s="7"/>
      <c r="P103" s="301">
        <v>0</v>
      </c>
      <c r="Q103" s="301" t="s">
        <v>308</v>
      </c>
      <c r="R103" s="301"/>
      <c r="S103" s="301"/>
      <c r="T103" s="2">
        <v>0</v>
      </c>
      <c r="U103" s="4" t="s">
        <v>309</v>
      </c>
    </row>
    <row r="104" spans="2:21" ht="15.5" x14ac:dyDescent="0.35">
      <c r="B104" t="s">
        <v>62</v>
      </c>
      <c r="C104" s="306" t="s">
        <v>290</v>
      </c>
      <c r="D104" s="296">
        <v>0</v>
      </c>
      <c r="E104" s="297">
        <v>0</v>
      </c>
      <c r="F104" s="298">
        <v>0</v>
      </c>
      <c r="G104" s="296">
        <v>0</v>
      </c>
      <c r="H104" s="299">
        <v>0</v>
      </c>
      <c r="I104" s="298">
        <v>0</v>
      </c>
      <c r="J104" s="300">
        <v>0</v>
      </c>
      <c r="K104" s="2">
        <v>0</v>
      </c>
      <c r="L104" s="7">
        <v>0</v>
      </c>
      <c r="M104" s="300"/>
      <c r="N104" s="7">
        <v>0</v>
      </c>
      <c r="O104" s="7"/>
      <c r="P104" s="301">
        <v>0</v>
      </c>
      <c r="Q104" s="301" t="s">
        <v>308</v>
      </c>
      <c r="R104" s="301"/>
      <c r="S104" s="301"/>
      <c r="T104" s="2">
        <v>0</v>
      </c>
      <c r="U104" s="4" t="s">
        <v>309</v>
      </c>
    </row>
    <row r="105" spans="2:21" ht="15.5" x14ac:dyDescent="0.35">
      <c r="B105" t="s">
        <v>99</v>
      </c>
      <c r="C105" s="306" t="s">
        <v>290</v>
      </c>
      <c r="D105" s="296">
        <v>1.2933253391908526E-3</v>
      </c>
      <c r="E105" s="297">
        <v>43308</v>
      </c>
      <c r="F105" s="298">
        <v>412.45714285714286</v>
      </c>
      <c r="G105" s="296">
        <v>3.2400678828786511E-4</v>
      </c>
      <c r="H105" s="299">
        <v>10000</v>
      </c>
      <c r="I105" s="298">
        <v>108.69565217391305</v>
      </c>
      <c r="J105" s="300">
        <v>9.6114570088682574E-4</v>
      </c>
      <c r="K105" s="2">
        <v>35000</v>
      </c>
      <c r="L105" s="7">
        <v>339.80582524271847</v>
      </c>
      <c r="M105" s="300"/>
      <c r="N105" s="7">
        <v>0</v>
      </c>
      <c r="O105" s="7"/>
      <c r="P105" s="301">
        <v>9.6931855090298755E-4</v>
      </c>
      <c r="Q105" s="301" t="s">
        <v>310</v>
      </c>
      <c r="R105" s="301"/>
      <c r="S105" s="301"/>
      <c r="T105" s="2">
        <v>33308</v>
      </c>
      <c r="U105" s="4">
        <v>0.76909577907084137</v>
      </c>
    </row>
    <row r="106" spans="2:21" ht="15.5" x14ac:dyDescent="0.35">
      <c r="B106" t="s">
        <v>63</v>
      </c>
      <c r="C106" s="306" t="s">
        <v>290</v>
      </c>
      <c r="D106" s="296">
        <v>0</v>
      </c>
      <c r="E106" s="297">
        <v>0</v>
      </c>
      <c r="F106" s="298">
        <v>0</v>
      </c>
      <c r="G106" s="296">
        <v>3.8880814594543812E-4</v>
      </c>
      <c r="H106" s="299">
        <v>12000</v>
      </c>
      <c r="I106" s="298">
        <v>130.43478260869566</v>
      </c>
      <c r="J106" s="300">
        <v>0</v>
      </c>
      <c r="K106" s="2">
        <v>0</v>
      </c>
      <c r="L106" s="7">
        <v>0</v>
      </c>
      <c r="M106" s="300"/>
      <c r="N106" s="7">
        <v>0</v>
      </c>
      <c r="O106" s="7"/>
      <c r="P106" s="301">
        <v>3.8880814594543812E-4</v>
      </c>
      <c r="Q106" s="301" t="s">
        <v>308</v>
      </c>
      <c r="R106" s="301"/>
      <c r="S106" s="301"/>
      <c r="T106" s="2">
        <v>12000</v>
      </c>
      <c r="U106" s="4">
        <v>1</v>
      </c>
    </row>
    <row r="107" spans="2:21" ht="15.5" x14ac:dyDescent="0.35">
      <c r="B107" t="s">
        <v>306</v>
      </c>
      <c r="C107" s="306" t="s">
        <v>290</v>
      </c>
      <c r="D107" s="296">
        <v>4.9618085597709465E-3</v>
      </c>
      <c r="E107" s="297">
        <v>166150</v>
      </c>
      <c r="F107" s="298">
        <v>1582.3809523809523</v>
      </c>
      <c r="G107" s="296">
        <v>6.4697907150174528E-3</v>
      </c>
      <c r="H107" s="299">
        <v>199680.715</v>
      </c>
      <c r="I107" s="298">
        <v>2170.442554347826</v>
      </c>
      <c r="J107" s="300">
        <v>3.2986125745460265E-3</v>
      </c>
      <c r="K107" s="2">
        <v>120118.562672222</v>
      </c>
      <c r="L107" s="7">
        <v>1166.1996375943884</v>
      </c>
      <c r="M107" s="300">
        <v>4.96E-3</v>
      </c>
      <c r="N107" s="7">
        <v>212475.47312000001</v>
      </c>
      <c r="O107" s="7"/>
      <c r="P107" s="301">
        <v>3.1711781404714263E-3</v>
      </c>
      <c r="Q107" s="301" t="s">
        <v>310</v>
      </c>
      <c r="R107" s="301"/>
      <c r="S107" s="301"/>
      <c r="T107" s="2">
        <v>79562.152327777992</v>
      </c>
      <c r="U107" s="4">
        <v>0.39844685215484127</v>
      </c>
    </row>
    <row r="108" spans="2:21" ht="15.5" x14ac:dyDescent="0.35">
      <c r="B108" s="316" t="s">
        <v>96</v>
      </c>
      <c r="C108" s="316" t="s">
        <v>290</v>
      </c>
      <c r="D108" s="296">
        <v>0</v>
      </c>
      <c r="E108" s="297">
        <v>0</v>
      </c>
      <c r="F108" s="298">
        <v>0</v>
      </c>
      <c r="G108" s="296">
        <v>0</v>
      </c>
      <c r="H108" s="299">
        <v>0</v>
      </c>
      <c r="I108" s="298">
        <v>0</v>
      </c>
      <c r="J108" s="300">
        <v>0</v>
      </c>
      <c r="K108" s="2">
        <v>0</v>
      </c>
      <c r="L108" s="7">
        <v>0</v>
      </c>
      <c r="M108" s="300"/>
      <c r="N108" s="7">
        <v>0</v>
      </c>
      <c r="O108" s="7"/>
      <c r="P108" s="301">
        <v>0</v>
      </c>
      <c r="Q108" s="301" t="s">
        <v>308</v>
      </c>
      <c r="R108" s="301"/>
      <c r="S108" s="301"/>
      <c r="T108" s="2">
        <v>0</v>
      </c>
      <c r="U108" s="4" t="s">
        <v>309</v>
      </c>
    </row>
    <row r="109" spans="2:21" ht="15.5" x14ac:dyDescent="0.35">
      <c r="B109" s="305" t="s">
        <v>65</v>
      </c>
      <c r="C109" s="306" t="s">
        <v>290</v>
      </c>
      <c r="D109" s="296">
        <v>1.1945371194152143E-3</v>
      </c>
      <c r="E109" s="297">
        <v>40000</v>
      </c>
      <c r="F109" s="298">
        <v>380.95238095238096</v>
      </c>
      <c r="G109" s="296">
        <v>1.2960271531514604E-3</v>
      </c>
      <c r="H109" s="299">
        <v>40000</v>
      </c>
      <c r="I109" s="298">
        <v>434.78260869565219</v>
      </c>
      <c r="J109" s="300">
        <v>1.0984522295849437E-3</v>
      </c>
      <c r="K109" s="2">
        <v>40000</v>
      </c>
      <c r="L109" s="7">
        <v>388.34951456310682</v>
      </c>
      <c r="M109" s="300"/>
      <c r="N109" s="7">
        <v>0</v>
      </c>
      <c r="O109" s="7"/>
      <c r="P109" s="301">
        <v>1.9757492356651672E-4</v>
      </c>
      <c r="Q109" s="301" t="s">
        <v>310</v>
      </c>
      <c r="R109" s="301"/>
      <c r="S109" s="301"/>
      <c r="T109" s="2">
        <v>0</v>
      </c>
      <c r="U109" s="4">
        <v>0</v>
      </c>
    </row>
    <row r="110" spans="2:21" ht="15.5" x14ac:dyDescent="0.35">
      <c r="B110" s="305" t="s">
        <v>104</v>
      </c>
      <c r="C110" s="306" t="s">
        <v>290</v>
      </c>
      <c r="D110" s="296">
        <v>1.1945371194152143E-3</v>
      </c>
      <c r="E110" s="297">
        <v>40000</v>
      </c>
      <c r="F110" s="298">
        <v>380.95238095238096</v>
      </c>
      <c r="G110" s="296">
        <v>8.1001697071966274E-4</v>
      </c>
      <c r="H110" s="299">
        <v>25000</v>
      </c>
      <c r="I110" s="298">
        <v>271.73913043478262</v>
      </c>
      <c r="J110" s="300">
        <v>8.2383917218870777E-4</v>
      </c>
      <c r="K110" s="2">
        <v>30000</v>
      </c>
      <c r="L110" s="7">
        <v>291.26213592233012</v>
      </c>
      <c r="M110" s="300">
        <v>9.3000000000000005E-4</v>
      </c>
      <c r="N110" s="7">
        <v>39839.151210000004</v>
      </c>
      <c r="O110" s="7"/>
      <c r="P110" s="301">
        <v>3.845201486955516E-4</v>
      </c>
      <c r="Q110" s="301" t="s">
        <v>310</v>
      </c>
      <c r="R110" s="301"/>
      <c r="S110" s="301"/>
      <c r="T110" s="2">
        <v>15000</v>
      </c>
      <c r="U110" s="4">
        <v>0.375</v>
      </c>
    </row>
    <row r="111" spans="2:21" ht="15.5" x14ac:dyDescent="0.35">
      <c r="B111" t="s">
        <v>66</v>
      </c>
      <c r="C111" s="306" t="s">
        <v>290</v>
      </c>
      <c r="D111" s="296">
        <v>1.6424885391959196E-3</v>
      </c>
      <c r="E111" s="297">
        <v>55000</v>
      </c>
      <c r="F111" s="298">
        <v>523.80952380952385</v>
      </c>
      <c r="G111" s="296">
        <v>0</v>
      </c>
      <c r="H111" s="299">
        <v>0</v>
      </c>
      <c r="I111" s="298">
        <v>0</v>
      </c>
      <c r="J111" s="300">
        <v>1.6476783443774155E-3</v>
      </c>
      <c r="K111" s="2">
        <v>60000</v>
      </c>
      <c r="L111" s="7">
        <v>582.52427184466023</v>
      </c>
      <c r="M111" s="300">
        <v>1.4E-3</v>
      </c>
      <c r="N111" s="7">
        <v>59972.915800000002</v>
      </c>
      <c r="O111" s="7"/>
      <c r="P111" s="301">
        <v>5.189805181495975E-6</v>
      </c>
      <c r="Q111" s="301" t="s">
        <v>308</v>
      </c>
      <c r="R111" s="301"/>
      <c r="S111" s="301"/>
      <c r="T111" s="2">
        <v>5000</v>
      </c>
      <c r="U111" s="4">
        <v>8.3333333333333329E-2</v>
      </c>
    </row>
    <row r="112" spans="2:21" ht="15.5" x14ac:dyDescent="0.35">
      <c r="B112" s="318" t="s">
        <v>67</v>
      </c>
      <c r="C112" s="318"/>
      <c r="D112" s="296">
        <v>0</v>
      </c>
      <c r="E112" s="297">
        <v>0</v>
      </c>
      <c r="F112" s="298"/>
      <c r="G112" s="296">
        <v>0</v>
      </c>
      <c r="H112" s="299">
        <v>0</v>
      </c>
      <c r="I112" s="298" t="e">
        <v>#N/A</v>
      </c>
      <c r="J112" s="300">
        <v>0</v>
      </c>
      <c r="K112" s="2">
        <v>0</v>
      </c>
      <c r="L112" s="7" t="e">
        <v>#N/A</v>
      </c>
      <c r="M112" s="300"/>
      <c r="N112" s="7">
        <v>0</v>
      </c>
      <c r="O112" s="7"/>
      <c r="P112" s="301">
        <v>0</v>
      </c>
      <c r="Q112" s="301" t="s">
        <v>308</v>
      </c>
      <c r="R112" s="301"/>
      <c r="S112" s="301"/>
      <c r="T112" s="2">
        <v>0</v>
      </c>
      <c r="U112" s="4" t="s">
        <v>309</v>
      </c>
    </row>
    <row r="113" spans="2:21" ht="15.5" x14ac:dyDescent="0.35">
      <c r="B113" t="s">
        <v>68</v>
      </c>
      <c r="C113" s="306" t="s">
        <v>290</v>
      </c>
      <c r="D113" s="296">
        <v>1.7613151191497482E-2</v>
      </c>
      <c r="E113" s="297">
        <v>589790</v>
      </c>
      <c r="F113" s="298">
        <v>5617.0476190476193</v>
      </c>
      <c r="G113" s="296">
        <v>1.6321868204551053E-2</v>
      </c>
      <c r="H113" s="299">
        <v>503750.80999999994</v>
      </c>
      <c r="I113" s="298">
        <v>5475.5522826086954</v>
      </c>
      <c r="J113" s="300">
        <v>2.2733228059057583E-2</v>
      </c>
      <c r="K113" s="2">
        <v>827827.64500000002</v>
      </c>
      <c r="L113" s="7">
        <v>8037.1616019417479</v>
      </c>
      <c r="M113" s="300">
        <v>1.486E-2</v>
      </c>
      <c r="N113" s="7">
        <v>636569.66342</v>
      </c>
      <c r="O113" s="7"/>
      <c r="P113" s="301">
        <v>6.4113598545065299E-3</v>
      </c>
      <c r="Q113" s="301" t="s">
        <v>310</v>
      </c>
      <c r="R113" s="301"/>
      <c r="S113" s="301"/>
      <c r="T113" s="2">
        <v>324076.83500000008</v>
      </c>
      <c r="U113" s="4">
        <v>0.39147863321235193</v>
      </c>
    </row>
    <row r="114" spans="2:21" ht="15.5" x14ac:dyDescent="0.35">
      <c r="B114" t="s">
        <v>101</v>
      </c>
      <c r="C114" s="306" t="s">
        <v>290</v>
      </c>
      <c r="D114" s="296">
        <v>2.2397570989035266E-3</v>
      </c>
      <c r="E114" s="297">
        <v>75000</v>
      </c>
      <c r="F114" s="298">
        <v>714.28571428571433</v>
      </c>
      <c r="G114" s="296"/>
      <c r="H114" s="299">
        <v>0</v>
      </c>
      <c r="I114" s="298">
        <v>0</v>
      </c>
      <c r="J114" s="300"/>
      <c r="K114" s="2">
        <v>0</v>
      </c>
      <c r="L114" s="7">
        <v>0</v>
      </c>
      <c r="M114" s="300"/>
      <c r="N114" s="7">
        <v>0</v>
      </c>
      <c r="O114" s="7"/>
      <c r="P114" s="301">
        <v>0</v>
      </c>
      <c r="Q114" s="301" t="s">
        <v>310</v>
      </c>
      <c r="R114" s="301"/>
      <c r="S114" s="301"/>
      <c r="T114" s="2">
        <v>75000</v>
      </c>
      <c r="U114" s="4">
        <v>1</v>
      </c>
    </row>
    <row r="115" spans="2:21" ht="15.5" x14ac:dyDescent="0.35">
      <c r="B115" t="s">
        <v>69</v>
      </c>
      <c r="C115" s="306" t="s">
        <v>290</v>
      </c>
      <c r="D115" s="296">
        <v>1.0974809784627282E-3</v>
      </c>
      <c r="E115" s="297">
        <v>36750</v>
      </c>
      <c r="F115" s="298">
        <v>350</v>
      </c>
      <c r="G115" s="296">
        <v>1.0546420958770007E-3</v>
      </c>
      <c r="H115" s="299">
        <v>32549.999999999996</v>
      </c>
      <c r="I115" s="298">
        <v>353.80434782608694</v>
      </c>
      <c r="J115" s="300">
        <v>9.899800719134304E-4</v>
      </c>
      <c r="K115" s="2">
        <v>36050</v>
      </c>
      <c r="L115" s="7">
        <v>350</v>
      </c>
      <c r="M115" s="300">
        <v>1.2700000000000001E-3</v>
      </c>
      <c r="N115" s="7">
        <v>54404.002190000007</v>
      </c>
      <c r="O115" s="7"/>
      <c r="P115" s="301">
        <v>1.0750090654929783E-4</v>
      </c>
      <c r="Q115" s="301" t="s">
        <v>310</v>
      </c>
      <c r="R115" s="301"/>
      <c r="S115" s="301"/>
      <c r="T115" s="2">
        <v>4200.0000000000036</v>
      </c>
      <c r="U115" s="4">
        <v>0.11428571428571438</v>
      </c>
    </row>
    <row r="116" spans="2:21" ht="15.5" x14ac:dyDescent="0.35">
      <c r="B116" s="318" t="s">
        <v>70</v>
      </c>
      <c r="C116" s="318"/>
      <c r="D116" s="296">
        <v>0</v>
      </c>
      <c r="E116" s="297">
        <v>0</v>
      </c>
      <c r="F116" s="298"/>
      <c r="G116" s="296">
        <v>0</v>
      </c>
      <c r="H116" s="299">
        <v>0</v>
      </c>
      <c r="I116" s="298" t="e">
        <v>#N/A</v>
      </c>
      <c r="J116" s="300">
        <v>0</v>
      </c>
      <c r="K116" s="2">
        <v>0</v>
      </c>
      <c r="L116" s="7" t="e">
        <v>#N/A</v>
      </c>
      <c r="M116" s="300"/>
      <c r="N116" s="7">
        <v>0</v>
      </c>
      <c r="O116" s="7"/>
      <c r="P116" s="301">
        <v>0</v>
      </c>
      <c r="Q116" s="301" t="s">
        <v>308</v>
      </c>
      <c r="R116" s="301"/>
      <c r="S116" s="301"/>
      <c r="T116" s="2">
        <v>0</v>
      </c>
      <c r="U116" s="4" t="s">
        <v>309</v>
      </c>
    </row>
    <row r="117" spans="2:21" ht="15.5" x14ac:dyDescent="0.35">
      <c r="B117" t="s">
        <v>71</v>
      </c>
      <c r="C117" s="306" t="s">
        <v>270</v>
      </c>
      <c r="D117" s="296">
        <v>4.8175025030599915E-4</v>
      </c>
      <c r="E117" s="297">
        <v>16131.78</v>
      </c>
      <c r="F117" s="298">
        <v>1.4717434540644103</v>
      </c>
      <c r="G117" s="296">
        <v>0</v>
      </c>
      <c r="H117" s="299">
        <v>0</v>
      </c>
      <c r="I117" s="298">
        <v>0</v>
      </c>
      <c r="J117" s="300">
        <v>1.8673687902944042E-4</v>
      </c>
      <c r="K117" s="2">
        <v>6800</v>
      </c>
      <c r="L117" s="7">
        <v>0.63541900276594154</v>
      </c>
      <c r="M117" s="300">
        <v>5.0000000000000002E-5</v>
      </c>
      <c r="N117" s="7">
        <v>2141.88985</v>
      </c>
      <c r="O117" s="7"/>
      <c r="P117" s="301">
        <v>2.9501337127655876E-4</v>
      </c>
      <c r="Q117" s="301" t="s">
        <v>308</v>
      </c>
      <c r="R117" s="301"/>
      <c r="S117" s="301"/>
      <c r="T117" s="2">
        <v>9331.7800000000007</v>
      </c>
      <c r="U117" s="4">
        <v>0.57847181154218574</v>
      </c>
    </row>
    <row r="118" spans="2:21" ht="15.5" x14ac:dyDescent="0.35">
      <c r="B118" s="316" t="s">
        <v>85</v>
      </c>
      <c r="C118" s="316" t="s">
        <v>264</v>
      </c>
      <c r="D118" s="296">
        <v>4.2777141736358047E-3</v>
      </c>
      <c r="E118" s="297">
        <v>143242.57</v>
      </c>
      <c r="F118" s="298">
        <v>2.2870508685655895</v>
      </c>
      <c r="G118" s="296">
        <v>6.4272578579087219E-3</v>
      </c>
      <c r="H118" s="299">
        <v>198368</v>
      </c>
      <c r="I118" s="298">
        <v>3.7474591000113349</v>
      </c>
      <c r="J118" s="300">
        <v>0</v>
      </c>
      <c r="K118" s="2">
        <v>0</v>
      </c>
      <c r="L118" s="7">
        <v>0</v>
      </c>
      <c r="M118" s="300">
        <v>2.8E-3</v>
      </c>
      <c r="N118" s="7">
        <v>119945.8316</v>
      </c>
      <c r="O118" s="7"/>
      <c r="P118" s="301">
        <v>2.1495436842729173E-3</v>
      </c>
      <c r="Q118" s="301" t="s">
        <v>308</v>
      </c>
      <c r="R118" s="301"/>
      <c r="S118" s="301"/>
      <c r="T118" s="2">
        <v>55125.429999999993</v>
      </c>
      <c r="U118" s="4">
        <v>0.27789477133408613</v>
      </c>
    </row>
    <row r="119" spans="2:21" ht="15.5" x14ac:dyDescent="0.35">
      <c r="B119" s="305" t="s">
        <v>72</v>
      </c>
      <c r="C119" s="306" t="s">
        <v>264</v>
      </c>
      <c r="D119" s="296">
        <v>3.0950158129768347E-3</v>
      </c>
      <c r="E119" s="297">
        <v>103639</v>
      </c>
      <c r="F119" s="298">
        <v>1.6547292119044579</v>
      </c>
      <c r="G119" s="296">
        <v>4.3212137340375989E-3</v>
      </c>
      <c r="H119" s="299">
        <v>133368</v>
      </c>
      <c r="I119" s="298">
        <v>2.5195148675709373</v>
      </c>
      <c r="J119" s="300">
        <v>2.7461305739623592E-3</v>
      </c>
      <c r="K119" s="2">
        <v>100000</v>
      </c>
      <c r="L119" s="7">
        <v>1.6352694924123496</v>
      </c>
      <c r="M119" s="300"/>
      <c r="N119" s="7">
        <v>0</v>
      </c>
      <c r="O119" s="7"/>
      <c r="P119" s="301">
        <v>1.5750831600752396E-3</v>
      </c>
      <c r="Q119" s="301" t="s">
        <v>310</v>
      </c>
      <c r="R119" s="301"/>
      <c r="S119" s="301"/>
      <c r="T119" s="2">
        <v>33368</v>
      </c>
      <c r="U119" s="4">
        <v>0.25019494931317859</v>
      </c>
    </row>
    <row r="120" spans="2:21" ht="15.5" x14ac:dyDescent="0.35">
      <c r="B120" s="305" t="s">
        <v>307</v>
      </c>
      <c r="C120" s="306" t="s">
        <v>290</v>
      </c>
      <c r="D120" s="296">
        <v>1.18269836065897E-3</v>
      </c>
      <c r="E120" s="297">
        <v>39603.57</v>
      </c>
      <c r="F120" s="298">
        <v>377.17685714285716</v>
      </c>
      <c r="G120" s="296">
        <v>0</v>
      </c>
      <c r="H120" s="299">
        <v>0</v>
      </c>
      <c r="I120" s="298">
        <v>0</v>
      </c>
      <c r="J120" s="300">
        <v>1.7849848730755334E-3</v>
      </c>
      <c r="K120" s="2">
        <v>65000</v>
      </c>
      <c r="L120" s="7">
        <v>631.06796116504859</v>
      </c>
      <c r="M120" s="300"/>
      <c r="N120" s="7">
        <v>0</v>
      </c>
      <c r="O120" s="7"/>
      <c r="P120" s="301">
        <v>6.0228651241656344E-4</v>
      </c>
      <c r="Q120" s="301" t="s">
        <v>308</v>
      </c>
      <c r="R120" s="301"/>
      <c r="S120" s="301"/>
      <c r="T120" s="2">
        <v>25396.43</v>
      </c>
      <c r="U120" s="4">
        <v>0.39071430769230769</v>
      </c>
    </row>
    <row r="121" spans="2:21" ht="15.5" x14ac:dyDescent="0.35">
      <c r="B121" s="305" t="s">
        <v>86</v>
      </c>
      <c r="C121" s="306" t="s">
        <v>290</v>
      </c>
      <c r="D121" s="296">
        <v>0</v>
      </c>
      <c r="E121" s="297">
        <v>0</v>
      </c>
      <c r="F121" s="298">
        <v>0</v>
      </c>
      <c r="G121" s="296">
        <v>0</v>
      </c>
      <c r="H121" s="299">
        <v>0</v>
      </c>
      <c r="I121" s="298">
        <v>0</v>
      </c>
      <c r="J121" s="300">
        <v>0</v>
      </c>
      <c r="K121" s="2">
        <v>0</v>
      </c>
      <c r="L121" s="7">
        <v>0</v>
      </c>
      <c r="M121" s="300"/>
      <c r="N121" s="7">
        <v>0</v>
      </c>
      <c r="O121" s="7"/>
      <c r="P121" s="301">
        <v>0</v>
      </c>
      <c r="Q121" s="301" t="s">
        <v>308</v>
      </c>
      <c r="R121" s="301"/>
      <c r="S121" s="301"/>
      <c r="T121" s="2">
        <v>0</v>
      </c>
      <c r="U121" s="4" t="s">
        <v>309</v>
      </c>
    </row>
    <row r="122" spans="2:21" ht="15.5" x14ac:dyDescent="0.35">
      <c r="B122" t="s">
        <v>73</v>
      </c>
      <c r="C122" s="306" t="s">
        <v>290</v>
      </c>
      <c r="D122" s="296">
        <v>1.493171399269018E-3</v>
      </c>
      <c r="E122" s="297">
        <v>50000</v>
      </c>
      <c r="F122" s="298">
        <v>476.1904761904762</v>
      </c>
      <c r="G122" s="296">
        <v>0</v>
      </c>
      <c r="H122" s="299">
        <v>0</v>
      </c>
      <c r="I122" s="298">
        <v>0</v>
      </c>
      <c r="J122" s="300">
        <v>0</v>
      </c>
      <c r="K122" s="2">
        <v>0</v>
      </c>
      <c r="L122" s="7">
        <v>0</v>
      </c>
      <c r="M122" s="300"/>
      <c r="N122" s="7">
        <v>0</v>
      </c>
      <c r="O122" s="7"/>
      <c r="P122" s="301">
        <v>1.493171399269018E-3</v>
      </c>
      <c r="Q122" s="301" t="s">
        <v>308</v>
      </c>
      <c r="R122" s="301"/>
      <c r="S122" s="301"/>
      <c r="T122" s="2">
        <v>50000</v>
      </c>
      <c r="U122" s="4">
        <v>1</v>
      </c>
    </row>
    <row r="123" spans="2:21" ht="15.5" x14ac:dyDescent="0.35">
      <c r="B123" s="316" t="s">
        <v>74</v>
      </c>
      <c r="C123" s="316" t="s">
        <v>264</v>
      </c>
      <c r="D123" s="296">
        <v>2.1181621791754535E-2</v>
      </c>
      <c r="E123" s="297">
        <v>709283</v>
      </c>
      <c r="F123" s="298">
        <v>11.324610422787075</v>
      </c>
      <c r="G123" s="296">
        <v>2.5317598830704318E-2</v>
      </c>
      <c r="H123" s="299">
        <v>781391</v>
      </c>
      <c r="I123" s="298">
        <v>14.761608795858994</v>
      </c>
      <c r="J123" s="300">
        <v>0</v>
      </c>
      <c r="K123" s="2">
        <v>0</v>
      </c>
      <c r="L123" s="7">
        <v>0</v>
      </c>
      <c r="M123" s="300">
        <v>2.0420000000000001E-2</v>
      </c>
      <c r="N123" s="7">
        <v>874747.81474000006</v>
      </c>
      <c r="O123" s="7"/>
      <c r="P123" s="301">
        <v>4.1359770389497834E-3</v>
      </c>
      <c r="Q123" s="301" t="s">
        <v>308</v>
      </c>
      <c r="R123" s="301"/>
      <c r="S123" s="301"/>
      <c r="T123" s="2">
        <v>72108</v>
      </c>
      <c r="U123" s="4">
        <v>9.2281585019535678E-2</v>
      </c>
    </row>
    <row r="124" spans="2:21" ht="15.5" x14ac:dyDescent="0.35">
      <c r="B124" s="305" t="s">
        <v>75</v>
      </c>
      <c r="C124" s="306" t="s">
        <v>264</v>
      </c>
      <c r="D124" s="296">
        <v>2.561445945162044E-3</v>
      </c>
      <c r="E124" s="297">
        <v>85772</v>
      </c>
      <c r="F124" s="298">
        <v>1.369459701111253</v>
      </c>
      <c r="G124" s="296">
        <v>3.186315156701694E-3</v>
      </c>
      <c r="H124" s="299">
        <v>98341</v>
      </c>
      <c r="I124" s="298">
        <v>1.8578040578834021</v>
      </c>
      <c r="J124" s="300">
        <v>2.7005722677403239E-3</v>
      </c>
      <c r="K124" s="2">
        <v>98341.000000000015</v>
      </c>
      <c r="L124" s="7">
        <v>1.608140371533229</v>
      </c>
      <c r="M124" s="300"/>
      <c r="N124" s="7">
        <v>0</v>
      </c>
      <c r="O124" s="7"/>
      <c r="P124" s="301">
        <v>6.2486921153965007E-4</v>
      </c>
      <c r="Q124" s="301" t="s">
        <v>310</v>
      </c>
      <c r="R124" s="301"/>
      <c r="S124" s="301"/>
      <c r="T124" s="2">
        <v>12569.000000000015</v>
      </c>
      <c r="U124" s="4">
        <v>0.12781037410642573</v>
      </c>
    </row>
    <row r="125" spans="2:21" ht="15.5" x14ac:dyDescent="0.35">
      <c r="B125" s="305" t="s">
        <v>76</v>
      </c>
      <c r="C125" s="306" t="s">
        <v>290</v>
      </c>
      <c r="D125" s="296">
        <v>3.9047925262284087E-3</v>
      </c>
      <c r="E125" s="297">
        <v>130755</v>
      </c>
      <c r="F125" s="298">
        <v>1245.2857142857142</v>
      </c>
      <c r="G125" s="296">
        <v>7.2901527364769647E-3</v>
      </c>
      <c r="H125" s="299">
        <v>225000</v>
      </c>
      <c r="I125" s="298">
        <v>2445.6521739130435</v>
      </c>
      <c r="J125" s="300">
        <v>6.1787937914153084E-3</v>
      </c>
      <c r="K125" s="2">
        <v>225000</v>
      </c>
      <c r="L125" s="7">
        <v>2184.4660194174758</v>
      </c>
      <c r="M125" s="300"/>
      <c r="N125" s="7">
        <v>0</v>
      </c>
      <c r="O125" s="7"/>
      <c r="P125" s="301">
        <v>3.385360210248556E-3</v>
      </c>
      <c r="Q125" s="301" t="s">
        <v>310</v>
      </c>
      <c r="R125" s="301"/>
      <c r="S125" s="301"/>
      <c r="T125" s="2">
        <v>94245</v>
      </c>
      <c r="U125" s="4">
        <v>0.41886666666666666</v>
      </c>
    </row>
    <row r="126" spans="2:21" ht="15.5" x14ac:dyDescent="0.35">
      <c r="B126" s="305" t="s">
        <v>77</v>
      </c>
      <c r="C126" s="306" t="s">
        <v>290</v>
      </c>
      <c r="D126" s="296">
        <v>1.0452199794883125E-3</v>
      </c>
      <c r="E126" s="297">
        <v>35000</v>
      </c>
      <c r="F126" s="298">
        <v>333.33333333333331</v>
      </c>
      <c r="G126" s="296">
        <v>1.1340237590075277E-3</v>
      </c>
      <c r="H126" s="299">
        <v>35000</v>
      </c>
      <c r="I126" s="298">
        <v>380.43478260869563</v>
      </c>
      <c r="J126" s="300">
        <v>9.6114570088682574E-4</v>
      </c>
      <c r="K126" s="2">
        <v>35000</v>
      </c>
      <c r="L126" s="7">
        <v>339.80582524271847</v>
      </c>
      <c r="M126" s="300"/>
      <c r="N126" s="7">
        <v>0</v>
      </c>
      <c r="O126" s="7"/>
      <c r="P126" s="301">
        <v>1.7287805812070194E-4</v>
      </c>
      <c r="Q126" s="301" t="s">
        <v>310</v>
      </c>
      <c r="R126" s="301"/>
      <c r="S126" s="301"/>
      <c r="T126" s="2">
        <v>0</v>
      </c>
      <c r="U126" s="4">
        <v>0</v>
      </c>
    </row>
    <row r="127" spans="2:21" ht="15.5" x14ac:dyDescent="0.35">
      <c r="B127" s="305" t="s">
        <v>78</v>
      </c>
      <c r="C127" s="306" t="s">
        <v>290</v>
      </c>
      <c r="D127" s="296">
        <v>2.8370256586111339E-3</v>
      </c>
      <c r="E127" s="297">
        <v>95000</v>
      </c>
      <c r="F127" s="298">
        <v>904.76190476190482</v>
      </c>
      <c r="G127" s="296">
        <v>3.1428658463922912E-3</v>
      </c>
      <c r="H127" s="299">
        <v>97000</v>
      </c>
      <c r="I127" s="298">
        <v>1054.3478260869565</v>
      </c>
      <c r="J127" s="300">
        <v>2.6637466567434884E-3</v>
      </c>
      <c r="K127" s="2">
        <v>97000</v>
      </c>
      <c r="L127" s="7">
        <v>941.747572815534</v>
      </c>
      <c r="M127" s="300"/>
      <c r="N127" s="7">
        <v>0</v>
      </c>
      <c r="O127" s="7"/>
      <c r="P127" s="301">
        <v>4.7911918964880281E-4</v>
      </c>
      <c r="Q127" s="301" t="s">
        <v>310</v>
      </c>
      <c r="R127" s="301"/>
      <c r="S127" s="301"/>
      <c r="T127" s="2">
        <v>2000</v>
      </c>
      <c r="U127" s="4">
        <v>2.0618556701030927E-2</v>
      </c>
    </row>
    <row r="128" spans="2:21" ht="15.5" x14ac:dyDescent="0.35">
      <c r="B128" s="305" t="s">
        <v>80</v>
      </c>
      <c r="C128" s="306" t="s">
        <v>290</v>
      </c>
      <c r="D128" s="296">
        <v>1.0534503402410833E-2</v>
      </c>
      <c r="E128" s="297">
        <v>352756</v>
      </c>
      <c r="F128" s="298">
        <v>3359.5809523809526</v>
      </c>
      <c r="G128" s="296">
        <v>1.0240234543837975E-2</v>
      </c>
      <c r="H128" s="299">
        <v>316050</v>
      </c>
      <c r="I128" s="298">
        <v>3435.3260869565215</v>
      </c>
      <c r="J128" s="300">
        <v>1.0769500271908185E-2</v>
      </c>
      <c r="K128" s="2">
        <v>392170</v>
      </c>
      <c r="L128" s="7">
        <v>3807.4757281553398</v>
      </c>
      <c r="M128" s="300"/>
      <c r="N128" s="7">
        <v>0</v>
      </c>
      <c r="O128" s="7"/>
      <c r="P128" s="301">
        <v>5.2926572807020927E-4</v>
      </c>
      <c r="Q128" s="301" t="s">
        <v>310</v>
      </c>
      <c r="R128" s="301"/>
      <c r="S128" s="301"/>
      <c r="T128" s="2">
        <v>76120</v>
      </c>
      <c r="U128" s="4">
        <v>0.19409949766682816</v>
      </c>
    </row>
    <row r="129" spans="2:21" ht="15.5" x14ac:dyDescent="0.35">
      <c r="B129" s="305" t="s">
        <v>79</v>
      </c>
      <c r="C129" s="306" t="s">
        <v>290</v>
      </c>
      <c r="D129" s="296">
        <v>2.9863427985380358E-4</v>
      </c>
      <c r="E129" s="297">
        <v>10000</v>
      </c>
      <c r="F129" s="298">
        <v>95.238095238095241</v>
      </c>
      <c r="G129" s="296">
        <v>3.2400678828786511E-4</v>
      </c>
      <c r="H129" s="299">
        <v>10000</v>
      </c>
      <c r="I129" s="298">
        <v>108.69565217391305</v>
      </c>
      <c r="J129" s="300">
        <v>2.7461305739623592E-4</v>
      </c>
      <c r="K129" s="2">
        <v>10000</v>
      </c>
      <c r="L129" s="7">
        <v>97.087378640776706</v>
      </c>
      <c r="M129" s="300"/>
      <c r="N129" s="7">
        <v>0</v>
      </c>
      <c r="O129" s="7"/>
      <c r="P129" s="301">
        <v>4.9393730891629181E-5</v>
      </c>
      <c r="Q129" s="301" t="s">
        <v>310</v>
      </c>
      <c r="R129" s="301"/>
      <c r="S129" s="301"/>
      <c r="T129" s="2">
        <v>0</v>
      </c>
      <c r="U129" s="4">
        <v>0</v>
      </c>
    </row>
    <row r="130" spans="2:21" ht="15.5" x14ac:dyDescent="0.35">
      <c r="B130" t="s">
        <v>81</v>
      </c>
      <c r="C130" s="306" t="s">
        <v>264</v>
      </c>
      <c r="D130" s="296">
        <v>0</v>
      </c>
      <c r="E130" s="297">
        <v>0</v>
      </c>
      <c r="F130" s="298">
        <v>0</v>
      </c>
      <c r="G130" s="296">
        <v>0</v>
      </c>
      <c r="H130" s="299">
        <v>0</v>
      </c>
      <c r="I130" s="298">
        <v>0</v>
      </c>
      <c r="J130" s="300">
        <v>0</v>
      </c>
      <c r="K130" s="2">
        <v>0</v>
      </c>
      <c r="L130" s="7">
        <v>0</v>
      </c>
      <c r="M130" s="300"/>
      <c r="N130" s="7">
        <v>0</v>
      </c>
      <c r="O130" s="7"/>
      <c r="P130" s="301">
        <v>0</v>
      </c>
      <c r="Q130" s="301" t="s">
        <v>308</v>
      </c>
      <c r="R130" s="301"/>
      <c r="S130" s="301"/>
      <c r="T130" s="2">
        <v>0</v>
      </c>
      <c r="U130" s="4" t="s">
        <v>309</v>
      </c>
    </row>
    <row r="131" spans="2:21" ht="15.5" x14ac:dyDescent="0.35">
      <c r="B131" t="s">
        <v>64</v>
      </c>
      <c r="C131" s="306" t="s">
        <v>290</v>
      </c>
      <c r="D131" s="296">
        <v>7.4658569963450899E-4</v>
      </c>
      <c r="E131" s="297">
        <v>25000</v>
      </c>
      <c r="F131" s="298">
        <v>238.0952380952381</v>
      </c>
      <c r="G131" s="296">
        <v>8.1001697071966274E-4</v>
      </c>
      <c r="H131" s="299">
        <v>25000</v>
      </c>
      <c r="I131" s="298">
        <v>271.73913043478262</v>
      </c>
      <c r="J131" s="300">
        <v>0</v>
      </c>
      <c r="K131" s="2">
        <v>0</v>
      </c>
      <c r="L131" s="7">
        <v>0</v>
      </c>
      <c r="M131" s="300">
        <v>5.8E-4</v>
      </c>
      <c r="N131" s="7">
        <v>24845.922259999999</v>
      </c>
      <c r="O131" s="7"/>
      <c r="P131" s="301">
        <v>6.3431271085153751E-5</v>
      </c>
      <c r="Q131" s="301" t="s">
        <v>308</v>
      </c>
      <c r="R131" s="301"/>
      <c r="S131" s="301"/>
      <c r="T131" s="2">
        <v>0</v>
      </c>
      <c r="U131" s="4">
        <v>0</v>
      </c>
    </row>
    <row r="132" spans="2:21" ht="15.5" x14ac:dyDescent="0.35">
      <c r="B132" t="s">
        <v>82</v>
      </c>
      <c r="C132" s="306" t="s">
        <v>290</v>
      </c>
      <c r="D132" s="296">
        <v>5.9726855970760717E-4</v>
      </c>
      <c r="E132" s="297">
        <v>20000</v>
      </c>
      <c r="F132" s="298">
        <v>190.47619047619048</v>
      </c>
      <c r="G132" s="296">
        <v>6.4801357657573021E-4</v>
      </c>
      <c r="H132" s="299">
        <v>20000</v>
      </c>
      <c r="I132" s="298">
        <v>217.39130434782609</v>
      </c>
      <c r="J132" s="300">
        <v>5.4922611479247185E-4</v>
      </c>
      <c r="K132" s="2">
        <v>20000</v>
      </c>
      <c r="L132" s="7">
        <v>194.17475728155341</v>
      </c>
      <c r="M132" s="300">
        <v>3.5E-4</v>
      </c>
      <c r="N132" s="7">
        <v>14993.228950000001</v>
      </c>
      <c r="O132" s="7"/>
      <c r="P132" s="301">
        <v>9.8787461783258362E-5</v>
      </c>
      <c r="Q132" s="301" t="s">
        <v>310</v>
      </c>
      <c r="R132" s="301"/>
      <c r="S132" s="301"/>
      <c r="T132" s="2">
        <v>0</v>
      </c>
      <c r="U132" s="4">
        <v>0</v>
      </c>
    </row>
    <row r="133" spans="2:21" ht="15.5" x14ac:dyDescent="0.35">
      <c r="B133" t="s">
        <v>83</v>
      </c>
      <c r="C133" s="306" t="s">
        <v>290</v>
      </c>
      <c r="D133" s="296">
        <v>0</v>
      </c>
      <c r="E133" s="297">
        <v>0</v>
      </c>
      <c r="F133" s="298">
        <v>0</v>
      </c>
      <c r="G133" s="296">
        <v>3.2400678828786511E-4</v>
      </c>
      <c r="H133" s="299">
        <v>10000</v>
      </c>
      <c r="I133" s="298">
        <v>108.69565217391305</v>
      </c>
      <c r="J133" s="300">
        <v>5.4922611479247185E-4</v>
      </c>
      <c r="K133" s="2">
        <v>20000</v>
      </c>
      <c r="L133" s="7">
        <v>194.17475728155341</v>
      </c>
      <c r="M133" s="300">
        <v>2.3000000000000001E-4</v>
      </c>
      <c r="N133" s="7">
        <v>9852.6933100000006</v>
      </c>
      <c r="O133" s="7"/>
      <c r="P133" s="301">
        <v>2.2521932650460674E-4</v>
      </c>
      <c r="Q133" s="301" t="s">
        <v>308</v>
      </c>
      <c r="R133" s="301"/>
      <c r="S133" s="301"/>
      <c r="T133" s="2">
        <v>10000</v>
      </c>
      <c r="U133" s="4">
        <v>0.5</v>
      </c>
    </row>
    <row r="134" spans="2:21" ht="15.5" x14ac:dyDescent="0.35">
      <c r="B134" t="s">
        <v>84</v>
      </c>
      <c r="C134" s="306" t="s">
        <v>290</v>
      </c>
      <c r="D134" s="296">
        <v>7.4658569963450896E-3</v>
      </c>
      <c r="E134" s="297">
        <v>250000</v>
      </c>
      <c r="F134" s="298">
        <v>2380.9523809523807</v>
      </c>
      <c r="G134" s="296">
        <v>6.4801357657573019E-3</v>
      </c>
      <c r="H134" s="299">
        <v>200000</v>
      </c>
      <c r="I134" s="298">
        <v>2173.913043478261</v>
      </c>
      <c r="J134" s="300">
        <v>5.4922611479247185E-3</v>
      </c>
      <c r="K134" s="2">
        <v>200000</v>
      </c>
      <c r="L134" s="7">
        <v>1941.7475728155339</v>
      </c>
      <c r="M134" s="300">
        <v>4.6699999999999997E-3</v>
      </c>
      <c r="N134" s="7">
        <v>200052.51199</v>
      </c>
      <c r="O134" s="7"/>
      <c r="P134" s="301">
        <v>1.9735958484203711E-3</v>
      </c>
      <c r="Q134" s="301" t="s">
        <v>310</v>
      </c>
      <c r="R134" s="301"/>
      <c r="S134" s="301"/>
      <c r="T134" s="2">
        <v>50000</v>
      </c>
      <c r="U134" s="4">
        <v>0.2</v>
      </c>
    </row>
    <row r="135" spans="2:21" ht="15.5" x14ac:dyDescent="0.35">
      <c r="E135" s="1"/>
      <c r="F135" s="1"/>
      <c r="H135" s="1"/>
      <c r="I135" s="1"/>
    </row>
    <row r="136" spans="2:21" x14ac:dyDescent="0.35">
      <c r="D136" s="301">
        <v>1.7470135344766573</v>
      </c>
      <c r="E136" s="301"/>
      <c r="F136" s="301"/>
      <c r="G136" s="301">
        <v>1.7446038466109306</v>
      </c>
      <c r="H136" s="301"/>
      <c r="I136" s="301"/>
      <c r="J136" s="301">
        <v>1.7246437372134309</v>
      </c>
      <c r="K136" s="301"/>
      <c r="L136" s="301"/>
      <c r="M136" s="301">
        <v>1.0000099999999996</v>
      </c>
      <c r="N136" s="7"/>
      <c r="O136" s="7"/>
    </row>
    <row r="142" spans="2:21" x14ac:dyDescent="0.35">
      <c r="C142" s="301">
        <v>5.56654708664652E-2</v>
      </c>
      <c r="D142" s="301"/>
      <c r="E142" s="301"/>
      <c r="F142" s="301">
        <v>4.1203318419476581E-2</v>
      </c>
      <c r="G142" s="301"/>
      <c r="H142" s="301"/>
      <c r="I142" s="301">
        <v>3.0076784131570441E-2</v>
      </c>
    </row>
    <row r="143" spans="2:21" x14ac:dyDescent="0.35">
      <c r="C143" s="301">
        <v>4.6643747777724426E-2</v>
      </c>
    </row>
  </sheetData>
  <mergeCells count="1">
    <mergeCell ref="D1:E1"/>
  </mergeCells>
  <conditionalFormatting sqref="M25:M134">
    <cfRule type="colorScale" priority="1">
      <colorScale>
        <cfvo type="percent" val="0"/>
        <cfvo type="percentile" val="2"/>
        <cfvo type="percent" val="10"/>
        <color rgb="FFF8696B"/>
        <color rgb="FFFFEB84"/>
        <color rgb="FF63BE7B"/>
      </colorScale>
    </cfRule>
  </conditionalFormatting>
  <conditionalFormatting sqref="D25:D26">
    <cfRule type="colorScale" priority="5">
      <colorScale>
        <cfvo type="percent" val="0"/>
        <cfvo type="percent" val="10"/>
        <color rgb="FFFF7128"/>
        <color theme="9"/>
      </colorScale>
    </cfRule>
  </conditionalFormatting>
  <conditionalFormatting sqref="D25:D134">
    <cfRule type="colorScale" priority="3">
      <colorScale>
        <cfvo type="percent" val="0"/>
        <cfvo type="percentile" val="2"/>
        <cfvo type="percent" val="10"/>
        <color rgb="FFF8696B"/>
        <color rgb="FFFFEB84"/>
        <color rgb="FF63BE7B"/>
      </colorScale>
    </cfRule>
    <cfRule type="colorScale" priority="4">
      <colorScale>
        <cfvo type="percent" val="0"/>
        <cfvo type="percent" val="10"/>
        <color rgb="FFFF7128"/>
        <color theme="9" tint="0.39997558519241921"/>
      </colorScale>
    </cfRule>
  </conditionalFormatting>
  <conditionalFormatting sqref="G25:G134 D25:D134 J25:J134">
    <cfRule type="colorScale" priority="2">
      <colorScale>
        <cfvo type="percent" val="0"/>
        <cfvo type="percentile" val="2"/>
        <cfvo type="percent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20F2-5B6E-4D2A-AACA-05BABCAA420E}">
  <dimension ref="A5:L75"/>
  <sheetViews>
    <sheetView topLeftCell="B3" zoomScale="108" zoomScaleNormal="100" workbookViewId="0">
      <selection activeCell="B42" sqref="B42"/>
    </sheetView>
  </sheetViews>
  <sheetFormatPr defaultRowHeight="14.5" x14ac:dyDescent="0.35"/>
  <cols>
    <col min="1" max="1" width="18.453125" customWidth="1"/>
    <col min="2" max="2" width="18.6328125" bestFit="1" customWidth="1"/>
    <col min="3" max="11" width="20" customWidth="1"/>
  </cols>
  <sheetData>
    <row r="5" spans="1:12" x14ac:dyDescent="0.35">
      <c r="A5" s="260"/>
      <c r="B5" s="260"/>
    </row>
    <row r="6" spans="1:12" x14ac:dyDescent="0.35">
      <c r="A6" s="260"/>
      <c r="B6" s="260"/>
    </row>
    <row r="7" spans="1:12" x14ac:dyDescent="0.35">
      <c r="A7" s="260"/>
      <c r="B7" s="260"/>
    </row>
    <row r="8" spans="1:12" x14ac:dyDescent="0.35">
      <c r="A8" s="260"/>
      <c r="B8" s="260"/>
    </row>
    <row r="9" spans="1:12" x14ac:dyDescent="0.35">
      <c r="A9" s="260"/>
      <c r="B9" s="260"/>
    </row>
    <row r="10" spans="1:12" x14ac:dyDescent="0.35">
      <c r="A10" s="260"/>
      <c r="B10" s="260"/>
    </row>
    <row r="11" spans="1:12" x14ac:dyDescent="0.35">
      <c r="A11" s="260"/>
      <c r="B11" s="260"/>
    </row>
    <row r="12" spans="1:12" x14ac:dyDescent="0.35">
      <c r="A12" s="260"/>
      <c r="B12" s="260"/>
    </row>
    <row r="13" spans="1:12" x14ac:dyDescent="0.35">
      <c r="A13" s="260"/>
      <c r="B13" s="260"/>
    </row>
    <row r="14" spans="1:12" x14ac:dyDescent="0.35">
      <c r="A14" s="260"/>
      <c r="B14" s="260"/>
    </row>
    <row r="15" spans="1:12" x14ac:dyDescent="0.35">
      <c r="A15" s="260"/>
      <c r="B15" s="260"/>
      <c r="J15" t="s">
        <v>253</v>
      </c>
    </row>
    <row r="16" spans="1:12" ht="14.5" customHeight="1" x14ac:dyDescent="0.35">
      <c r="A16" s="260"/>
      <c r="B16" s="260"/>
      <c r="J16" t="s">
        <v>254</v>
      </c>
      <c r="K16">
        <f>K18*L16</f>
        <v>4355</v>
      </c>
      <c r="L16" s="4">
        <v>0.67</v>
      </c>
    </row>
    <row r="17" spans="1:12" x14ac:dyDescent="0.35">
      <c r="A17" s="260"/>
      <c r="B17" s="260"/>
      <c r="J17" t="s">
        <v>255</v>
      </c>
      <c r="K17">
        <v>1950</v>
      </c>
      <c r="L17" s="4">
        <f>1-L16</f>
        <v>0.32999999999999996</v>
      </c>
    </row>
    <row r="18" spans="1:12" x14ac:dyDescent="0.35">
      <c r="A18" s="260"/>
      <c r="B18" s="260" t="s">
        <v>261</v>
      </c>
      <c r="K18">
        <v>6500</v>
      </c>
    </row>
    <row r="19" spans="1:12" x14ac:dyDescent="0.35">
      <c r="A19" s="260"/>
      <c r="B19" s="260"/>
      <c r="C19" t="s">
        <v>115</v>
      </c>
      <c r="D19" t="s">
        <v>219</v>
      </c>
      <c r="E19" t="s">
        <v>250</v>
      </c>
      <c r="F19" t="s">
        <v>257</v>
      </c>
      <c r="G19" t="s">
        <v>252</v>
      </c>
      <c r="H19" t="s">
        <v>251</v>
      </c>
      <c r="I19" t="s">
        <v>258</v>
      </c>
    </row>
    <row r="20" spans="1:12" ht="14" customHeight="1" x14ac:dyDescent="0.35">
      <c r="A20" s="260"/>
      <c r="B20" s="260"/>
      <c r="C20" t="s">
        <v>106</v>
      </c>
      <c r="D20">
        <v>62632</v>
      </c>
      <c r="E20">
        <v>62632</v>
      </c>
      <c r="F20">
        <v>62632</v>
      </c>
      <c r="G20">
        <v>47250</v>
      </c>
      <c r="H20">
        <v>62632</v>
      </c>
      <c r="I20">
        <v>47250</v>
      </c>
    </row>
    <row r="21" spans="1:12" x14ac:dyDescent="0.35">
      <c r="A21" s="260"/>
      <c r="B21" s="260"/>
      <c r="C21" t="s">
        <v>218</v>
      </c>
      <c r="D21">
        <v>58587</v>
      </c>
      <c r="E21">
        <v>58587</v>
      </c>
      <c r="F21">
        <v>58587</v>
      </c>
      <c r="G21">
        <v>46000</v>
      </c>
      <c r="H21">
        <v>58587</v>
      </c>
      <c r="I21">
        <v>46000</v>
      </c>
    </row>
    <row r="22" spans="1:12" x14ac:dyDescent="0.35">
      <c r="A22" s="260"/>
      <c r="B22" s="260"/>
      <c r="C22" t="s">
        <v>112</v>
      </c>
      <c r="D22">
        <v>4045</v>
      </c>
      <c r="E22">
        <v>4045</v>
      </c>
      <c r="F22">
        <v>4045</v>
      </c>
      <c r="G22">
        <v>1250</v>
      </c>
      <c r="H22">
        <v>4045</v>
      </c>
      <c r="I22">
        <v>1250</v>
      </c>
    </row>
    <row r="23" spans="1:12" x14ac:dyDescent="0.35">
      <c r="A23" s="260"/>
      <c r="B23" s="260"/>
      <c r="C23" t="s">
        <v>231</v>
      </c>
      <c r="D23">
        <v>15000</v>
      </c>
      <c r="E23">
        <v>15000</v>
      </c>
      <c r="F23">
        <v>15000</v>
      </c>
      <c r="G23">
        <v>15000</v>
      </c>
      <c r="H23">
        <v>15000</v>
      </c>
      <c r="I23">
        <v>15000</v>
      </c>
    </row>
    <row r="24" spans="1:12" x14ac:dyDescent="0.35">
      <c r="A24" s="260"/>
      <c r="B24" s="260"/>
      <c r="C24" t="s">
        <v>108</v>
      </c>
      <c r="D24">
        <v>6</v>
      </c>
      <c r="E24">
        <v>6</v>
      </c>
      <c r="F24">
        <v>6</v>
      </c>
      <c r="G24">
        <v>5</v>
      </c>
      <c r="H24">
        <v>6</v>
      </c>
      <c r="I24">
        <v>5</v>
      </c>
    </row>
    <row r="25" spans="1:12" x14ac:dyDescent="0.35">
      <c r="A25" s="260"/>
      <c r="B25" s="260"/>
      <c r="C25" t="s">
        <v>239</v>
      </c>
      <c r="D25">
        <v>102</v>
      </c>
      <c r="E25">
        <v>102</v>
      </c>
      <c r="F25">
        <v>102</v>
      </c>
      <c r="G25">
        <v>80</v>
      </c>
      <c r="H25">
        <v>102</v>
      </c>
      <c r="I25">
        <v>80</v>
      </c>
    </row>
    <row r="26" spans="1:12" x14ac:dyDescent="0.35">
      <c r="A26" s="260"/>
      <c r="B26" s="260"/>
      <c r="C26" t="s">
        <v>2</v>
      </c>
      <c r="D26">
        <v>3</v>
      </c>
      <c r="E26">
        <v>3</v>
      </c>
      <c r="F26">
        <v>3</v>
      </c>
      <c r="G26">
        <v>2</v>
      </c>
      <c r="H26">
        <v>3</v>
      </c>
      <c r="I26">
        <v>2</v>
      </c>
    </row>
    <row r="27" spans="1:12" x14ac:dyDescent="0.35">
      <c r="A27" s="260"/>
      <c r="B27" s="260"/>
      <c r="C27" t="s">
        <v>109</v>
      </c>
      <c r="D27">
        <v>105</v>
      </c>
      <c r="E27">
        <v>105</v>
      </c>
      <c r="F27">
        <v>105</v>
      </c>
      <c r="G27">
        <v>82</v>
      </c>
      <c r="H27">
        <v>105</v>
      </c>
      <c r="I27">
        <v>82</v>
      </c>
    </row>
    <row r="28" spans="1:12" x14ac:dyDescent="0.35">
      <c r="A28" s="260"/>
      <c r="B28" s="260"/>
      <c r="C28" t="s">
        <v>167</v>
      </c>
      <c r="D28">
        <v>20</v>
      </c>
      <c r="E28">
        <v>20</v>
      </c>
      <c r="F28">
        <v>20</v>
      </c>
      <c r="G28">
        <v>20</v>
      </c>
      <c r="H28">
        <v>20</v>
      </c>
      <c r="I28">
        <v>20</v>
      </c>
    </row>
    <row r="29" spans="1:12" x14ac:dyDescent="0.35">
      <c r="A29" s="260"/>
      <c r="B29" s="260"/>
      <c r="C29" t="s">
        <v>168</v>
      </c>
      <c r="D29">
        <v>16</v>
      </c>
      <c r="E29">
        <v>16</v>
      </c>
      <c r="F29">
        <v>16</v>
      </c>
      <c r="G29">
        <v>14</v>
      </c>
      <c r="H29">
        <v>16</v>
      </c>
      <c r="I29">
        <v>14</v>
      </c>
    </row>
    <row r="30" spans="1:12" x14ac:dyDescent="0.35">
      <c r="A30" s="260"/>
      <c r="B30" s="260"/>
      <c r="C30" t="s">
        <v>169</v>
      </c>
      <c r="D30">
        <v>36</v>
      </c>
      <c r="E30">
        <v>36</v>
      </c>
      <c r="F30">
        <v>36</v>
      </c>
      <c r="G30">
        <v>34</v>
      </c>
      <c r="H30">
        <v>36</v>
      </c>
      <c r="I30">
        <v>34</v>
      </c>
    </row>
    <row r="31" spans="1:12" x14ac:dyDescent="0.35">
      <c r="A31" s="260"/>
      <c r="B31" s="260"/>
      <c r="C31" t="s">
        <v>173</v>
      </c>
      <c r="D31">
        <v>8</v>
      </c>
      <c r="E31">
        <v>8</v>
      </c>
      <c r="F31">
        <v>8</v>
      </c>
      <c r="G31">
        <v>8</v>
      </c>
      <c r="H31">
        <v>8</v>
      </c>
      <c r="I31">
        <v>8</v>
      </c>
    </row>
    <row r="32" spans="1:12" x14ac:dyDescent="0.35">
      <c r="A32" s="261"/>
      <c r="B32" s="260"/>
      <c r="C32" t="s">
        <v>113</v>
      </c>
      <c r="D32" s="7">
        <v>34855071.962240003</v>
      </c>
      <c r="E32" s="7">
        <v>33169549.94624</v>
      </c>
      <c r="F32" s="7">
        <v>31090190.533173334</v>
      </c>
      <c r="G32" s="7">
        <v>20787629.300000001</v>
      </c>
      <c r="H32" s="7">
        <v>31705071.962239999</v>
      </c>
      <c r="I32">
        <v>15611894.612000002</v>
      </c>
    </row>
    <row r="33" spans="1:10" x14ac:dyDescent="0.35">
      <c r="A33" s="262"/>
      <c r="B33" s="260"/>
      <c r="C33" t="s">
        <v>194</v>
      </c>
      <c r="D33" s="259">
        <v>331953.06630704767</v>
      </c>
      <c r="E33" s="259">
        <v>315900.47567847621</v>
      </c>
      <c r="F33" s="259">
        <v>296097.05269688892</v>
      </c>
      <c r="G33" s="259">
        <v>253507.67439024392</v>
      </c>
      <c r="H33" s="259">
        <v>301953.06630704761</v>
      </c>
      <c r="I33" s="259">
        <v>190388.95868292684</v>
      </c>
    </row>
    <row r="34" spans="1:10" x14ac:dyDescent="0.35">
      <c r="A34" s="262"/>
      <c r="B34" s="260"/>
      <c r="C34" t="s">
        <v>249</v>
      </c>
      <c r="D34" s="7">
        <f>$D$33-D33</f>
        <v>0</v>
      </c>
      <c r="E34" s="7">
        <f t="shared" ref="E34:I34" si="0">$D$33-E33</f>
        <v>16052.590628571459</v>
      </c>
      <c r="F34" s="7">
        <f t="shared" si="0"/>
        <v>35856.013610158756</v>
      </c>
      <c r="G34" s="7">
        <f t="shared" si="0"/>
        <v>78445.391916803754</v>
      </c>
      <c r="H34" s="7">
        <f t="shared" si="0"/>
        <v>30000.000000000058</v>
      </c>
      <c r="I34" s="7">
        <f t="shared" si="0"/>
        <v>141564.10762412084</v>
      </c>
    </row>
    <row r="35" spans="1:10" x14ac:dyDescent="0.35">
      <c r="A35" s="260"/>
      <c r="B35" s="260"/>
      <c r="C35" t="s">
        <v>236</v>
      </c>
      <c r="D35" s="265">
        <v>5</v>
      </c>
      <c r="E35" s="265">
        <v>9</v>
      </c>
      <c r="F35" s="265">
        <v>11</v>
      </c>
      <c r="G35" s="265">
        <v>8</v>
      </c>
      <c r="H35" s="265">
        <v>7</v>
      </c>
      <c r="I35" s="265">
        <v>8</v>
      </c>
      <c r="J35" s="266">
        <f>SUM(D35:I35)</f>
        <v>48</v>
      </c>
    </row>
    <row r="36" spans="1:10" s="260" customFormat="1" x14ac:dyDescent="0.35">
      <c r="C36" t="s">
        <v>237</v>
      </c>
      <c r="D36" s="265">
        <f>D35*D25</f>
        <v>510</v>
      </c>
      <c r="E36" s="265">
        <f t="shared" ref="E36:I36" si="1">E35*E25</f>
        <v>918</v>
      </c>
      <c r="F36" s="265">
        <f t="shared" si="1"/>
        <v>1122</v>
      </c>
      <c r="G36" s="265">
        <f t="shared" si="1"/>
        <v>640</v>
      </c>
      <c r="H36" s="265">
        <f t="shared" si="1"/>
        <v>714</v>
      </c>
      <c r="I36" s="265">
        <f t="shared" si="1"/>
        <v>640</v>
      </c>
      <c r="J36" s="266">
        <f>SUM(D36:I36)</f>
        <v>4544</v>
      </c>
    </row>
    <row r="37" spans="1:10" x14ac:dyDescent="0.35">
      <c r="A37" s="260"/>
      <c r="B37" s="260"/>
      <c r="I37" t="s">
        <v>238</v>
      </c>
      <c r="J37" s="264">
        <f>J39/J36</f>
        <v>284155.3539008376</v>
      </c>
    </row>
    <row r="38" spans="1:10" x14ac:dyDescent="0.35">
      <c r="A38" s="260"/>
      <c r="B38" s="260"/>
      <c r="I38" t="s">
        <v>256</v>
      </c>
      <c r="J38" s="262">
        <f>(J36*D33)-J39</f>
        <v>217192805.17381859</v>
      </c>
    </row>
    <row r="39" spans="1:10" x14ac:dyDescent="0.35">
      <c r="A39" s="263"/>
      <c r="B39" s="260"/>
      <c r="D39" s="6">
        <f>D36*D33</f>
        <v>169296063.8165943</v>
      </c>
      <c r="E39" s="6">
        <f t="shared" ref="E39:I39" si="2">E36*E33</f>
        <v>289996636.67284119</v>
      </c>
      <c r="F39" s="6">
        <f t="shared" si="2"/>
        <v>332220893.12590939</v>
      </c>
      <c r="G39" s="6">
        <f t="shared" si="2"/>
        <v>162244911.60975611</v>
      </c>
      <c r="H39" s="6">
        <f t="shared" si="2"/>
        <v>215594489.34323201</v>
      </c>
      <c r="I39" s="6">
        <f t="shared" si="2"/>
        <v>121848933.55707318</v>
      </c>
      <c r="J39" s="267">
        <f>SUM(D39:I39)</f>
        <v>1291201928.125406</v>
      </c>
    </row>
    <row r="40" spans="1:10" x14ac:dyDescent="0.35">
      <c r="A40" s="263"/>
      <c r="B40" s="260"/>
    </row>
    <row r="41" spans="1:10" x14ac:dyDescent="0.35">
      <c r="A41" s="261"/>
      <c r="B41" s="260"/>
    </row>
    <row r="42" spans="1:10" x14ac:dyDescent="0.35">
      <c r="A42" s="261"/>
      <c r="B42" s="261"/>
    </row>
    <row r="43" spans="1:10" x14ac:dyDescent="0.35">
      <c r="A43" s="262"/>
      <c r="B43" s="262"/>
    </row>
    <row r="44" spans="1:10" x14ac:dyDescent="0.35">
      <c r="A44" s="260"/>
      <c r="B44" s="262"/>
    </row>
    <row r="45" spans="1:10" x14ac:dyDescent="0.35">
      <c r="A45" s="260"/>
      <c r="B45" s="260" t="s">
        <v>262</v>
      </c>
    </row>
    <row r="46" spans="1:10" x14ac:dyDescent="0.35">
      <c r="A46" s="260"/>
      <c r="B46" s="260"/>
      <c r="C46" t="s">
        <v>115</v>
      </c>
      <c r="D46" t="s">
        <v>219</v>
      </c>
      <c r="E46" t="s">
        <v>250</v>
      </c>
      <c r="F46" t="s">
        <v>257</v>
      </c>
      <c r="G46" t="s">
        <v>252</v>
      </c>
      <c r="H46" t="s">
        <v>251</v>
      </c>
      <c r="I46" t="s">
        <v>259</v>
      </c>
    </row>
    <row r="47" spans="1:10" x14ac:dyDescent="0.35">
      <c r="A47" s="260"/>
      <c r="B47" s="260"/>
      <c r="C47" t="s">
        <v>106</v>
      </c>
      <c r="D47">
        <v>62632</v>
      </c>
      <c r="E47">
        <v>62632</v>
      </c>
      <c r="F47">
        <v>62632</v>
      </c>
      <c r="G47">
        <v>47250</v>
      </c>
      <c r="H47">
        <v>62632</v>
      </c>
      <c r="I47">
        <v>47250</v>
      </c>
    </row>
    <row r="48" spans="1:10" x14ac:dyDescent="0.35">
      <c r="A48" s="260"/>
      <c r="B48" s="260"/>
      <c r="C48" t="s">
        <v>218</v>
      </c>
      <c r="D48">
        <v>58587</v>
      </c>
      <c r="E48">
        <v>58587</v>
      </c>
      <c r="F48">
        <v>58587</v>
      </c>
      <c r="G48">
        <v>46000</v>
      </c>
      <c r="H48">
        <v>58587</v>
      </c>
      <c r="I48">
        <v>46000</v>
      </c>
    </row>
    <row r="49" spans="1:10" x14ac:dyDescent="0.35">
      <c r="A49" s="260"/>
      <c r="B49" s="260"/>
      <c r="C49" t="s">
        <v>112</v>
      </c>
      <c r="D49">
        <v>4045</v>
      </c>
      <c r="E49">
        <v>4045</v>
      </c>
      <c r="F49">
        <v>4045</v>
      </c>
      <c r="G49">
        <v>1250</v>
      </c>
      <c r="H49">
        <v>4045</v>
      </c>
      <c r="I49">
        <v>1250</v>
      </c>
    </row>
    <row r="50" spans="1:10" x14ac:dyDescent="0.35">
      <c r="A50" s="260"/>
      <c r="B50" s="260"/>
      <c r="C50" t="s">
        <v>231</v>
      </c>
      <c r="D50">
        <v>15000</v>
      </c>
      <c r="E50">
        <v>15000</v>
      </c>
      <c r="F50">
        <v>15000</v>
      </c>
      <c r="G50">
        <v>15000</v>
      </c>
      <c r="H50">
        <v>15000</v>
      </c>
      <c r="I50">
        <v>15000</v>
      </c>
    </row>
    <row r="51" spans="1:10" x14ac:dyDescent="0.35">
      <c r="A51" s="260"/>
      <c r="B51" s="260"/>
      <c r="C51" t="s">
        <v>108</v>
      </c>
      <c r="D51">
        <v>6</v>
      </c>
      <c r="E51">
        <v>6</v>
      </c>
      <c r="F51">
        <v>6</v>
      </c>
      <c r="G51">
        <v>5</v>
      </c>
      <c r="H51">
        <v>6</v>
      </c>
      <c r="I51">
        <v>5</v>
      </c>
    </row>
    <row r="52" spans="1:10" x14ac:dyDescent="0.35">
      <c r="A52" s="260"/>
      <c r="B52" s="260"/>
      <c r="C52" t="s">
        <v>239</v>
      </c>
      <c r="D52">
        <v>102</v>
      </c>
      <c r="E52">
        <v>102</v>
      </c>
      <c r="F52">
        <v>102</v>
      </c>
      <c r="G52">
        <v>80</v>
      </c>
      <c r="H52">
        <v>102</v>
      </c>
      <c r="I52">
        <v>80</v>
      </c>
    </row>
    <row r="53" spans="1:10" x14ac:dyDescent="0.35">
      <c r="A53" s="260"/>
      <c r="B53" s="260"/>
      <c r="C53" t="s">
        <v>2</v>
      </c>
      <c r="D53">
        <v>3</v>
      </c>
      <c r="E53">
        <v>3</v>
      </c>
      <c r="F53">
        <v>3</v>
      </c>
      <c r="G53">
        <v>2</v>
      </c>
      <c r="H53">
        <v>3</v>
      </c>
      <c r="I53">
        <v>2</v>
      </c>
    </row>
    <row r="54" spans="1:10" x14ac:dyDescent="0.35">
      <c r="A54" s="260"/>
      <c r="B54" s="260"/>
      <c r="C54" t="s">
        <v>109</v>
      </c>
      <c r="D54">
        <v>105</v>
      </c>
      <c r="E54">
        <v>105</v>
      </c>
      <c r="F54">
        <v>105</v>
      </c>
      <c r="G54">
        <v>82</v>
      </c>
      <c r="H54">
        <v>105</v>
      </c>
      <c r="I54">
        <v>82</v>
      </c>
    </row>
    <row r="55" spans="1:10" x14ac:dyDescent="0.35">
      <c r="A55" s="260"/>
      <c r="B55" s="260"/>
      <c r="C55" t="s">
        <v>167</v>
      </c>
      <c r="D55">
        <v>20</v>
      </c>
      <c r="E55">
        <v>20</v>
      </c>
      <c r="F55">
        <v>20</v>
      </c>
      <c r="G55">
        <v>20</v>
      </c>
      <c r="H55">
        <v>20</v>
      </c>
      <c r="I55">
        <v>20</v>
      </c>
    </row>
    <row r="56" spans="1:10" x14ac:dyDescent="0.35">
      <c r="A56" s="260"/>
      <c r="B56" s="260"/>
      <c r="C56" t="s">
        <v>168</v>
      </c>
      <c r="D56">
        <v>16</v>
      </c>
      <c r="E56">
        <v>16</v>
      </c>
      <c r="F56">
        <v>16</v>
      </c>
      <c r="G56">
        <v>14</v>
      </c>
      <c r="H56">
        <v>16</v>
      </c>
      <c r="I56">
        <v>14</v>
      </c>
    </row>
    <row r="57" spans="1:10" x14ac:dyDescent="0.35">
      <c r="C57" t="s">
        <v>169</v>
      </c>
      <c r="D57">
        <v>36</v>
      </c>
      <c r="E57">
        <v>36</v>
      </c>
      <c r="F57">
        <v>36</v>
      </c>
      <c r="G57">
        <v>34</v>
      </c>
      <c r="H57">
        <v>36</v>
      </c>
      <c r="I57">
        <v>34</v>
      </c>
    </row>
    <row r="58" spans="1:10" x14ac:dyDescent="0.35">
      <c r="C58" t="s">
        <v>173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</row>
    <row r="59" spans="1:10" x14ac:dyDescent="0.35">
      <c r="C59" t="s">
        <v>113</v>
      </c>
      <c r="D59" s="7">
        <v>34855071.962240003</v>
      </c>
      <c r="E59" s="7">
        <v>33169549.94624</v>
      </c>
      <c r="F59" s="7">
        <v>31090190.533173334</v>
      </c>
      <c r="G59" s="7">
        <v>20787629.300000001</v>
      </c>
      <c r="H59" s="7">
        <v>31705071.962239999</v>
      </c>
      <c r="I59">
        <v>15611894.612000002</v>
      </c>
    </row>
    <row r="60" spans="1:10" x14ac:dyDescent="0.35">
      <c r="C60" t="s">
        <v>194</v>
      </c>
      <c r="D60" s="259">
        <v>331953.06630704767</v>
      </c>
      <c r="E60" s="259">
        <v>315900.47567847621</v>
      </c>
      <c r="F60" s="259">
        <v>296097.05269688892</v>
      </c>
      <c r="G60" s="259">
        <v>253507.67439024392</v>
      </c>
      <c r="H60" s="259">
        <v>301953.06630704761</v>
      </c>
      <c r="I60" s="259">
        <v>190388.95868292684</v>
      </c>
    </row>
    <row r="61" spans="1:10" x14ac:dyDescent="0.35">
      <c r="C61" t="s">
        <v>249</v>
      </c>
      <c r="D61" s="7">
        <f>$D$33-D60</f>
        <v>0</v>
      </c>
      <c r="E61" s="7">
        <f t="shared" ref="E61" si="3">$D$33-E60</f>
        <v>16052.590628571459</v>
      </c>
      <c r="F61" s="7">
        <f t="shared" ref="F61" si="4">$D$33-F60</f>
        <v>35856.013610158756</v>
      </c>
      <c r="G61" s="7">
        <f t="shared" ref="G61" si="5">$D$33-G60</f>
        <v>78445.391916803754</v>
      </c>
      <c r="H61" s="7">
        <f t="shared" ref="H61" si="6">$D$33-H60</f>
        <v>30000.000000000058</v>
      </c>
      <c r="I61" s="7">
        <f t="shared" ref="I61" si="7">$D$33-I60</f>
        <v>141564.10762412084</v>
      </c>
    </row>
    <row r="62" spans="1:10" x14ac:dyDescent="0.35">
      <c r="C62" t="s">
        <v>236</v>
      </c>
      <c r="D62" s="265">
        <v>0</v>
      </c>
      <c r="E62" s="265">
        <v>6</v>
      </c>
      <c r="F62" s="265">
        <v>10</v>
      </c>
      <c r="G62" s="265">
        <v>14</v>
      </c>
      <c r="H62" s="265">
        <v>5</v>
      </c>
      <c r="I62" s="265">
        <v>16</v>
      </c>
      <c r="J62" s="266">
        <f>SUM(D62:I62)</f>
        <v>51</v>
      </c>
    </row>
    <row r="63" spans="1:10" x14ac:dyDescent="0.35">
      <c r="C63" t="s">
        <v>237</v>
      </c>
      <c r="D63" s="265">
        <f>D62*D52</f>
        <v>0</v>
      </c>
      <c r="E63" s="265">
        <f t="shared" ref="E63" si="8">E62*E52</f>
        <v>612</v>
      </c>
      <c r="F63" s="265">
        <f t="shared" ref="F63" si="9">F62*F52</f>
        <v>1020</v>
      </c>
      <c r="G63" s="265">
        <f t="shared" ref="G63" si="10">G62*G52</f>
        <v>1120</v>
      </c>
      <c r="H63" s="265">
        <f t="shared" ref="H63" si="11">H62*H52</f>
        <v>510</v>
      </c>
      <c r="I63" s="265">
        <f t="shared" ref="I63" si="12">I62*I52</f>
        <v>1280</v>
      </c>
      <c r="J63" s="266">
        <f>SUM(D63:I63)</f>
        <v>4542</v>
      </c>
    </row>
    <row r="64" spans="1:10" x14ac:dyDescent="0.35">
      <c r="I64" t="s">
        <v>238</v>
      </c>
      <c r="J64" s="264">
        <f>J66/J63</f>
        <v>259130.91393964508</v>
      </c>
    </row>
    <row r="65" spans="1:10" s="260" customFormat="1" x14ac:dyDescent="0.35">
      <c r="C65"/>
      <c r="D65"/>
      <c r="E65"/>
      <c r="F65"/>
      <c r="G65"/>
      <c r="H65"/>
      <c r="I65" t="s">
        <v>256</v>
      </c>
      <c r="J65" s="262">
        <f>(J63*D60)-J66</f>
        <v>330758216.05274248</v>
      </c>
    </row>
    <row r="66" spans="1:10" x14ac:dyDescent="0.35">
      <c r="D66" s="6">
        <f>D63*D60</f>
        <v>0</v>
      </c>
      <c r="E66" s="6">
        <f t="shared" ref="E66:I66" si="13">E63*E60</f>
        <v>193331091.11522743</v>
      </c>
      <c r="F66" s="6">
        <f t="shared" si="13"/>
        <v>302018993.75082672</v>
      </c>
      <c r="G66" s="6">
        <f t="shared" si="13"/>
        <v>283928595.31707317</v>
      </c>
      <c r="H66" s="6">
        <f t="shared" si="13"/>
        <v>153996063.81659427</v>
      </c>
      <c r="I66" s="6">
        <f t="shared" si="13"/>
        <v>243697867.11414635</v>
      </c>
      <c r="J66" s="267">
        <f>SUM(D66:I66)</f>
        <v>1176972611.113868</v>
      </c>
    </row>
    <row r="69" spans="1:10" x14ac:dyDescent="0.35">
      <c r="A69" s="260"/>
      <c r="B69" s="260"/>
      <c r="C69" s="260"/>
      <c r="D69" s="260"/>
    </row>
    <row r="70" spans="1:10" x14ac:dyDescent="0.35">
      <c r="A70" s="260"/>
      <c r="B70" s="260"/>
      <c r="C70" s="260"/>
      <c r="D70" s="260"/>
    </row>
    <row r="71" spans="1:10" x14ac:dyDescent="0.35">
      <c r="A71" s="263"/>
      <c r="B71" s="263"/>
      <c r="C71" s="260"/>
      <c r="D71" s="260"/>
    </row>
    <row r="72" spans="1:10" x14ac:dyDescent="0.35">
      <c r="A72" s="263"/>
      <c r="B72" s="263"/>
      <c r="C72" s="260"/>
      <c r="D72" s="260"/>
    </row>
    <row r="73" spans="1:10" x14ac:dyDescent="0.35">
      <c r="A73" s="260"/>
      <c r="B73" s="260"/>
      <c r="C73" s="260"/>
      <c r="D73" s="260"/>
    </row>
    <row r="74" spans="1:10" x14ac:dyDescent="0.35">
      <c r="A74" s="260"/>
      <c r="B74" s="260"/>
      <c r="C74" s="263"/>
      <c r="D74" s="260"/>
    </row>
    <row r="75" spans="1:10" x14ac:dyDescent="0.35">
      <c r="A75" s="260"/>
      <c r="B75" s="260"/>
      <c r="C75" s="260"/>
      <c r="D75" s="260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G X r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G x l 6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Z e t O K I p H u A 4 A A A A R A A A A E w A c A E Z v c m 1 1 b G F z L 1 N l Y 3 R p b 2 4 x L m 0 g o h g A K K A U A A A A A A A A A A A A A A A A A A A A A A A A A A A A K 0 5 N L s n M z 1 M I h t C G 1 g B Q S w E C L Q A U A A I A C A B s Z e t O 3 C w x i q g A A A D 4 A A A A E g A A A A A A A A A A A A A A A A A A A A A A Q 2 9 u Z m l n L 1 B h Y 2 t h Z 2 U u e G 1 s U E s B A i 0 A F A A C A A g A b G X r T g / K 6 a u k A A A A 6 Q A A A B M A A A A A A A A A A A A A A A A A 9 A A A A F t D b 2 5 0 Z W 5 0 X 1 R 5 c G V z X S 5 4 b W x Q S w E C L Q A U A A I A C A B s Z e t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E F f y c A 9 O E a 3 i s k C 0 f j Y h A A A A A A C A A A A A A A Q Z g A A A A E A A C A A A A C M M 7 4 1 + F t / P / M + 4 7 w 7 l w p w x I W C D / E s J 4 i S g D 7 h D H u s f Q A A A A A O g A A A A A I A A C A A A A D 1 J 2 x v I E v t A T 7 Q n b D x R j 7 B I q K p R d q 7 P A u u a E 5 c 2 f q 0 w l A A A A D 0 F o S R v B d 2 T 3 N I P B Q 1 5 E + X y w e + 1 i s 7 B B f E T s G 0 g 3 u 8 S o w 1 L 8 S i w O 6 K r U Z x Y M I 0 e m u 6 P f T G 2 L t c F x x G D 2 H + G 1 X g / f O a w L v w F f t P O u X p J y R N 2 k A A A A A Q x w w o b o i z 5 o a z r 6 F q D x T d o X Z w 3 P Y j 7 j y D X 4 W J V b X h U Q H Q F / r 4 X r i Z Q 7 k d Z 3 m 1 L 7 J k A q 0 3 2 I s d 0 Q b + p k u O L n 7 e < / D a t a M a s h u p > 
</file>

<file path=customXml/itemProps1.xml><?xml version="1.0" encoding="utf-8"?>
<ds:datastoreItem xmlns:ds="http://schemas.openxmlformats.org/officeDocument/2006/customXml" ds:itemID="{EF0F41AA-AECE-4DF5-82F4-368A44C7CF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 Driver Model (V2)dataviz</vt:lpstr>
      <vt:lpstr>Cost Driver Model (V2)</vt:lpstr>
      <vt:lpstr>FactorControbution(values only)</vt:lpstr>
      <vt:lpstr>Display summaries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Parham</dc:creator>
  <cp:lastModifiedBy>russell willems</cp:lastModifiedBy>
  <cp:lastPrinted>2019-03-26T22:03:03Z</cp:lastPrinted>
  <dcterms:created xsi:type="dcterms:W3CDTF">2018-05-08T14:49:13Z</dcterms:created>
  <dcterms:modified xsi:type="dcterms:W3CDTF">2019-12-17T01:50:47Z</dcterms:modified>
</cp:coreProperties>
</file>