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1822" documentId="8_{3731B2D3-2851-4964-AE06-C382F04C3BFC}" xr6:coauthVersionLast="47" xr6:coauthVersionMax="47" xr10:uidLastSave="{2353860A-4BE2-4332-B304-7A18231DE0EF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3" i="1" l="1"/>
  <c r="G260" i="1"/>
  <c r="D260" i="1"/>
  <c r="G251" i="1"/>
  <c r="G250" i="1"/>
  <c r="D250" i="1"/>
  <c r="H311" i="1"/>
  <c r="H214" i="1" l="1"/>
  <c r="K1" i="1" a="1"/>
  <c r="H170" i="1"/>
  <c r="G170" i="1"/>
  <c r="H169" i="1"/>
  <c r="G169" i="1"/>
  <c r="H152" i="1"/>
  <c r="G152" i="1"/>
  <c r="H151" i="1"/>
  <c r="G151" i="1"/>
  <c r="H183" i="1"/>
  <c r="H182" i="1"/>
  <c r="H181" i="1"/>
  <c r="G303" i="1"/>
  <c r="G301" i="1"/>
  <c r="G300" i="1"/>
  <c r="G302" i="1"/>
  <c r="H65" i="1"/>
  <c r="H33" i="1"/>
  <c r="H32" i="1"/>
  <c r="G33" i="1"/>
  <c r="G32" i="1"/>
  <c r="H26" i="1"/>
  <c r="G26" i="1"/>
  <c r="H185" i="1"/>
  <c r="H186" i="1"/>
  <c r="H184" i="1"/>
  <c r="G186" i="1"/>
  <c r="G185" i="1"/>
  <c r="G184" i="1"/>
  <c r="G236" i="1"/>
  <c r="G237" i="1"/>
  <c r="G235" i="1"/>
  <c r="G131" i="1"/>
  <c r="G132" i="1"/>
  <c r="G133" i="1"/>
  <c r="G130" i="1"/>
  <c r="H61" i="1"/>
  <c r="H60" i="1"/>
  <c r="H59" i="1"/>
  <c r="G61" i="1"/>
  <c r="G60" i="1"/>
  <c r="G59" i="1"/>
  <c r="D304" i="1"/>
  <c r="D305" i="1"/>
  <c r="G232" i="1"/>
  <c r="G231" i="1"/>
  <c r="G230" i="1"/>
  <c r="G229" i="1"/>
  <c r="G228" i="1"/>
  <c r="G227" i="1"/>
  <c r="G226" i="1"/>
  <c r="G225" i="1"/>
  <c r="G37" i="1"/>
  <c r="G36" i="1"/>
  <c r="G139" i="1"/>
  <c r="G138" i="1"/>
  <c r="G137" i="1"/>
  <c r="G136" i="1"/>
  <c r="G135" i="1"/>
  <c r="G134" i="1"/>
  <c r="G168" i="1"/>
  <c r="G167" i="1"/>
  <c r="G158" i="1"/>
  <c r="G159" i="1"/>
  <c r="G160" i="1"/>
  <c r="G161" i="1"/>
  <c r="G162" i="1"/>
  <c r="G163" i="1"/>
  <c r="G164" i="1"/>
  <c r="G165" i="1"/>
  <c r="G157" i="1"/>
  <c r="G156" i="1"/>
  <c r="G155" i="1"/>
  <c r="G166" i="1"/>
  <c r="G31" i="1"/>
  <c r="G30" i="1"/>
  <c r="G28" i="1"/>
  <c r="G29" i="1"/>
  <c r="G176" i="1"/>
  <c r="G177" i="1"/>
  <c r="G178" i="1"/>
  <c r="G179" i="1"/>
  <c r="G180" i="1"/>
  <c r="G175" i="1"/>
  <c r="G174" i="1"/>
  <c r="G173" i="1"/>
  <c r="G34" i="1"/>
  <c r="H34" i="1" s="1"/>
  <c r="G35" i="1"/>
  <c r="H35" i="1" s="1"/>
  <c r="H221" i="1"/>
  <c r="H222" i="1"/>
  <c r="H219" i="1"/>
  <c r="H220" i="1"/>
  <c r="H195" i="1"/>
  <c r="G148" i="1"/>
  <c r="H210" i="1"/>
  <c r="H211" i="1"/>
  <c r="H212" i="1"/>
  <c r="H206" i="1"/>
  <c r="H207" i="1"/>
  <c r="H208" i="1"/>
  <c r="H201" i="1"/>
  <c r="H202" i="1"/>
  <c r="H203" i="1"/>
  <c r="H200" i="1"/>
  <c r="H198" i="1"/>
  <c r="H199" i="1"/>
  <c r="G255" i="1"/>
  <c r="G276" i="1"/>
  <c r="D276" i="1"/>
  <c r="G277" i="1"/>
  <c r="D277" i="1"/>
  <c r="G268" i="1"/>
  <c r="D268" i="1"/>
  <c r="H223" i="1"/>
  <c r="H197" i="1"/>
  <c r="H204" i="1"/>
  <c r="H205" i="1"/>
  <c r="H209" i="1"/>
  <c r="H224" i="1"/>
  <c r="D286" i="1"/>
  <c r="D285" i="1"/>
  <c r="D284" i="1"/>
  <c r="D283" i="1"/>
  <c r="D300" i="1"/>
  <c r="D301" i="1"/>
  <c r="D303" i="1"/>
  <c r="D290" i="1"/>
  <c r="G290" i="1"/>
  <c r="D287" i="1"/>
  <c r="D288" i="1"/>
  <c r="D289" i="1"/>
  <c r="C289" i="1" s="1"/>
  <c r="G263" i="1"/>
  <c r="G264" i="1"/>
  <c r="D264" i="1"/>
  <c r="D263" i="1"/>
  <c r="G253" i="1"/>
  <c r="G254" i="1"/>
  <c r="D253" i="1"/>
  <c r="D273" i="1"/>
  <c r="G272" i="1"/>
  <c r="G258" i="1"/>
  <c r="D257" i="1"/>
  <c r="G259" i="1"/>
  <c r="D299" i="1"/>
  <c r="D298" i="1"/>
  <c r="D297" i="1"/>
  <c r="D246" i="1"/>
  <c r="H246" i="1" s="1"/>
  <c r="D247" i="1"/>
  <c r="H247" i="1" s="1"/>
  <c r="D248" i="1"/>
  <c r="H248" i="1" s="1"/>
  <c r="D249" i="1"/>
  <c r="H249" i="1" s="1"/>
  <c r="D251" i="1"/>
  <c r="D252" i="1"/>
  <c r="D254" i="1"/>
  <c r="D255" i="1"/>
  <c r="D256" i="1"/>
  <c r="D275" i="1"/>
  <c r="D267" i="1"/>
  <c r="D266" i="1"/>
  <c r="D274" i="1"/>
  <c r="D272" i="1"/>
  <c r="D271" i="1"/>
  <c r="D270" i="1"/>
  <c r="D269" i="1"/>
  <c r="D265" i="1"/>
  <c r="D262" i="1"/>
  <c r="D261" i="1"/>
  <c r="D245" i="1"/>
  <c r="D244" i="1"/>
  <c r="D243" i="1"/>
  <c r="H62" i="1"/>
  <c r="H153" i="1"/>
  <c r="H154" i="1"/>
  <c r="H187" i="1"/>
  <c r="H188" i="1"/>
  <c r="H218" i="1"/>
  <c r="H233" i="1"/>
  <c r="H234" i="1"/>
  <c r="H242" i="1"/>
  <c r="L149" i="1" l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18" i="1"/>
  <c r="L137" i="1"/>
  <c r="L89" i="1"/>
  <c r="L57" i="1"/>
  <c r="L25" i="1"/>
  <c r="L9" i="1"/>
  <c r="L128" i="1"/>
  <c r="L104" i="1"/>
  <c r="L88" i="1"/>
  <c r="L72" i="1"/>
  <c r="L56" i="1"/>
  <c r="L24" i="1"/>
  <c r="L8" i="1"/>
  <c r="L127" i="1"/>
  <c r="L95" i="1"/>
  <c r="L79" i="1"/>
  <c r="L63" i="1"/>
  <c r="L31" i="1"/>
  <c r="L7" i="1"/>
  <c r="L134" i="1"/>
  <c r="L110" i="1"/>
  <c r="L86" i="1"/>
  <c r="L70" i="1"/>
  <c r="L46" i="1"/>
  <c r="L22" i="1"/>
  <c r="L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131" i="1"/>
  <c r="L115" i="1"/>
  <c r="L107" i="1"/>
  <c r="L91" i="1"/>
  <c r="L83" i="1"/>
  <c r="L67" i="1"/>
  <c r="L51" i="1"/>
  <c r="L43" i="1"/>
  <c r="L27" i="1"/>
  <c r="L19" i="1"/>
  <c r="L3" i="1"/>
  <c r="L138" i="1"/>
  <c r="L114" i="1"/>
  <c r="L82" i="1"/>
  <c r="L66" i="1"/>
  <c r="L42" i="1"/>
  <c r="L10" i="1"/>
  <c r="L121" i="1"/>
  <c r="L105" i="1"/>
  <c r="L73" i="1"/>
  <c r="L41" i="1"/>
  <c r="L147" i="1"/>
  <c r="L139" i="1"/>
  <c r="L123" i="1"/>
  <c r="L99" i="1"/>
  <c r="L75" i="1"/>
  <c r="L59" i="1"/>
  <c r="L35" i="1"/>
  <c r="L11" i="1"/>
  <c r="L130" i="1"/>
  <c r="L122" i="1"/>
  <c r="L106" i="1"/>
  <c r="L98" i="1"/>
  <c r="L90" i="1"/>
  <c r="L74" i="1"/>
  <c r="L58" i="1"/>
  <c r="L50" i="1"/>
  <c r="L34" i="1"/>
  <c r="L26" i="1"/>
  <c r="L2" i="1"/>
  <c r="L129" i="1"/>
  <c r="L113" i="1"/>
  <c r="L97" i="1"/>
  <c r="L81" i="1"/>
  <c r="L65" i="1"/>
  <c r="L49" i="1"/>
  <c r="L33" i="1"/>
  <c r="L17" i="1"/>
  <c r="L136" i="1"/>
  <c r="L120" i="1"/>
  <c r="L112" i="1"/>
  <c r="L96" i="1"/>
  <c r="L80" i="1"/>
  <c r="L64" i="1"/>
  <c r="L48" i="1"/>
  <c r="L40" i="1"/>
  <c r="L32" i="1"/>
  <c r="L16" i="1"/>
  <c r="L135" i="1"/>
  <c r="L111" i="1"/>
  <c r="L103" i="1"/>
  <c r="L87" i="1"/>
  <c r="L71" i="1"/>
  <c r="L55" i="1"/>
  <c r="L39" i="1"/>
  <c r="L23" i="1"/>
  <c r="L142" i="1"/>
  <c r="L94" i="1"/>
  <c r="L62" i="1"/>
  <c r="L38" i="1"/>
  <c r="L14" i="1"/>
  <c r="L146" i="1"/>
  <c r="L145" i="1"/>
  <c r="L119" i="1"/>
  <c r="L47" i="1"/>
  <c r="L15" i="1"/>
  <c r="L126" i="1"/>
  <c r="L118" i="1"/>
  <c r="L102" i="1"/>
  <c r="L78" i="1"/>
  <c r="L54" i="1"/>
  <c r="L30" i="1"/>
  <c r="L144" i="1"/>
  <c r="L143" i="1"/>
  <c r="K1" i="1"/>
  <c r="N4" i="1" l="1"/>
  <c r="N3" i="1"/>
  <c r="N5" i="1" l="1"/>
  <c r="N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<sst xmlns="http://schemas.openxmlformats.org/spreadsheetml/2006/main" count="1763" uniqueCount="283">
  <si>
    <t>Category</t>
  </si>
  <si>
    <t>Tool Name</t>
  </si>
  <si>
    <t>Basic Tools</t>
  </si>
  <si>
    <t>Paradigm Tools</t>
  </si>
  <si>
    <t>Sondex Tools</t>
  </si>
  <si>
    <t>Fishing Tools</t>
  </si>
  <si>
    <t>Rope Socket</t>
  </si>
  <si>
    <t>Knuckle Joint</t>
  </si>
  <si>
    <t>Swivel Joint</t>
  </si>
  <si>
    <t>Hydraulic Jar</t>
  </si>
  <si>
    <t>Spring Jar</t>
  </si>
  <si>
    <t>Accelerator</t>
  </si>
  <si>
    <t>Roller Bogie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</si>
  <si>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</si>
  <si>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</si>
  <si>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</si>
  <si>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</si>
  <si>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</si>
  <si>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</si>
  <si>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</si>
  <si>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</si>
  <si>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</si>
  <si>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42BO</t>
  </si>
  <si>
    <t>142BO</t>
  </si>
  <si>
    <t>Cable Head</t>
  </si>
  <si>
    <t>PCH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</si>
  <si>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</si>
  <si>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</si>
  <si>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</si>
  <si>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</si>
  <si>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</si>
  <si>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</si>
  <si>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</si>
  <si>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</si>
  <si>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</si>
  <si>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</si>
  <si>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</si>
  <si>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Fishing Magnet</t>
  </si>
  <si>
    <t>Wire Grab</t>
  </si>
  <si>
    <t>Alligator Grab</t>
  </si>
  <si>
    <t>Tubing Broach</t>
  </si>
  <si>
    <t>Go-Devil</t>
  </si>
  <si>
    <t>Titan Swivel</t>
  </si>
  <si>
    <t>Titan Knuckle Joint</t>
  </si>
  <si>
    <t>Tubing End Locator</t>
  </si>
  <si>
    <t>Length (ft)</t>
  </si>
  <si>
    <t>Weight (lbs)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</si>
  <si>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</si>
  <si>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</si>
  <si>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</si>
  <si>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</si>
  <si>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</si>
  <si>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</si>
  <si>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</si>
  <si>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</si>
  <si>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</si>
  <si>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</si>
  <si>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</si>
  <si>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</si>
  <si>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</si>
  <si>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</si>
  <si>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</si>
  <si>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</si>
  <si>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</si>
  <si>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3"</t>
  </si>
  <si>
    <t>2.813"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</si>
  <si>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</si>
  <si>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</si>
  <si>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</si>
  <si>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</si>
  <si>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</si>
  <si>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</si>
  <si>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</si>
  <si>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</si>
  <si>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</si>
  <si>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</si>
  <si>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</si>
  <si>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</si>
  <si>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</si>
  <si>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</si>
  <si>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To CFJM</t>
  </si>
  <si>
    <t>PGR020</t>
  </si>
  <si>
    <t>QPC003</t>
  </si>
  <si>
    <t>PRC001</t>
  </si>
  <si>
    <t>CFJM08</t>
  </si>
  <si>
    <t>BUL006</t>
  </si>
  <si>
    <t>ASB004</t>
  </si>
  <si>
    <t>2' Normal Stem</t>
  </si>
  <si>
    <t>3' Normal Stem</t>
  </si>
  <si>
    <t>5' Normal Stem</t>
  </si>
  <si>
    <t>2' Roller Stem</t>
  </si>
  <si>
    <t>3' Roller Stem</t>
  </si>
  <si>
    <t>5' Roller Stem</t>
  </si>
  <si>
    <t>5/8"-11 (For Prong)</t>
  </si>
  <si>
    <t>Prong</t>
  </si>
  <si>
    <t>1/2"-13 (For Prong)</t>
  </si>
  <si>
    <t>GS</t>
  </si>
  <si>
    <t>2.750"</t>
  </si>
  <si>
    <t>Drift</t>
  </si>
  <si>
    <t>2.890"</t>
  </si>
  <si>
    <t>2.867"</t>
  </si>
  <si>
    <t>2.800"</t>
  </si>
  <si>
    <t>2.735"</t>
  </si>
  <si>
    <t>2.302"</t>
  </si>
  <si>
    <t>1.860"</t>
  </si>
  <si>
    <t>X-Over (PPU to Sondex)</t>
  </si>
  <si>
    <t>X-Over (PPU to SR Box)</t>
  </si>
  <si>
    <t>X-Over (PPU to Trigger Probe)</t>
  </si>
  <si>
    <t>X-Over (PPU to GO-A Pin)</t>
  </si>
  <si>
    <t>3' Titan Sinker Bar</t>
  </si>
  <si>
    <t>5' Titan Sinker Bar</t>
  </si>
  <si>
    <t>7' Titan Sinker Bar</t>
  </si>
  <si>
    <t>QLS</t>
  </si>
  <si>
    <t>2-3/4"</t>
  </si>
  <si>
    <t>MIT 24F (Standard)</t>
  </si>
  <si>
    <t>MIT 40F (Standard)</t>
  </si>
  <si>
    <t>MIT 24F (Extended)</t>
  </si>
  <si>
    <t>MIT 40F (Extended)</t>
  </si>
  <si>
    <t>CFBM (6-Arm)</t>
  </si>
  <si>
    <t>PGR021</t>
  </si>
  <si>
    <t>1-3/8"</t>
  </si>
  <si>
    <t>QPC004</t>
  </si>
  <si>
    <t>Titan Tools</t>
  </si>
  <si>
    <t>Standard Service Tools</t>
  </si>
  <si>
    <t>GLV Catcher (with X Lock Mandrel)</t>
  </si>
  <si>
    <t>Junk Catcher</t>
  </si>
  <si>
    <t>A-Stop</t>
  </si>
  <si>
    <t>G-Stop</t>
  </si>
  <si>
    <t>Safety Valves</t>
  </si>
  <si>
    <t>FXE WR-SCSSSV</t>
  </si>
  <si>
    <t>B7 WR-SCSSSV</t>
  </si>
  <si>
    <t>SOF WR-SCSSSV</t>
  </si>
  <si>
    <t>Kaseum Tools</t>
  </si>
  <si>
    <t>DBC12</t>
  </si>
  <si>
    <t>DMC05</t>
  </si>
  <si>
    <t>GRT10</t>
  </si>
  <si>
    <t>CCL10</t>
  </si>
  <si>
    <t>RCT02</t>
  </si>
  <si>
    <t>RBT01</t>
  </si>
  <si>
    <t>BWS01</t>
  </si>
  <si>
    <t>Well-Sun Tools</t>
  </si>
  <si>
    <t>3-1/8"</t>
  </si>
  <si>
    <t>EV Tools</t>
  </si>
  <si>
    <t>Owen Oil Tools</t>
  </si>
  <si>
    <t>PPU Iia</t>
  </si>
  <si>
    <t>Well Conveyor</t>
  </si>
  <si>
    <t>1.654"</t>
  </si>
  <si>
    <t>SBC Brain</t>
  </si>
  <si>
    <t>SBC Bull Nose</t>
  </si>
  <si>
    <t>SBC Comms Module</t>
  </si>
  <si>
    <t>SBC Knuckle Joint</t>
  </si>
  <si>
    <t>SBC Power Module</t>
  </si>
  <si>
    <t>Centre Spear</t>
  </si>
  <si>
    <t>3-1/2" Tubing</t>
  </si>
  <si>
    <t>4-1/2" Tubing</t>
  </si>
  <si>
    <t>VariBall</t>
  </si>
  <si>
    <t>Sand Pump Bailer</t>
  </si>
  <si>
    <t>Hydrostatic Bailer</t>
  </si>
  <si>
    <t>XX Plug</t>
  </si>
  <si>
    <t>XN Plug</t>
  </si>
  <si>
    <t>PX Plug</t>
  </si>
  <si>
    <t>PXN Plug</t>
  </si>
  <si>
    <t>Releasable Bulldog Spear</t>
  </si>
  <si>
    <t>Non-Releasable Bulldog Spear</t>
  </si>
  <si>
    <t>SAT005</t>
  </si>
  <si>
    <t>RAT001</t>
  </si>
  <si>
    <t>Rotational Alignment Sub</t>
  </si>
  <si>
    <t>1-3/4"</t>
  </si>
  <si>
    <t>2-1/4"</t>
  </si>
  <si>
    <t>2-1/2"</t>
  </si>
  <si>
    <t>GLV</t>
  </si>
  <si>
    <t>TBC</t>
  </si>
  <si>
    <t>1.00"</t>
  </si>
  <si>
    <t>Spacer Pipes</t>
  </si>
  <si>
    <t>Running and Pulling Tools</t>
  </si>
  <si>
    <t>2" - 3"</t>
  </si>
  <si>
    <t>1.0" NPT</t>
  </si>
  <si>
    <t>3" - 5"</t>
  </si>
  <si>
    <t>1.062"-10</t>
  </si>
  <si>
    <t>2-1/2" QLS</t>
  </si>
  <si>
    <t>1-7/8" QLS</t>
  </si>
  <si>
    <t>2.00"</t>
  </si>
  <si>
    <t>2.30"</t>
  </si>
  <si>
    <t>2.62"</t>
  </si>
  <si>
    <t>2.72"</t>
  </si>
  <si>
    <t>3.30"</t>
  </si>
  <si>
    <t>3.50"</t>
  </si>
  <si>
    <t>3.75"</t>
  </si>
  <si>
    <t>4.00"</t>
  </si>
  <si>
    <t>4.25"</t>
  </si>
  <si>
    <t>4.40"</t>
  </si>
  <si>
    <t>Bottom Sub</t>
  </si>
  <si>
    <t>Heavy Duty Pulling Tool</t>
  </si>
  <si>
    <t>4"</t>
  </si>
  <si>
    <t>1-7/8" QRJ</t>
  </si>
  <si>
    <t>2.52"</t>
  </si>
  <si>
    <t>2.75"</t>
  </si>
  <si>
    <t>3.00"</t>
  </si>
  <si>
    <t>3.60"</t>
  </si>
  <si>
    <t>3.79"</t>
  </si>
  <si>
    <t>1.00</t>
  </si>
  <si>
    <t>2.00</t>
  </si>
  <si>
    <t>2.30</t>
  </si>
  <si>
    <t>2.52</t>
  </si>
  <si>
    <t>2.62</t>
  </si>
  <si>
    <t>2.75</t>
  </si>
  <si>
    <t>3.00</t>
  </si>
  <si>
    <t>3.60</t>
  </si>
  <si>
    <t>3.79</t>
  </si>
  <si>
    <t>4.00</t>
  </si>
  <si>
    <t>4.25</t>
  </si>
  <si>
    <t>4.40</t>
  </si>
  <si>
    <t>Long Lead Impression Block</t>
  </si>
  <si>
    <t>Optis® M160 Memory Camera</t>
  </si>
  <si>
    <t>X-Over (1-1/16" SR Pin to 15/16" SR Box)</t>
  </si>
  <si>
    <t>X-Over (1-1/16" SR Box to 1-1/16" SR Box)</t>
  </si>
  <si>
    <t>X-Over (15/16" SR Pin to 1-1/16" SR Box)</t>
  </si>
  <si>
    <t>X-Over (15/16" SR Box to 15/16" SR Box)</t>
  </si>
  <si>
    <t>X-Over (1-9/16" SR Pin to 1-1/16" SR Box)</t>
  </si>
  <si>
    <t>1.200"</t>
  </si>
  <si>
    <t>Knuckle Jar</t>
  </si>
  <si>
    <t>2-1/2" SR, 2-1/2" QLS</t>
  </si>
  <si>
    <t>X-Over (GO to Sondex)</t>
  </si>
  <si>
    <t>5' Tungsten Stem</t>
  </si>
  <si>
    <t>3' Tungsten Stem</t>
  </si>
  <si>
    <t>2' Tungsten Stem</t>
  </si>
  <si>
    <t>2-1/2" QRJ</t>
  </si>
  <si>
    <t>5-1/2" Tubing</t>
  </si>
  <si>
    <t>X-Over (1-1/16" SR Pin to 1-9/16" SR Box)</t>
  </si>
  <si>
    <t>1-9/16" SR</t>
  </si>
  <si>
    <t>K-Set Tool</t>
  </si>
  <si>
    <t>Setting Adapter</t>
  </si>
  <si>
    <t>to bridge plug</t>
  </si>
  <si>
    <t>Premium Bridge Plug</t>
  </si>
  <si>
    <t>2.16"</t>
  </si>
  <si>
    <t>Trigger Tool</t>
  </si>
  <si>
    <t>Spring Centraliser</t>
  </si>
  <si>
    <t>Firing Head</t>
  </si>
  <si>
    <t>Aluminium Shock Sub</t>
  </si>
  <si>
    <t>Adapter Sub Cutter</t>
  </si>
  <si>
    <t>ACE Tubing Cutter</t>
  </si>
  <si>
    <t>2.062"</t>
  </si>
  <si>
    <t>Trigger Probe</t>
  </si>
  <si>
    <t>1-1/2" QLS</t>
  </si>
  <si>
    <t>1-1/4" QLS</t>
  </si>
  <si>
    <t>1-1/16" SR, 1-7/8" QRJ</t>
  </si>
  <si>
    <t>1-1/16" SR, 2-1/2" QRJ</t>
  </si>
  <si>
    <t>2.40"</t>
  </si>
  <si>
    <t>2.77"</t>
  </si>
  <si>
    <t>3.85"</t>
  </si>
  <si>
    <t>Check Set Tool</t>
  </si>
  <si>
    <t>2.81"</t>
  </si>
  <si>
    <t>3.313"</t>
  </si>
  <si>
    <t>3.813"</t>
  </si>
  <si>
    <t>4.562"</t>
  </si>
  <si>
    <t>SBC 2W Drive Module</t>
  </si>
  <si>
    <t>Tubing Swage</t>
  </si>
  <si>
    <t>2.78"</t>
  </si>
  <si>
    <t>3.10"</t>
  </si>
  <si>
    <t>4.10"</t>
  </si>
  <si>
    <t>4.50"</t>
  </si>
  <si>
    <t>Overshot</t>
  </si>
  <si>
    <t>2-1/2" HDQRJ</t>
  </si>
  <si>
    <t>1-7/8" HDQRJ</t>
  </si>
  <si>
    <t>2-1/8" QRJ</t>
  </si>
  <si>
    <t>2.500"</t>
  </si>
  <si>
    <t>X-Over (Sondex Pin to GO Box)</t>
  </si>
  <si>
    <t>ACME</t>
  </si>
  <si>
    <t>Heavy Duty Releasable Overshot</t>
  </si>
  <si>
    <t>20" Mechanical Link Jar (Spang)</t>
  </si>
  <si>
    <t>30" Mechanical Link Jar (Spang)</t>
  </si>
  <si>
    <t>30" Mechanical Tubular Jar</t>
  </si>
  <si>
    <t>20" Mechanical Tubular Jar</t>
  </si>
  <si>
    <t>Picture</t>
  </si>
  <si>
    <t>Yes</t>
  </si>
  <si>
    <t>No</t>
  </si>
  <si>
    <t>Bullnose</t>
  </si>
  <si>
    <t>Paragon II Packer</t>
  </si>
  <si>
    <t>Top Connection</t>
  </si>
  <si>
    <t>ParaComm Box</t>
  </si>
  <si>
    <t>GO 'A'</t>
  </si>
  <si>
    <t>MBH025</t>
  </si>
  <si>
    <t>UMT003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</si>
</sst>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165" formatCode="0.0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I311" totalsRowShown="0" headerRowDxfId="8" headerRowBorderDxfId="7" tableBorderDxfId="6">
  <autoFilter ref="A1:I311" xr:uid="{4BAF00AD-584C-4C36-B295-B0565728D80D}"/>
  <tableColumns count="9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5"/>
    <tableColumn id="4" xr3:uid="{EFB02EBC-CFCF-4B7F-A87C-189661AF260B}" name="OD (Inches)" dataDxfId="4"/>
    <tableColumn id="9" xr3:uid="{FDE3316B-9211-4B5C-8BA2-E12555699AFF}" name="Top Connection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  <tableColumn id="8" xr3:uid="{9A1239CD-0A3B-4C38-B3B3-79C0DF8F3BD8}" name="Pict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topLeftCell="A231" zoomScale="84" workbookViewId="0">
      <pane xSplit="2" topLeftCell="C1" activePane="topRight" state="frozen"/>
      <selection pane="topRight" activeCell="E249" sqref="E249"/>
    </sheetView>
  </sheetViews>
  <sheetFormatPr defaultRowHeight="15" x14ac:dyDescent="0.25"/>
  <cols>
    <col min="1" max="1" width="24" bestFit="1" customWidth="1"/>
    <col min="2" max="2" width="37.7109375" bestFit="1" customWidth="1"/>
    <col min="3" max="3" width="17.85546875" style="3" bestFit="1" customWidth="1"/>
    <col min="4" max="4" width="16.5703125" style="3" bestFit="1" customWidth="1"/>
    <col min="5" max="5" width="20.7109375" style="3" bestFit="1" customWidth="1"/>
    <col min="6" max="6" width="21.140625" style="3" customWidth="1"/>
    <col min="7" max="7" width="14.42578125" bestFit="1" customWidth="1"/>
    <col min="8" max="8" width="15.5703125" style="4" bestFit="1" customWidth="1"/>
    <col min="11" max="11" width="38.140625" bestFit="1" customWidth="1"/>
  </cols>
  <sheetData>
    <row r="1" spans="1:14" x14ac:dyDescent="0.25">
      <c r="A1" s="1" t="s">
        <v>0</v>
      </c>
      <c r="B1" s="1" t="s">
        <v>1</v>
      </c>
      <c r="C1" s="2" t="s">
        <v>49</v>
      </c>
      <c r="D1" s="2" t="s">
        <v>50</v>
      </c>
      <c r="E1" s="2" t="s">
        <v>278</v>
      </c>
      <c r="F1" s="2" t="s">
        <v>54</v>
      </c>
      <c r="G1" s="1" t="s">
        <v>45</v>
      </c>
      <c r="H1" s="6" t="s">
        <v>46</v>
      </c>
      <c r="I1" s="1" t="s">
        <v>273</v>
      </c>
      <c r="K1" t="str" cm="1">
        <f t="array" ref="K1:K152">_xlfn.UNIQUE(Table1[[#All],[Tool Name]])</f>
        <v>Tool Name</v>
      </c>
      <c r="L1" t="s">
        <v>273</v>
      </c>
    </row>
    <row r="2" spans="1:14" x14ac:dyDescent="0.25">
      <c r="A2" t="s">
        <v>2</v>
      </c>
      <c r="B2" t="s">
        <v>6</v>
      </c>
      <c r="C2" s="3" t="s">
        <v>51</v>
      </c>
      <c r="D2" s="3">
        <v>1.875</v>
      </c>
      <c r="E2" s="3" t="s">
        <v>58</v>
      </c>
      <c r="F2" s="3" t="s">
        <v>55</v>
      </c>
      <c r="G2" s="4">
        <v>0.5</v>
      </c>
      <c r="H2" s="4">
        <v>4.7</v>
      </c>
      <c r="I2" t="s">
        <v>274</v>
      </c>
      <c r="K2" t="str">
        <v>Rope Socket</v>
      </c>
      <c r="L2" t="str">
        <f>VLOOKUP(K2,Table1[[Tool Name]:[Picture]],8,FALSE)</f>
        <v>Yes</v>
      </c>
    </row>
    <row r="3" spans="1:14" x14ac:dyDescent="0.25">
      <c r="A3" t="s">
        <v>2</v>
      </c>
      <c r="B3" t="s">
        <v>6</v>
      </c>
      <c r="C3" s="3" t="s">
        <v>52</v>
      </c>
      <c r="D3" s="3">
        <v>1.5</v>
      </c>
      <c r="E3" s="3" t="s">
        <v>58</v>
      </c>
      <c r="F3" s="3" t="s">
        <v>56</v>
      </c>
      <c r="G3" s="4">
        <v>0.5</v>
      </c>
      <c r="H3" s="4">
        <v>3</v>
      </c>
      <c r="I3" t="s">
        <v>274</v>
      </c>
      <c r="K3" t="str">
        <v>Knuckle Joint</v>
      </c>
      <c r="L3" t="str">
        <f>VLOOKUP(K3,Table1[[Tool Name]:[Picture]],8,FALSE)</f>
        <v>Yes</v>
      </c>
      <c r="N3">
        <f>COUNTIF(L:L,"Yes")</f>
        <v>110</v>
      </c>
    </row>
    <row r="4" spans="1:14" x14ac:dyDescent="0.25">
      <c r="A4" t="s">
        <v>2</v>
      </c>
      <c r="B4" t="s">
        <v>6</v>
      </c>
      <c r="C4" s="3" t="s">
        <v>53</v>
      </c>
      <c r="D4" s="3">
        <v>1.25</v>
      </c>
      <c r="E4" s="3" t="s">
        <v>58</v>
      </c>
      <c r="F4" s="3" t="s">
        <v>57</v>
      </c>
      <c r="G4" s="4">
        <v>0.5</v>
      </c>
      <c r="H4" s="4">
        <v>2.1</v>
      </c>
      <c r="I4" t="s">
        <v>274</v>
      </c>
      <c r="K4" t="str">
        <v>Swivel Joint</v>
      </c>
      <c r="L4" t="str">
        <f>VLOOKUP(K4,Table1[[Tool Name]:[Picture]],8,FALSE)</f>
        <v>Yes</v>
      </c>
      <c r="N4">
        <f>COUNTIF(L:L,"No")</f>
        <v>38</v>
      </c>
    </row>
    <row r="5" spans="1:14" x14ac:dyDescent="0.25">
      <c r="A5" t="s">
        <v>2</v>
      </c>
      <c r="B5" t="s">
        <v>7</v>
      </c>
      <c r="C5" s="3" t="s">
        <v>51</v>
      </c>
      <c r="D5" s="3">
        <v>1.875</v>
      </c>
      <c r="E5" s="3" t="s">
        <v>55</v>
      </c>
      <c r="F5" s="3" t="s">
        <v>55</v>
      </c>
      <c r="G5" s="4">
        <v>0.5</v>
      </c>
      <c r="H5" s="4">
        <v>4.7</v>
      </c>
      <c r="I5" t="s">
        <v>274</v>
      </c>
      <c r="K5" t="str">
        <v>2' Normal Stem</v>
      </c>
      <c r="L5" t="str">
        <f>VLOOKUP(K5,Table1[[Tool Name]:[Picture]],8,FALSE)</f>
        <v>Yes</v>
      </c>
      <c r="N5" s="7">
        <f>SUM(N3:N4)</f>
        <v>148</v>
      </c>
    </row>
    <row r="6" spans="1:14" x14ac:dyDescent="0.25">
      <c r="A6" t="s">
        <v>2</v>
      </c>
      <c r="B6" t="s">
        <v>7</v>
      </c>
      <c r="C6" s="3" t="s">
        <v>52</v>
      </c>
      <c r="D6" s="3">
        <v>1.5</v>
      </c>
      <c r="E6" s="3" t="s">
        <v>56</v>
      </c>
      <c r="F6" s="3" t="s">
        <v>56</v>
      </c>
      <c r="G6" s="4">
        <v>0.5</v>
      </c>
      <c r="H6" s="4">
        <v>3</v>
      </c>
      <c r="I6" t="s">
        <v>274</v>
      </c>
      <c r="K6" t="str">
        <v>3' Normal Stem</v>
      </c>
      <c r="L6" t="str">
        <f>VLOOKUP(K6,Table1[[Tool Name]:[Picture]],8,FALSE)</f>
        <v>Yes</v>
      </c>
      <c r="N6" s="8">
        <f>N3/N5</f>
        <v>0.7432432432432432</v>
      </c>
    </row>
    <row r="7" spans="1:14" x14ac:dyDescent="0.25">
      <c r="A7" t="s">
        <v>2</v>
      </c>
      <c r="B7" t="s">
        <v>7</v>
      </c>
      <c r="C7" s="3" t="s">
        <v>53</v>
      </c>
      <c r="D7" s="3">
        <v>1.25</v>
      </c>
      <c r="E7" s="3" t="s">
        <v>57</v>
      </c>
      <c r="F7" s="3" t="s">
        <v>57</v>
      </c>
      <c r="G7" s="4">
        <v>0.5</v>
      </c>
      <c r="H7" s="4">
        <v>2.1</v>
      </c>
      <c r="I7" t="s">
        <v>274</v>
      </c>
      <c r="K7" t="str">
        <v>5' Normal Stem</v>
      </c>
      <c r="L7" t="str">
        <f>VLOOKUP(K7,Table1[[Tool Name]:[Picture]],8,FALSE)</f>
        <v>Yes</v>
      </c>
    </row>
    <row r="8" spans="1:14" x14ac:dyDescent="0.25">
      <c r="A8" t="s">
        <v>2</v>
      </c>
      <c r="B8" t="s">
        <v>8</v>
      </c>
      <c r="C8" s="3" t="s">
        <v>51</v>
      </c>
      <c r="D8" s="3">
        <v>1.875</v>
      </c>
      <c r="E8" s="3" t="s">
        <v>55</v>
      </c>
      <c r="F8" s="3" t="s">
        <v>55</v>
      </c>
      <c r="G8" s="4">
        <v>0.5</v>
      </c>
      <c r="H8" s="4">
        <v>4.7</v>
      </c>
      <c r="I8" t="s">
        <v>274</v>
      </c>
      <c r="K8" t="str">
        <v>20" Mechanical Link Jar (Spang)</v>
      </c>
      <c r="L8" t="str">
        <f>VLOOKUP(K8,Table1[[Tool Name]:[Picture]],8,FALSE)</f>
        <v>Yes</v>
      </c>
    </row>
    <row r="9" spans="1:14" x14ac:dyDescent="0.25">
      <c r="A9" t="s">
        <v>2</v>
      </c>
      <c r="B9" t="s">
        <v>8</v>
      </c>
      <c r="C9" s="3" t="s">
        <v>52</v>
      </c>
      <c r="D9" s="3">
        <v>1.5</v>
      </c>
      <c r="E9" s="3" t="s">
        <v>56</v>
      </c>
      <c r="F9" s="3" t="s">
        <v>56</v>
      </c>
      <c r="G9" s="4">
        <v>0.5</v>
      </c>
      <c r="H9" s="4">
        <v>3</v>
      </c>
      <c r="I9" t="s">
        <v>274</v>
      </c>
      <c r="K9" t="str">
        <v>30" Mechanical Link Jar (Spang)</v>
      </c>
      <c r="L9" t="str">
        <f>VLOOKUP(K9,Table1[[Tool Name]:[Picture]],8,FALSE)</f>
        <v>Yes</v>
      </c>
    </row>
    <row r="10" spans="1:14" x14ac:dyDescent="0.25">
      <c r="A10" t="s">
        <v>2</v>
      </c>
      <c r="B10" t="s">
        <v>8</v>
      </c>
      <c r="C10" s="3" t="s">
        <v>53</v>
      </c>
      <c r="D10" s="3">
        <v>1.25</v>
      </c>
      <c r="E10" s="3" t="s">
        <v>57</v>
      </c>
      <c r="F10" s="3" t="s">
        <v>57</v>
      </c>
      <c r="G10" s="4">
        <v>0.5</v>
      </c>
      <c r="H10" s="4">
        <v>2.1</v>
      </c>
      <c r="I10" t="s">
        <v>274</v>
      </c>
      <c r="K10" t="str">
        <v>20" Mechanical Tubular Jar</v>
      </c>
      <c r="L10" t="str">
        <f>VLOOKUP(K10,Table1[[Tool Name]:[Picture]],8,FALSE)</f>
        <v>Yes</v>
      </c>
    </row>
    <row r="11" spans="1:14" x14ac:dyDescent="0.25">
      <c r="A11" t="s">
        <v>2</v>
      </c>
      <c r="B11" t="s">
        <v>87</v>
      </c>
      <c r="C11" s="3" t="s">
        <v>51</v>
      </c>
      <c r="D11" s="3">
        <v>1.875</v>
      </c>
      <c r="E11" s="3" t="s">
        <v>55</v>
      </c>
      <c r="F11" s="3" t="s">
        <v>55</v>
      </c>
      <c r="G11" s="4">
        <v>2</v>
      </c>
      <c r="H11" s="4">
        <v>18.8</v>
      </c>
      <c r="I11" t="s">
        <v>274</v>
      </c>
      <c r="K11" t="str">
        <v>30" Mechanical Tubular Jar</v>
      </c>
      <c r="L11" t="str">
        <f>VLOOKUP(K11,Table1[[Tool Name]:[Picture]],8,FALSE)</f>
        <v>Yes</v>
      </c>
    </row>
    <row r="12" spans="1:14" x14ac:dyDescent="0.25">
      <c r="A12" t="s">
        <v>2</v>
      </c>
      <c r="B12" t="s">
        <v>87</v>
      </c>
      <c r="C12" s="3" t="s">
        <v>52</v>
      </c>
      <c r="D12" s="3">
        <v>1.5</v>
      </c>
      <c r="E12" s="3" t="s">
        <v>56</v>
      </c>
      <c r="F12" s="3" t="s">
        <v>56</v>
      </c>
      <c r="G12" s="4">
        <v>2</v>
      </c>
      <c r="H12" s="4">
        <v>12</v>
      </c>
      <c r="I12" t="s">
        <v>274</v>
      </c>
      <c r="K12" t="str">
        <v>Hydraulic Jar</v>
      </c>
      <c r="L12" t="str">
        <f>VLOOKUP(K12,Table1[[Tool Name]:[Picture]],8,FALSE)</f>
        <v>Yes</v>
      </c>
    </row>
    <row r="13" spans="1:14" x14ac:dyDescent="0.25">
      <c r="A13" t="s">
        <v>2</v>
      </c>
      <c r="B13" t="s">
        <v>87</v>
      </c>
      <c r="C13" s="3" t="s">
        <v>53</v>
      </c>
      <c r="D13" s="3">
        <v>1.25</v>
      </c>
      <c r="E13" s="3" t="s">
        <v>57</v>
      </c>
      <c r="F13" s="3" t="s">
        <v>57</v>
      </c>
      <c r="G13" s="4">
        <v>2</v>
      </c>
      <c r="H13" s="4">
        <v>8.3000000000000007</v>
      </c>
      <c r="I13" t="s">
        <v>274</v>
      </c>
      <c r="K13" t="str">
        <v>Spring Jar</v>
      </c>
      <c r="L13" t="str">
        <f>VLOOKUP(K13,Table1[[Tool Name]:[Picture]],8,FALSE)</f>
        <v>Yes</v>
      </c>
    </row>
    <row r="14" spans="1:14" x14ac:dyDescent="0.25">
      <c r="A14" t="s">
        <v>2</v>
      </c>
      <c r="B14" t="s">
        <v>88</v>
      </c>
      <c r="C14" s="3" t="s">
        <v>51</v>
      </c>
      <c r="D14" s="3">
        <v>1.875</v>
      </c>
      <c r="E14" s="3" t="s">
        <v>55</v>
      </c>
      <c r="F14" s="3" t="s">
        <v>55</v>
      </c>
      <c r="G14" s="4">
        <v>3</v>
      </c>
      <c r="H14" s="4">
        <v>28.1</v>
      </c>
      <c r="I14" t="s">
        <v>274</v>
      </c>
      <c r="K14" t="str">
        <v>Accelerator</v>
      </c>
      <c r="L14" t="str">
        <f>VLOOKUP(K14,Table1[[Tool Name]:[Picture]],8,FALSE)</f>
        <v>Yes</v>
      </c>
    </row>
    <row r="15" spans="1:14" x14ac:dyDescent="0.25">
      <c r="A15" t="s">
        <v>2</v>
      </c>
      <c r="B15" t="s">
        <v>88</v>
      </c>
      <c r="C15" s="3" t="s">
        <v>52</v>
      </c>
      <c r="D15" s="3">
        <v>1.5</v>
      </c>
      <c r="E15" s="3" t="s">
        <v>56</v>
      </c>
      <c r="F15" s="3" t="s">
        <v>56</v>
      </c>
      <c r="G15" s="4">
        <v>3</v>
      </c>
      <c r="H15" s="4">
        <v>18</v>
      </c>
      <c r="I15" t="s">
        <v>274</v>
      </c>
      <c r="K15" t="str">
        <v>Knuckle Jar</v>
      </c>
      <c r="L15" t="str">
        <f>VLOOKUP(K15,Table1[[Tool Name]:[Picture]],8,FALSE)</f>
        <v>Yes</v>
      </c>
    </row>
    <row r="16" spans="1:14" x14ac:dyDescent="0.25">
      <c r="A16" t="s">
        <v>2</v>
      </c>
      <c r="B16" t="s">
        <v>88</v>
      </c>
      <c r="C16" s="3" t="s">
        <v>53</v>
      </c>
      <c r="D16" s="3">
        <v>1.25</v>
      </c>
      <c r="E16" s="3" t="s">
        <v>57</v>
      </c>
      <c r="F16" s="3" t="s">
        <v>57</v>
      </c>
      <c r="G16" s="4">
        <v>3</v>
      </c>
      <c r="H16" s="4">
        <v>12.5</v>
      </c>
      <c r="I16" t="s">
        <v>274</v>
      </c>
      <c r="K16" t="str">
        <v>Drift</v>
      </c>
      <c r="L16" t="str">
        <f>VLOOKUP(K16,Table1[[Tool Name]:[Picture]],8,FALSE)</f>
        <v>Yes</v>
      </c>
    </row>
    <row r="17" spans="1:12" x14ac:dyDescent="0.25">
      <c r="A17" t="s">
        <v>2</v>
      </c>
      <c r="B17" t="s">
        <v>89</v>
      </c>
      <c r="C17" s="3" t="s">
        <v>51</v>
      </c>
      <c r="D17" s="3">
        <v>1.875</v>
      </c>
      <c r="E17" s="3" t="s">
        <v>55</v>
      </c>
      <c r="F17" s="3" t="s">
        <v>55</v>
      </c>
      <c r="G17" s="4">
        <v>5</v>
      </c>
      <c r="H17" s="4">
        <v>46.9</v>
      </c>
      <c r="I17" t="s">
        <v>274</v>
      </c>
      <c r="K17" t="str">
        <v>Gauge Cutter</v>
      </c>
      <c r="L17" t="str">
        <f>VLOOKUP(K17,Table1[[Tool Name]:[Picture]],8,FALSE)</f>
        <v>Yes</v>
      </c>
    </row>
    <row r="18" spans="1:12" x14ac:dyDescent="0.25">
      <c r="A18" t="s">
        <v>2</v>
      </c>
      <c r="B18" t="s">
        <v>89</v>
      </c>
      <c r="C18" s="3" t="s">
        <v>52</v>
      </c>
      <c r="D18" s="3">
        <v>1.5</v>
      </c>
      <c r="E18" s="3" t="s">
        <v>56</v>
      </c>
      <c r="F18" s="3" t="s">
        <v>56</v>
      </c>
      <c r="G18" s="4">
        <v>5</v>
      </c>
      <c r="H18" s="4">
        <v>30</v>
      </c>
      <c r="I18" t="s">
        <v>274</v>
      </c>
      <c r="K18" t="str">
        <v>2' Roller Stem</v>
      </c>
      <c r="L18" t="str">
        <f>VLOOKUP(K18,Table1[[Tool Name]:[Picture]],8,FALSE)</f>
        <v>Yes</v>
      </c>
    </row>
    <row r="19" spans="1:12" x14ac:dyDescent="0.25">
      <c r="A19" t="s">
        <v>2</v>
      </c>
      <c r="B19" t="s">
        <v>89</v>
      </c>
      <c r="C19" s="3" t="s">
        <v>53</v>
      </c>
      <c r="D19" s="3">
        <v>1.25</v>
      </c>
      <c r="E19" s="3" t="s">
        <v>57</v>
      </c>
      <c r="F19" s="3" t="s">
        <v>57</v>
      </c>
      <c r="G19" s="4">
        <v>5</v>
      </c>
      <c r="H19" s="4">
        <v>20.8</v>
      </c>
      <c r="I19" t="s">
        <v>274</v>
      </c>
      <c r="K19" t="str">
        <v>3' Roller Stem</v>
      </c>
      <c r="L19" t="str">
        <f>VLOOKUP(K19,Table1[[Tool Name]:[Picture]],8,FALSE)</f>
        <v>Yes</v>
      </c>
    </row>
    <row r="20" spans="1:12" x14ac:dyDescent="0.25">
      <c r="A20" t="s">
        <v>2</v>
      </c>
      <c r="B20" t="s">
        <v>269</v>
      </c>
      <c r="C20" s="3" t="s">
        <v>51</v>
      </c>
      <c r="D20" s="3">
        <v>1.875</v>
      </c>
      <c r="E20" s="3" t="s">
        <v>55</v>
      </c>
      <c r="F20" s="3" t="s">
        <v>55</v>
      </c>
      <c r="G20" s="4">
        <v>3</v>
      </c>
      <c r="H20" s="4">
        <v>28.1</v>
      </c>
      <c r="I20" t="s">
        <v>274</v>
      </c>
      <c r="K20" t="str">
        <v>5' Roller Stem</v>
      </c>
      <c r="L20" t="str">
        <f>VLOOKUP(K20,Table1[[Tool Name]:[Picture]],8,FALSE)</f>
        <v>Yes</v>
      </c>
    </row>
    <row r="21" spans="1:12" x14ac:dyDescent="0.25">
      <c r="A21" t="s">
        <v>2</v>
      </c>
      <c r="B21" t="s">
        <v>269</v>
      </c>
      <c r="C21" s="3" t="s">
        <v>52</v>
      </c>
      <c r="D21" s="3">
        <v>1.5</v>
      </c>
      <c r="E21" s="3" t="s">
        <v>56</v>
      </c>
      <c r="F21" s="3" t="s">
        <v>56</v>
      </c>
      <c r="G21" s="4">
        <v>3</v>
      </c>
      <c r="H21" s="4">
        <v>18</v>
      </c>
      <c r="I21" t="s">
        <v>274</v>
      </c>
      <c r="K21" t="str">
        <v>Roller Bogie</v>
      </c>
      <c r="L21" t="str">
        <f>VLOOKUP(K21,Table1[[Tool Name]:[Picture]],8,FALSE)</f>
        <v>Yes</v>
      </c>
    </row>
    <row r="22" spans="1:12" x14ac:dyDescent="0.25">
      <c r="A22" t="s">
        <v>2</v>
      </c>
      <c r="B22" t="s">
        <v>269</v>
      </c>
      <c r="C22" s="3" t="s">
        <v>53</v>
      </c>
      <c r="D22" s="3">
        <v>1.25</v>
      </c>
      <c r="E22" s="3" t="s">
        <v>57</v>
      </c>
      <c r="F22" s="3" t="s">
        <v>57</v>
      </c>
      <c r="G22" s="4">
        <v>3</v>
      </c>
      <c r="H22" s="4">
        <v>12.5</v>
      </c>
      <c r="I22" t="s">
        <v>274</v>
      </c>
      <c r="K22" t="str">
        <v>VariBall</v>
      </c>
      <c r="L22" t="str">
        <f>VLOOKUP(K22,Table1[[Tool Name]:[Picture]],8,FALSE)</f>
        <v>No</v>
      </c>
    </row>
    <row r="23" spans="1:12" x14ac:dyDescent="0.25">
      <c r="A23" t="s">
        <v>2</v>
      </c>
      <c r="B23" t="s">
        <v>270</v>
      </c>
      <c r="C23" s="3" t="s">
        <v>51</v>
      </c>
      <c r="D23" s="3">
        <v>1.875</v>
      </c>
      <c r="E23" s="3" t="s">
        <v>55</v>
      </c>
      <c r="F23" s="3" t="s">
        <v>55</v>
      </c>
      <c r="G23" s="4">
        <v>4</v>
      </c>
      <c r="H23" s="4">
        <v>37.5</v>
      </c>
      <c r="I23" t="s">
        <v>274</v>
      </c>
      <c r="K23" t="str">
        <v>2' Tungsten Stem</v>
      </c>
      <c r="L23" t="str">
        <f>VLOOKUP(K23,Table1[[Tool Name]:[Picture]],8,FALSE)</f>
        <v>Yes</v>
      </c>
    </row>
    <row r="24" spans="1:12" x14ac:dyDescent="0.25">
      <c r="A24" t="s">
        <v>2</v>
      </c>
      <c r="B24" t="s">
        <v>270</v>
      </c>
      <c r="C24" s="3" t="s">
        <v>52</v>
      </c>
      <c r="D24" s="3">
        <v>1.5</v>
      </c>
      <c r="E24" s="3" t="s">
        <v>56</v>
      </c>
      <c r="F24" s="3" t="s">
        <v>56</v>
      </c>
      <c r="G24" s="4">
        <v>4</v>
      </c>
      <c r="H24" s="4">
        <v>24</v>
      </c>
      <c r="I24" t="s">
        <v>274</v>
      </c>
      <c r="K24" t="str">
        <v>3' Tungsten Stem</v>
      </c>
      <c r="L24" t="str">
        <f>VLOOKUP(K24,Table1[[Tool Name]:[Picture]],8,FALSE)</f>
        <v>Yes</v>
      </c>
    </row>
    <row r="25" spans="1:12" x14ac:dyDescent="0.25">
      <c r="A25" t="s">
        <v>2</v>
      </c>
      <c r="B25" t="s">
        <v>270</v>
      </c>
      <c r="C25" s="3" t="s">
        <v>53</v>
      </c>
      <c r="D25" s="3">
        <v>1.25</v>
      </c>
      <c r="E25" s="3" t="s">
        <v>57</v>
      </c>
      <c r="F25" s="3" t="s">
        <v>57</v>
      </c>
      <c r="G25" s="4">
        <v>4</v>
      </c>
      <c r="H25" s="4">
        <v>16.7</v>
      </c>
      <c r="I25" t="s">
        <v>274</v>
      </c>
      <c r="K25" t="str">
        <v>5' Tungsten Stem</v>
      </c>
      <c r="L25" t="str">
        <f>VLOOKUP(K25,Table1[[Tool Name]:[Picture]],8,FALSE)</f>
        <v>Yes</v>
      </c>
    </row>
    <row r="26" spans="1:12" x14ac:dyDescent="0.25">
      <c r="A26" t="s">
        <v>2</v>
      </c>
      <c r="B26" t="s">
        <v>272</v>
      </c>
      <c r="C26" s="3" t="s">
        <v>51</v>
      </c>
      <c r="D26" s="3">
        <v>1.875</v>
      </c>
      <c r="E26" s="3" t="s">
        <v>263</v>
      </c>
      <c r="F26" s="3" t="s">
        <v>263</v>
      </c>
      <c r="G26" s="4">
        <f>64/12</f>
        <v>5.333333333333333</v>
      </c>
      <c r="H26" s="4">
        <f>10.5*2.2</f>
        <v>23.1</v>
      </c>
      <c r="I26" t="s">
        <v>274</v>
      </c>
      <c r="K26" t="str">
        <v>SB</v>
      </c>
      <c r="L26" t="str">
        <f>VLOOKUP(K26,Table1[[Tool Name]:[Picture]],8,FALSE)</f>
        <v>Yes</v>
      </c>
    </row>
    <row r="27" spans="1:12" x14ac:dyDescent="0.25">
      <c r="A27" t="s">
        <v>2</v>
      </c>
      <c r="B27" t="s">
        <v>271</v>
      </c>
      <c r="C27" s="3" t="s">
        <v>169</v>
      </c>
      <c r="D27" s="3">
        <v>2.5</v>
      </c>
      <c r="E27" s="3" t="s">
        <v>262</v>
      </c>
      <c r="F27" s="3" t="s">
        <v>262</v>
      </c>
      <c r="G27" s="4">
        <v>4</v>
      </c>
      <c r="H27" s="4">
        <v>37.5</v>
      </c>
      <c r="I27" t="s">
        <v>274</v>
      </c>
      <c r="K27" t="str">
        <v>RB</v>
      </c>
      <c r="L27" t="str">
        <f>VLOOKUP(K27,Table1[[Tool Name]:[Picture]],8,FALSE)</f>
        <v>Yes</v>
      </c>
    </row>
    <row r="28" spans="1:12" x14ac:dyDescent="0.25">
      <c r="A28" t="s">
        <v>2</v>
      </c>
      <c r="B28" t="s">
        <v>9</v>
      </c>
      <c r="C28" s="3" t="s">
        <v>51</v>
      </c>
      <c r="D28" s="3">
        <v>1.875</v>
      </c>
      <c r="E28" s="3" t="s">
        <v>55</v>
      </c>
      <c r="F28" s="3" t="s">
        <v>55</v>
      </c>
      <c r="G28" s="4">
        <f t="shared" ref="G28" si="0">43/12</f>
        <v>3.5833333333333335</v>
      </c>
      <c r="H28" s="4">
        <v>28.1</v>
      </c>
      <c r="I28" t="s">
        <v>274</v>
      </c>
      <c r="K28" t="str">
        <v>SS</v>
      </c>
      <c r="L28" t="str">
        <f>VLOOKUP(K28,Table1[[Tool Name]:[Picture]],8,FALSE)</f>
        <v>Yes</v>
      </c>
    </row>
    <row r="29" spans="1:12" x14ac:dyDescent="0.25">
      <c r="A29" t="s">
        <v>2</v>
      </c>
      <c r="B29" t="s">
        <v>9</v>
      </c>
      <c r="C29" s="3" t="s">
        <v>167</v>
      </c>
      <c r="D29" s="3">
        <v>1.75</v>
      </c>
      <c r="E29" s="3" t="s">
        <v>194</v>
      </c>
      <c r="F29" s="3" t="s">
        <v>194</v>
      </c>
      <c r="G29" s="4">
        <f>43/12</f>
        <v>3.5833333333333335</v>
      </c>
      <c r="H29" s="4">
        <v>8.5</v>
      </c>
      <c r="I29" t="s">
        <v>274</v>
      </c>
      <c r="K29" t="str">
        <v>RS</v>
      </c>
      <c r="L29" t="str">
        <f>VLOOKUP(K29,Table1[[Tool Name]:[Picture]],8,FALSE)</f>
        <v>Yes</v>
      </c>
    </row>
    <row r="30" spans="1:12" x14ac:dyDescent="0.25">
      <c r="A30" t="s">
        <v>2</v>
      </c>
      <c r="B30" t="s">
        <v>9</v>
      </c>
      <c r="C30" s="3" t="s">
        <v>52</v>
      </c>
      <c r="D30" s="3">
        <v>1.5</v>
      </c>
      <c r="E30" s="3" t="s">
        <v>56</v>
      </c>
      <c r="F30" s="3" t="s">
        <v>56</v>
      </c>
      <c r="G30" s="4">
        <f t="shared" ref="G30:G31" si="1">43/12</f>
        <v>3.5833333333333335</v>
      </c>
      <c r="H30" s="4">
        <v>18</v>
      </c>
      <c r="I30" t="s">
        <v>274</v>
      </c>
      <c r="K30" t="str">
        <v>JDC</v>
      </c>
      <c r="L30" t="str">
        <f>VLOOKUP(K30,Table1[[Tool Name]:[Picture]],8,FALSE)</f>
        <v>Yes</v>
      </c>
    </row>
    <row r="31" spans="1:12" x14ac:dyDescent="0.25">
      <c r="A31" t="s">
        <v>2</v>
      </c>
      <c r="B31" t="s">
        <v>9</v>
      </c>
      <c r="C31" s="3" t="s">
        <v>53</v>
      </c>
      <c r="D31" s="3">
        <v>1.25</v>
      </c>
      <c r="E31" s="3" t="s">
        <v>57</v>
      </c>
      <c r="F31" s="3" t="s">
        <v>57</v>
      </c>
      <c r="G31" s="4">
        <f t="shared" si="1"/>
        <v>3.5833333333333335</v>
      </c>
      <c r="H31" s="4">
        <v>12.5</v>
      </c>
      <c r="I31" t="s">
        <v>274</v>
      </c>
      <c r="K31" t="str">
        <v>JUC</v>
      </c>
      <c r="L31" t="str">
        <f>VLOOKUP(K31,Table1[[Tool Name]:[Picture]],8,FALSE)</f>
        <v>Yes</v>
      </c>
    </row>
    <row r="32" spans="1:12" x14ac:dyDescent="0.25">
      <c r="A32" t="s">
        <v>2</v>
      </c>
      <c r="B32" t="s">
        <v>10</v>
      </c>
      <c r="C32" s="3" t="s">
        <v>51</v>
      </c>
      <c r="D32" s="3">
        <v>1.875</v>
      </c>
      <c r="E32" s="3" t="s">
        <v>179</v>
      </c>
      <c r="F32" s="3" t="s">
        <v>179</v>
      </c>
      <c r="G32" s="4">
        <f>57.4/12</f>
        <v>4.7833333333333332</v>
      </c>
      <c r="H32" s="4">
        <f>14.6*2.2</f>
        <v>32.120000000000005</v>
      </c>
      <c r="I32" t="s">
        <v>274</v>
      </c>
      <c r="K32" t="str">
        <v>JDS</v>
      </c>
      <c r="L32" t="str">
        <f>VLOOKUP(K32,Table1[[Tool Name]:[Picture]],8,FALSE)</f>
        <v>Yes</v>
      </c>
    </row>
    <row r="33" spans="1:12" x14ac:dyDescent="0.25">
      <c r="A33" t="s">
        <v>2</v>
      </c>
      <c r="B33" t="s">
        <v>10</v>
      </c>
      <c r="C33" s="3" t="s">
        <v>169</v>
      </c>
      <c r="D33" s="3">
        <v>2.5</v>
      </c>
      <c r="E33" s="3" t="s">
        <v>180</v>
      </c>
      <c r="F33" s="3" t="s">
        <v>180</v>
      </c>
      <c r="G33" s="4">
        <f>82/12</f>
        <v>6.833333333333333</v>
      </c>
      <c r="H33" s="4">
        <f>35*2.2</f>
        <v>77</v>
      </c>
      <c r="I33" t="s">
        <v>274</v>
      </c>
      <c r="K33" t="str">
        <v>JUS</v>
      </c>
      <c r="L33" t="str">
        <f>VLOOKUP(K33,Table1[[Tool Name]:[Picture]],8,FALSE)</f>
        <v>Yes</v>
      </c>
    </row>
    <row r="34" spans="1:12" x14ac:dyDescent="0.25">
      <c r="A34" t="s">
        <v>2</v>
      </c>
      <c r="B34" t="s">
        <v>11</v>
      </c>
      <c r="C34" s="3" t="s">
        <v>169</v>
      </c>
      <c r="D34" s="3">
        <v>2.5</v>
      </c>
      <c r="E34" s="3" t="s">
        <v>179</v>
      </c>
      <c r="F34" s="3" t="s">
        <v>179</v>
      </c>
      <c r="G34" s="4">
        <f>107.05/12</f>
        <v>8.9208333333333325</v>
      </c>
      <c r="H34" s="4">
        <f>Table1[[#This Row],[OD (Inches)]]^2*8/3*Table1[[#This Row],[Length (ft)]]</f>
        <v>148.68055555555554</v>
      </c>
      <c r="I34" t="s">
        <v>274</v>
      </c>
      <c r="K34" t="str">
        <v>GS</v>
      </c>
      <c r="L34" t="str">
        <f>VLOOKUP(K34,Table1[[Tool Name]:[Picture]],8,FALSE)</f>
        <v>Yes</v>
      </c>
    </row>
    <row r="35" spans="1:12" x14ac:dyDescent="0.25">
      <c r="A35" t="s">
        <v>2</v>
      </c>
      <c r="B35" t="s">
        <v>11</v>
      </c>
      <c r="C35" s="3" t="s">
        <v>51</v>
      </c>
      <c r="D35" s="3">
        <v>1.875</v>
      </c>
      <c r="E35" s="3" t="s">
        <v>180</v>
      </c>
      <c r="F35" s="3" t="s">
        <v>180</v>
      </c>
      <c r="G35" s="4">
        <f>74.58/12</f>
        <v>6.2149999999999999</v>
      </c>
      <c r="H35" s="4">
        <f>Table1[[#This Row],[OD (Inches)]]^2*8/3*Table1[[#This Row],[Length (ft)]]</f>
        <v>58.265625</v>
      </c>
      <c r="I35" t="s">
        <v>274</v>
      </c>
      <c r="K35" t="str">
        <v>GR</v>
      </c>
      <c r="L35" t="str">
        <f>VLOOKUP(K35,Table1[[Tool Name]:[Picture]],8,FALSE)</f>
        <v>Yes</v>
      </c>
    </row>
    <row r="36" spans="1:12" x14ac:dyDescent="0.25">
      <c r="A36" t="s">
        <v>2</v>
      </c>
      <c r="B36" t="s">
        <v>220</v>
      </c>
      <c r="C36" s="3" t="s">
        <v>51</v>
      </c>
      <c r="D36" s="3">
        <v>1.875</v>
      </c>
      <c r="E36" s="3" t="s">
        <v>55</v>
      </c>
      <c r="F36" s="3" t="s">
        <v>55</v>
      </c>
      <c r="G36" s="4">
        <f>16.15/12</f>
        <v>1.3458333333333332</v>
      </c>
      <c r="H36" s="4">
        <v>4.0999999999999996</v>
      </c>
      <c r="I36" t="s">
        <v>274</v>
      </c>
      <c r="K36" t="str">
        <v>Heavy Duty Pulling Tool</v>
      </c>
      <c r="L36" t="str">
        <f>VLOOKUP(K36,Table1[[Tool Name]:[Picture]],8,FALSE)</f>
        <v>No</v>
      </c>
    </row>
    <row r="37" spans="1:12" x14ac:dyDescent="0.25">
      <c r="A37" t="s">
        <v>2</v>
      </c>
      <c r="B37" t="s">
        <v>220</v>
      </c>
      <c r="C37" s="3" t="s">
        <v>169</v>
      </c>
      <c r="D37" s="3">
        <v>2.5</v>
      </c>
      <c r="E37" s="3" t="s">
        <v>221</v>
      </c>
      <c r="F37" s="3" t="s">
        <v>221</v>
      </c>
      <c r="G37" s="4">
        <f>18.7/12</f>
        <v>1.5583333333333333</v>
      </c>
      <c r="H37" s="4">
        <v>8.4</v>
      </c>
      <c r="I37" t="s">
        <v>274</v>
      </c>
      <c r="K37" t="str">
        <v>42BO</v>
      </c>
      <c r="L37" t="str">
        <f>VLOOKUP(K37,Table1[[Tool Name]:[Picture]],8,FALSE)</f>
        <v>Yes</v>
      </c>
    </row>
    <row r="38" spans="1:12" x14ac:dyDescent="0.25">
      <c r="A38" t="s">
        <v>123</v>
      </c>
      <c r="B38" t="s">
        <v>98</v>
      </c>
      <c r="C38" s="5" t="s">
        <v>99</v>
      </c>
      <c r="D38" s="3">
        <v>2.89</v>
      </c>
      <c r="E38" s="5"/>
      <c r="F38" s="5" t="s">
        <v>58</v>
      </c>
      <c r="G38" s="4">
        <v>1</v>
      </c>
      <c r="H38" s="4">
        <v>15</v>
      </c>
      <c r="I38" t="s">
        <v>274</v>
      </c>
      <c r="K38" t="str">
        <v>142BO</v>
      </c>
      <c r="L38" t="str">
        <f>VLOOKUP(K38,Table1[[Tool Name]:[Picture]],8,FALSE)</f>
        <v>Yes</v>
      </c>
    </row>
    <row r="39" spans="1:12" x14ac:dyDescent="0.25">
      <c r="A39" t="s">
        <v>123</v>
      </c>
      <c r="B39" t="s">
        <v>98</v>
      </c>
      <c r="C39" s="5" t="s">
        <v>100</v>
      </c>
      <c r="D39" s="3">
        <v>2.867</v>
      </c>
      <c r="E39" s="5"/>
      <c r="F39" s="5" t="s">
        <v>58</v>
      </c>
      <c r="G39" s="4">
        <v>1</v>
      </c>
      <c r="H39" s="4">
        <v>15</v>
      </c>
      <c r="I39" t="s">
        <v>274</v>
      </c>
      <c r="K39" t="str">
        <v>Tubing End Locator</v>
      </c>
      <c r="L39" t="str">
        <f>VLOOKUP(K39,Table1[[Tool Name]:[Picture]],8,FALSE)</f>
        <v>Yes</v>
      </c>
    </row>
    <row r="40" spans="1:12" x14ac:dyDescent="0.25">
      <c r="A40" t="s">
        <v>123</v>
      </c>
      <c r="B40" t="s">
        <v>98</v>
      </c>
      <c r="C40" s="5" t="s">
        <v>101</v>
      </c>
      <c r="D40" s="3">
        <v>2.8</v>
      </c>
      <c r="E40" s="5"/>
      <c r="F40" s="5" t="s">
        <v>58</v>
      </c>
      <c r="G40" s="4">
        <v>1</v>
      </c>
      <c r="H40" s="4">
        <v>15</v>
      </c>
      <c r="I40" t="s">
        <v>274</v>
      </c>
      <c r="K40" t="str">
        <v>Check Set Tool</v>
      </c>
      <c r="L40" t="str">
        <f>VLOOKUP(K40,Table1[[Tool Name]:[Picture]],8,FALSE)</f>
        <v>No</v>
      </c>
    </row>
    <row r="41" spans="1:12" x14ac:dyDescent="0.25">
      <c r="A41" t="s">
        <v>123</v>
      </c>
      <c r="B41" t="s">
        <v>98</v>
      </c>
      <c r="C41" s="5" t="s">
        <v>102</v>
      </c>
      <c r="D41" s="3">
        <v>2.7349999999999999</v>
      </c>
      <c r="E41" s="5"/>
      <c r="F41" s="5" t="s">
        <v>58</v>
      </c>
      <c r="G41" s="4">
        <v>1</v>
      </c>
      <c r="H41" s="4">
        <v>15</v>
      </c>
      <c r="I41" t="s">
        <v>274</v>
      </c>
      <c r="K41" t="str">
        <v>X-Over (1-1/16" SR Pin to 15/16" SR Box)</v>
      </c>
      <c r="L41" t="str">
        <f>VLOOKUP(K41,Table1[[Tool Name]:[Picture]],8,FALSE)</f>
        <v>Yes</v>
      </c>
    </row>
    <row r="42" spans="1:12" x14ac:dyDescent="0.25">
      <c r="A42" t="s">
        <v>123</v>
      </c>
      <c r="B42" t="s">
        <v>98</v>
      </c>
      <c r="C42" s="5" t="s">
        <v>103</v>
      </c>
      <c r="D42" s="3">
        <v>2.302</v>
      </c>
      <c r="E42" s="5"/>
      <c r="F42" s="5" t="s">
        <v>58</v>
      </c>
      <c r="G42" s="4">
        <v>1</v>
      </c>
      <c r="H42" s="4">
        <v>15</v>
      </c>
      <c r="I42" t="s">
        <v>274</v>
      </c>
      <c r="K42" t="str">
        <v>X-Over (1-1/16" SR Box to 1-1/16" SR Box)</v>
      </c>
      <c r="L42" t="str">
        <f>VLOOKUP(K42,Table1[[Tool Name]:[Picture]],8,FALSE)</f>
        <v>Yes</v>
      </c>
    </row>
    <row r="43" spans="1:12" x14ac:dyDescent="0.25">
      <c r="A43" t="s">
        <v>123</v>
      </c>
      <c r="B43" t="s">
        <v>98</v>
      </c>
      <c r="C43" s="5" t="s">
        <v>104</v>
      </c>
      <c r="D43" s="3">
        <v>1.86</v>
      </c>
      <c r="E43" s="5"/>
      <c r="F43" s="5" t="s">
        <v>58</v>
      </c>
      <c r="G43" s="4">
        <v>1</v>
      </c>
      <c r="H43" s="4">
        <v>15</v>
      </c>
      <c r="I43" t="s">
        <v>274</v>
      </c>
      <c r="K43" t="str">
        <v>X-Over (15/16" SR Pin to 1-1/16" SR Box)</v>
      </c>
      <c r="L43" t="str">
        <f>VLOOKUP(K43,Table1[[Tool Name]:[Picture]],8,FALSE)</f>
        <v>Yes</v>
      </c>
    </row>
    <row r="44" spans="1:12" x14ac:dyDescent="0.25">
      <c r="A44" t="s">
        <v>123</v>
      </c>
      <c r="B44" t="s">
        <v>34</v>
      </c>
      <c r="C44" s="5" t="s">
        <v>99</v>
      </c>
      <c r="D44" s="3">
        <v>2.89</v>
      </c>
      <c r="E44" s="5"/>
      <c r="F44" s="5" t="s">
        <v>58</v>
      </c>
      <c r="G44" s="4">
        <v>1</v>
      </c>
      <c r="H44" s="4">
        <v>10</v>
      </c>
      <c r="I44" t="s">
        <v>274</v>
      </c>
      <c r="K44" t="str">
        <v>X-Over (15/16" SR Box to 15/16" SR Box)</v>
      </c>
      <c r="L44" t="str">
        <f>VLOOKUP(K44,Table1[[Tool Name]:[Picture]],8,FALSE)</f>
        <v>Yes</v>
      </c>
    </row>
    <row r="45" spans="1:12" x14ac:dyDescent="0.25">
      <c r="A45" t="s">
        <v>123</v>
      </c>
      <c r="B45" t="s">
        <v>34</v>
      </c>
      <c r="C45" s="5" t="s">
        <v>100</v>
      </c>
      <c r="D45" s="3">
        <v>2.867</v>
      </c>
      <c r="E45" s="5"/>
      <c r="F45" s="5" t="s">
        <v>58</v>
      </c>
      <c r="G45" s="4">
        <v>1</v>
      </c>
      <c r="H45" s="4">
        <v>10</v>
      </c>
      <c r="I45" t="s">
        <v>274</v>
      </c>
      <c r="K45" t="str">
        <v>X-Over (1-9/16" SR Pin to 1-1/16" SR Box)</v>
      </c>
      <c r="L45" t="str">
        <f>VLOOKUP(K45,Table1[[Tool Name]:[Picture]],8,FALSE)</f>
        <v>Yes</v>
      </c>
    </row>
    <row r="46" spans="1:12" x14ac:dyDescent="0.25">
      <c r="A46" t="s">
        <v>123</v>
      </c>
      <c r="B46" t="s">
        <v>34</v>
      </c>
      <c r="C46" s="5" t="s">
        <v>101</v>
      </c>
      <c r="D46" s="3">
        <v>2.8</v>
      </c>
      <c r="E46" s="5"/>
      <c r="F46" s="5" t="s">
        <v>58</v>
      </c>
      <c r="G46" s="4">
        <v>1</v>
      </c>
      <c r="H46" s="4">
        <v>10</v>
      </c>
      <c r="I46" t="s">
        <v>274</v>
      </c>
      <c r="K46" t="str">
        <v>X-Over (1-1/16" SR Pin to 1-9/16" SR Box)</v>
      </c>
      <c r="L46" t="str">
        <f>VLOOKUP(K46,Table1[[Tool Name]:[Picture]],8,FALSE)</f>
        <v>Yes</v>
      </c>
    </row>
    <row r="47" spans="1:12" x14ac:dyDescent="0.25">
      <c r="A47" t="s">
        <v>123</v>
      </c>
      <c r="B47" t="s">
        <v>34</v>
      </c>
      <c r="C47" s="5" t="s">
        <v>102</v>
      </c>
      <c r="D47" s="3">
        <v>2.7349999999999999</v>
      </c>
      <c r="E47" s="5"/>
      <c r="F47" s="5" t="s">
        <v>58</v>
      </c>
      <c r="G47" s="4">
        <v>1</v>
      </c>
      <c r="H47" s="4">
        <v>10</v>
      </c>
      <c r="I47" t="s">
        <v>274</v>
      </c>
      <c r="K47" t="str">
        <v>QLS</v>
      </c>
      <c r="L47" t="str">
        <f>VLOOKUP(K47,Table1[[Tool Name]:[Picture]],8,FALSE)</f>
        <v>Yes</v>
      </c>
    </row>
    <row r="48" spans="1:12" x14ac:dyDescent="0.25">
      <c r="A48" t="s">
        <v>123</v>
      </c>
      <c r="B48" t="s">
        <v>34</v>
      </c>
      <c r="C48" s="5" t="s">
        <v>103</v>
      </c>
      <c r="D48" s="3">
        <v>2.302</v>
      </c>
      <c r="E48" s="5"/>
      <c r="F48" s="5" t="s">
        <v>58</v>
      </c>
      <c r="G48" s="4">
        <v>1</v>
      </c>
      <c r="H48" s="4">
        <v>10</v>
      </c>
      <c r="I48" t="s">
        <v>274</v>
      </c>
      <c r="K48" t="str">
        <v>X-Line</v>
      </c>
      <c r="L48" t="str">
        <f>VLOOKUP(K48,Table1[[Tool Name]:[Picture]],8,FALSE)</f>
        <v>Yes</v>
      </c>
    </row>
    <row r="49" spans="1:12" x14ac:dyDescent="0.25">
      <c r="A49" t="s">
        <v>123</v>
      </c>
      <c r="B49" t="s">
        <v>34</v>
      </c>
      <c r="C49" s="5" t="s">
        <v>104</v>
      </c>
      <c r="D49" s="3">
        <v>1.86</v>
      </c>
      <c r="E49" s="5"/>
      <c r="F49" s="5" t="s">
        <v>58</v>
      </c>
      <c r="G49" s="4">
        <v>1</v>
      </c>
      <c r="H49" s="4">
        <v>10</v>
      </c>
      <c r="I49" t="s">
        <v>274</v>
      </c>
      <c r="K49" t="str">
        <v>JK-1</v>
      </c>
      <c r="L49" t="str">
        <f>VLOOKUP(K49,Table1[[Tool Name]:[Picture]],8,FALSE)</f>
        <v>Yes</v>
      </c>
    </row>
    <row r="50" spans="1:12" x14ac:dyDescent="0.25">
      <c r="A50" t="s">
        <v>2</v>
      </c>
      <c r="B50" t="s">
        <v>90</v>
      </c>
      <c r="C50" s="3" t="s">
        <v>51</v>
      </c>
      <c r="D50" s="3">
        <v>1.875</v>
      </c>
      <c r="E50" s="3" t="s">
        <v>55</v>
      </c>
      <c r="F50" s="3" t="s">
        <v>55</v>
      </c>
      <c r="G50" s="4">
        <v>2</v>
      </c>
      <c r="H50" s="4">
        <v>18.8</v>
      </c>
      <c r="I50" t="s">
        <v>274</v>
      </c>
      <c r="K50" t="str">
        <v>GA-2</v>
      </c>
      <c r="L50" t="str">
        <f>VLOOKUP(K50,Table1[[Tool Name]:[Picture]],8,FALSE)</f>
        <v>Yes</v>
      </c>
    </row>
    <row r="51" spans="1:12" x14ac:dyDescent="0.25">
      <c r="A51" t="s">
        <v>2</v>
      </c>
      <c r="B51" t="s">
        <v>90</v>
      </c>
      <c r="C51" s="3" t="s">
        <v>52</v>
      </c>
      <c r="D51" s="3">
        <v>1.5</v>
      </c>
      <c r="E51" s="3" t="s">
        <v>56</v>
      </c>
      <c r="F51" s="3" t="s">
        <v>56</v>
      </c>
      <c r="G51" s="4">
        <v>2</v>
      </c>
      <c r="H51" s="4">
        <v>12</v>
      </c>
      <c r="I51" t="s">
        <v>274</v>
      </c>
      <c r="K51" t="str">
        <v>D1T Running Tool</v>
      </c>
      <c r="L51" t="str">
        <f>VLOOKUP(K51,Table1[[Tool Name]:[Picture]],8,FALSE)</f>
        <v>Yes</v>
      </c>
    </row>
    <row r="52" spans="1:12" x14ac:dyDescent="0.25">
      <c r="A52" t="s">
        <v>2</v>
      </c>
      <c r="B52" t="s">
        <v>90</v>
      </c>
      <c r="C52" s="3" t="s">
        <v>53</v>
      </c>
      <c r="D52" s="3">
        <v>1.25</v>
      </c>
      <c r="E52" s="3" t="s">
        <v>57</v>
      </c>
      <c r="F52" s="3" t="s">
        <v>57</v>
      </c>
      <c r="G52" s="4">
        <v>2</v>
      </c>
      <c r="H52" s="4">
        <v>8.3000000000000007</v>
      </c>
      <c r="I52" t="s">
        <v>274</v>
      </c>
      <c r="K52" t="str">
        <v>SO Running Tool</v>
      </c>
      <c r="L52" t="str">
        <f>VLOOKUP(K52,Table1[[Tool Name]:[Picture]],8,FALSE)</f>
        <v>No</v>
      </c>
    </row>
    <row r="53" spans="1:12" x14ac:dyDescent="0.25">
      <c r="A53" t="s">
        <v>2</v>
      </c>
      <c r="B53" t="s">
        <v>91</v>
      </c>
      <c r="C53" s="3" t="s">
        <v>51</v>
      </c>
      <c r="D53" s="3">
        <v>1.875</v>
      </c>
      <c r="E53" s="3" t="s">
        <v>55</v>
      </c>
      <c r="F53" s="3" t="s">
        <v>55</v>
      </c>
      <c r="G53" s="4">
        <v>3</v>
      </c>
      <c r="H53" s="4">
        <v>28.1</v>
      </c>
      <c r="I53" t="s">
        <v>274</v>
      </c>
      <c r="K53" t="str">
        <v>OK-6 Kickover Tool</v>
      </c>
      <c r="L53" t="str">
        <f>VLOOKUP(K53,Table1[[Tool Name]:[Picture]],8,FALSE)</f>
        <v>Yes</v>
      </c>
    </row>
    <row r="54" spans="1:12" x14ac:dyDescent="0.25">
      <c r="A54" t="s">
        <v>2</v>
      </c>
      <c r="B54" t="s">
        <v>91</v>
      </c>
      <c r="C54" s="3" t="s">
        <v>52</v>
      </c>
      <c r="D54" s="3">
        <v>1.5</v>
      </c>
      <c r="E54" s="3" t="s">
        <v>56</v>
      </c>
      <c r="F54" s="3" t="s">
        <v>56</v>
      </c>
      <c r="G54" s="4">
        <v>3</v>
      </c>
      <c r="H54" s="4">
        <v>18</v>
      </c>
      <c r="I54" t="s">
        <v>274</v>
      </c>
      <c r="K54" t="str">
        <v>Merla Kickover Tool</v>
      </c>
      <c r="L54" t="str">
        <f>VLOOKUP(K54,Table1[[Tool Name]:[Picture]],8,FALSE)</f>
        <v>Yes</v>
      </c>
    </row>
    <row r="55" spans="1:12" x14ac:dyDescent="0.25">
      <c r="A55" t="s">
        <v>2</v>
      </c>
      <c r="B55" t="s">
        <v>91</v>
      </c>
      <c r="C55" s="3" t="s">
        <v>53</v>
      </c>
      <c r="D55" s="3">
        <v>1.25</v>
      </c>
      <c r="E55" s="3" t="s">
        <v>57</v>
      </c>
      <c r="F55" s="3" t="s">
        <v>57</v>
      </c>
      <c r="G55" s="4">
        <v>3</v>
      </c>
      <c r="H55" s="4">
        <v>12.5</v>
      </c>
      <c r="I55" t="s">
        <v>274</v>
      </c>
      <c r="K55" t="str">
        <v>Wire Finder</v>
      </c>
      <c r="L55" t="str">
        <f>VLOOKUP(K55,Table1[[Tool Name]:[Picture]],8,FALSE)</f>
        <v>Yes</v>
      </c>
    </row>
    <row r="56" spans="1:12" x14ac:dyDescent="0.25">
      <c r="A56" t="s">
        <v>2</v>
      </c>
      <c r="B56" t="s">
        <v>92</v>
      </c>
      <c r="C56" s="3" t="s">
        <v>51</v>
      </c>
      <c r="D56" s="3">
        <v>1.875</v>
      </c>
      <c r="E56" s="3" t="s">
        <v>55</v>
      </c>
      <c r="F56" s="3" t="s">
        <v>55</v>
      </c>
      <c r="G56" s="4">
        <v>5</v>
      </c>
      <c r="H56" s="4">
        <v>46.9</v>
      </c>
      <c r="I56" t="s">
        <v>274</v>
      </c>
      <c r="K56" t="str">
        <v>Wire Scratcher</v>
      </c>
      <c r="L56" t="str">
        <f>VLOOKUP(K56,Table1[[Tool Name]:[Picture]],8,FALSE)</f>
        <v>Yes</v>
      </c>
    </row>
    <row r="57" spans="1:12" x14ac:dyDescent="0.25">
      <c r="A57" t="s">
        <v>2</v>
      </c>
      <c r="B57" t="s">
        <v>92</v>
      </c>
      <c r="C57" s="3" t="s">
        <v>52</v>
      </c>
      <c r="D57" s="3">
        <v>1.5</v>
      </c>
      <c r="E57" s="3" t="s">
        <v>56</v>
      </c>
      <c r="F57" s="3" t="s">
        <v>56</v>
      </c>
      <c r="G57" s="4">
        <v>5</v>
      </c>
      <c r="H57" s="4">
        <v>30</v>
      </c>
      <c r="I57" t="s">
        <v>274</v>
      </c>
      <c r="K57" t="str">
        <v>Lead Impression Block</v>
      </c>
      <c r="L57" t="str">
        <f>VLOOKUP(K57,Table1[[Tool Name]:[Picture]],8,FALSE)</f>
        <v>Yes</v>
      </c>
    </row>
    <row r="58" spans="1:12" x14ac:dyDescent="0.25">
      <c r="A58" t="s">
        <v>2</v>
      </c>
      <c r="B58" t="s">
        <v>92</v>
      </c>
      <c r="C58" s="3" t="s">
        <v>53</v>
      </c>
      <c r="D58" s="3">
        <v>1.25</v>
      </c>
      <c r="E58" s="3" t="s">
        <v>57</v>
      </c>
      <c r="F58" s="3" t="s">
        <v>57</v>
      </c>
      <c r="G58" s="4">
        <v>5</v>
      </c>
      <c r="H58" s="4">
        <v>20.8</v>
      </c>
      <c r="I58" t="s">
        <v>274</v>
      </c>
      <c r="K58" t="str">
        <v>Long Lead Impression Block</v>
      </c>
      <c r="L58" t="str">
        <f>VLOOKUP(K58,Table1[[Tool Name]:[Picture]],8,FALSE)</f>
        <v>Yes</v>
      </c>
    </row>
    <row r="59" spans="1:12" x14ac:dyDescent="0.25">
      <c r="A59" t="s">
        <v>2</v>
      </c>
      <c r="B59" t="s">
        <v>12</v>
      </c>
      <c r="C59" s="3" t="s">
        <v>247</v>
      </c>
      <c r="D59" s="3">
        <v>2.4</v>
      </c>
      <c r="E59" s="3" t="s">
        <v>245</v>
      </c>
      <c r="F59" s="3" t="s">
        <v>245</v>
      </c>
      <c r="G59" s="4">
        <f>22/12</f>
        <v>1.8333333333333333</v>
      </c>
      <c r="H59" s="4">
        <f>8*2.2</f>
        <v>17.600000000000001</v>
      </c>
      <c r="I59" t="s">
        <v>274</v>
      </c>
      <c r="K59" t="str">
        <v>Sand Pump Bailer</v>
      </c>
      <c r="L59" t="str">
        <f>VLOOKUP(K59,Table1[[Tool Name]:[Picture]],8,FALSE)</f>
        <v>Yes</v>
      </c>
    </row>
    <row r="60" spans="1:12" x14ac:dyDescent="0.25">
      <c r="A60" t="s">
        <v>2</v>
      </c>
      <c r="B60" t="s">
        <v>12</v>
      </c>
      <c r="C60" s="3" t="s">
        <v>248</v>
      </c>
      <c r="D60" s="3">
        <v>2.77</v>
      </c>
      <c r="E60" s="3" t="s">
        <v>59</v>
      </c>
      <c r="F60" s="3" t="s">
        <v>59</v>
      </c>
      <c r="G60" s="4">
        <f>22/12</f>
        <v>1.8333333333333333</v>
      </c>
      <c r="H60" s="4">
        <f>7*2.2</f>
        <v>15.400000000000002</v>
      </c>
      <c r="I60" t="s">
        <v>274</v>
      </c>
      <c r="K60" t="str">
        <v>Hydrostatic Bailer</v>
      </c>
      <c r="L60" t="str">
        <f>VLOOKUP(K60,Table1[[Tool Name]:[Picture]],8,FALSE)</f>
        <v>Yes</v>
      </c>
    </row>
    <row r="61" spans="1:12" x14ac:dyDescent="0.25">
      <c r="A61" t="s">
        <v>2</v>
      </c>
      <c r="B61" t="s">
        <v>12</v>
      </c>
      <c r="C61" s="3" t="s">
        <v>249</v>
      </c>
      <c r="D61" s="3">
        <v>3.85</v>
      </c>
      <c r="E61" s="3" t="s">
        <v>246</v>
      </c>
      <c r="F61" s="3" t="s">
        <v>246</v>
      </c>
      <c r="G61" s="4">
        <f>25/12</f>
        <v>2.0833333333333335</v>
      </c>
      <c r="H61" s="4">
        <f>18.5*2.2</f>
        <v>40.700000000000003</v>
      </c>
      <c r="I61" t="s">
        <v>274</v>
      </c>
      <c r="K61" t="str">
        <v>Blind Box</v>
      </c>
      <c r="L61" t="str">
        <f>VLOOKUP(K61,Table1[[Tool Name]:[Picture]],8,FALSE)</f>
        <v>Yes</v>
      </c>
    </row>
    <row r="62" spans="1:12" x14ac:dyDescent="0.25">
      <c r="A62" t="s">
        <v>2</v>
      </c>
      <c r="B62" t="s">
        <v>155</v>
      </c>
      <c r="G62" s="4"/>
      <c r="H62" s="4">
        <f>Table1[[#This Row],[OD (Inches)]]^2*8/3*Table1[[#This Row],[Length (ft)]]</f>
        <v>0</v>
      </c>
      <c r="I62" t="s">
        <v>275</v>
      </c>
      <c r="K62" t="str">
        <v>Heavy Duty Releasable Overshot</v>
      </c>
      <c r="L62" t="str">
        <f>VLOOKUP(K62,Table1[[Tool Name]:[Picture]],8,FALSE)</f>
        <v>Yes</v>
      </c>
    </row>
    <row r="63" spans="1:12" x14ac:dyDescent="0.25">
      <c r="A63" t="s">
        <v>2</v>
      </c>
      <c r="B63" t="s">
        <v>225</v>
      </c>
      <c r="C63" s="3" t="s">
        <v>51</v>
      </c>
      <c r="D63" s="3">
        <v>1.875</v>
      </c>
      <c r="E63" s="3" t="s">
        <v>55</v>
      </c>
      <c r="F63" s="3" t="s">
        <v>55</v>
      </c>
      <c r="G63" s="4">
        <v>2</v>
      </c>
      <c r="H63">
        <v>23.8</v>
      </c>
      <c r="I63" t="s">
        <v>274</v>
      </c>
      <c r="K63" t="str">
        <v>Overshot</v>
      </c>
      <c r="L63" t="str">
        <f>VLOOKUP(K63,Table1[[Tool Name]:[Picture]],8,FALSE)</f>
        <v>Yes</v>
      </c>
    </row>
    <row r="64" spans="1:12" x14ac:dyDescent="0.25">
      <c r="A64" t="s">
        <v>2</v>
      </c>
      <c r="B64" t="s">
        <v>225</v>
      </c>
      <c r="C64" s="3" t="s">
        <v>52</v>
      </c>
      <c r="D64" s="3">
        <v>1.5</v>
      </c>
      <c r="E64" s="3" t="s">
        <v>56</v>
      </c>
      <c r="F64" s="3" t="s">
        <v>56</v>
      </c>
      <c r="G64" s="4">
        <v>2</v>
      </c>
      <c r="H64">
        <v>15.9</v>
      </c>
      <c r="I64" t="s">
        <v>274</v>
      </c>
      <c r="K64" t="str">
        <v>Fishing Magnet</v>
      </c>
      <c r="L64" t="str">
        <f>VLOOKUP(K64,Table1[[Tool Name]:[Picture]],8,FALSE)</f>
        <v>No</v>
      </c>
    </row>
    <row r="65" spans="1:12" x14ac:dyDescent="0.25">
      <c r="A65" t="s">
        <v>2</v>
      </c>
      <c r="B65" t="s">
        <v>225</v>
      </c>
      <c r="C65" s="3" t="s">
        <v>53</v>
      </c>
      <c r="D65" s="3">
        <v>1.25</v>
      </c>
      <c r="E65" s="3" t="s">
        <v>57</v>
      </c>
      <c r="F65" s="3" t="s">
        <v>57</v>
      </c>
      <c r="G65" s="4">
        <v>2</v>
      </c>
      <c r="H65">
        <f>10.4</f>
        <v>10.4</v>
      </c>
      <c r="I65" t="s">
        <v>274</v>
      </c>
      <c r="K65" t="str">
        <v>Bottom Sub</v>
      </c>
      <c r="L65" t="str">
        <f>VLOOKUP(K65,Table1[[Tool Name]:[Picture]],8,FALSE)</f>
        <v>No</v>
      </c>
    </row>
    <row r="66" spans="1:12" x14ac:dyDescent="0.25">
      <c r="A66" t="s">
        <v>2</v>
      </c>
      <c r="B66" t="s">
        <v>225</v>
      </c>
      <c r="C66" s="3" t="s">
        <v>77</v>
      </c>
      <c r="D66" s="3">
        <v>2.125</v>
      </c>
      <c r="E66" s="3" t="s">
        <v>264</v>
      </c>
      <c r="F66" s="3" t="s">
        <v>264</v>
      </c>
      <c r="G66" s="4">
        <v>2</v>
      </c>
      <c r="H66">
        <v>31.1</v>
      </c>
      <c r="I66" t="s">
        <v>274</v>
      </c>
      <c r="K66" t="str">
        <v>GLV Catcher (with X Lock Mandrel)</v>
      </c>
      <c r="L66" t="str">
        <f>VLOOKUP(K66,Table1[[Tool Name]:[Picture]],8,FALSE)</f>
        <v>No</v>
      </c>
    </row>
    <row r="67" spans="1:12" x14ac:dyDescent="0.25">
      <c r="A67" t="s">
        <v>2</v>
      </c>
      <c r="B67" t="s">
        <v>225</v>
      </c>
      <c r="C67" s="3" t="s">
        <v>169</v>
      </c>
      <c r="D67" s="3">
        <v>2.5</v>
      </c>
      <c r="E67" s="3" t="s">
        <v>226</v>
      </c>
      <c r="F67" s="3" t="s">
        <v>226</v>
      </c>
      <c r="G67" s="4">
        <v>2</v>
      </c>
      <c r="H67">
        <v>40</v>
      </c>
      <c r="I67" t="s">
        <v>274</v>
      </c>
      <c r="K67" t="str">
        <v>Junk Catcher</v>
      </c>
      <c r="L67" t="str">
        <f>VLOOKUP(K67,Table1[[Tool Name]:[Picture]],8,FALSE)</f>
        <v>No</v>
      </c>
    </row>
    <row r="68" spans="1:12" x14ac:dyDescent="0.25">
      <c r="A68" t="s">
        <v>2</v>
      </c>
      <c r="B68" t="s">
        <v>224</v>
      </c>
      <c r="C68" s="3" t="s">
        <v>51</v>
      </c>
      <c r="D68" s="3">
        <v>1.875</v>
      </c>
      <c r="E68" s="3" t="s">
        <v>55</v>
      </c>
      <c r="F68" s="3" t="s">
        <v>55</v>
      </c>
      <c r="G68" s="4">
        <v>3</v>
      </c>
      <c r="H68">
        <v>38.6</v>
      </c>
      <c r="I68" t="s">
        <v>274</v>
      </c>
      <c r="K68" t="str">
        <v>A-Stop</v>
      </c>
      <c r="L68" t="str">
        <f>VLOOKUP(K68,Table1[[Tool Name]:[Picture]],8,FALSE)</f>
        <v>Yes</v>
      </c>
    </row>
    <row r="69" spans="1:12" x14ac:dyDescent="0.25">
      <c r="A69" t="s">
        <v>2</v>
      </c>
      <c r="B69" t="s">
        <v>224</v>
      </c>
      <c r="C69" s="3" t="s">
        <v>52</v>
      </c>
      <c r="D69" s="3">
        <v>1.5</v>
      </c>
      <c r="E69" s="3" t="s">
        <v>56</v>
      </c>
      <c r="F69" s="3" t="s">
        <v>56</v>
      </c>
      <c r="G69" s="4">
        <v>3</v>
      </c>
      <c r="H69">
        <v>23.6</v>
      </c>
      <c r="I69" t="s">
        <v>274</v>
      </c>
      <c r="K69" t="str">
        <v>G-Stop</v>
      </c>
      <c r="L69" t="str">
        <f>VLOOKUP(K69,Table1[[Tool Name]:[Picture]],8,FALSE)</f>
        <v>Yes</v>
      </c>
    </row>
    <row r="70" spans="1:12" x14ac:dyDescent="0.25">
      <c r="A70" t="s">
        <v>2</v>
      </c>
      <c r="B70" t="s">
        <v>224</v>
      </c>
      <c r="C70" s="3" t="s">
        <v>53</v>
      </c>
      <c r="D70" s="3">
        <v>1.25</v>
      </c>
      <c r="E70" s="3" t="s">
        <v>57</v>
      </c>
      <c r="F70" s="3" t="s">
        <v>57</v>
      </c>
      <c r="G70" s="4">
        <v>3</v>
      </c>
      <c r="H70">
        <v>16.3</v>
      </c>
      <c r="I70" t="s">
        <v>274</v>
      </c>
      <c r="K70" t="str">
        <v>XX Plug</v>
      </c>
      <c r="L70" t="str">
        <f>VLOOKUP(K70,Table1[[Tool Name]:[Picture]],8,FALSE)</f>
        <v>Yes</v>
      </c>
    </row>
    <row r="71" spans="1:12" x14ac:dyDescent="0.25">
      <c r="A71" t="s">
        <v>2</v>
      </c>
      <c r="B71" t="s">
        <v>224</v>
      </c>
      <c r="C71" s="3" t="s">
        <v>77</v>
      </c>
      <c r="D71" s="3">
        <v>2.125</v>
      </c>
      <c r="E71" s="3" t="s">
        <v>264</v>
      </c>
      <c r="F71" s="3" t="s">
        <v>264</v>
      </c>
      <c r="G71" s="4">
        <v>3</v>
      </c>
      <c r="H71">
        <v>49.4</v>
      </c>
      <c r="I71" t="s">
        <v>274</v>
      </c>
      <c r="K71" t="str">
        <v>XN Plug</v>
      </c>
      <c r="L71" t="str">
        <f>VLOOKUP(K71,Table1[[Tool Name]:[Picture]],8,FALSE)</f>
        <v>Yes</v>
      </c>
    </row>
    <row r="72" spans="1:12" x14ac:dyDescent="0.25">
      <c r="A72" t="s">
        <v>2</v>
      </c>
      <c r="B72" t="s">
        <v>224</v>
      </c>
      <c r="C72" s="3" t="s">
        <v>169</v>
      </c>
      <c r="D72" s="3">
        <v>2.5</v>
      </c>
      <c r="E72" s="3" t="s">
        <v>226</v>
      </c>
      <c r="F72" s="3" t="s">
        <v>226</v>
      </c>
      <c r="G72" s="4">
        <v>3</v>
      </c>
      <c r="H72">
        <v>68.8</v>
      </c>
      <c r="I72" t="s">
        <v>274</v>
      </c>
      <c r="K72" t="str">
        <v>PX Plug</v>
      </c>
      <c r="L72" t="str">
        <f>VLOOKUP(K72,Table1[[Tool Name]:[Picture]],8,FALSE)</f>
        <v>Yes</v>
      </c>
    </row>
    <row r="73" spans="1:12" x14ac:dyDescent="0.25">
      <c r="A73" t="s">
        <v>2</v>
      </c>
      <c r="B73" t="s">
        <v>223</v>
      </c>
      <c r="C73" s="3" t="s">
        <v>51</v>
      </c>
      <c r="D73" s="3">
        <v>1.875</v>
      </c>
      <c r="E73" s="3" t="s">
        <v>55</v>
      </c>
      <c r="F73" s="3" t="s">
        <v>55</v>
      </c>
      <c r="G73" s="4">
        <v>5</v>
      </c>
      <c r="H73">
        <v>65.3</v>
      </c>
      <c r="I73" t="s">
        <v>274</v>
      </c>
      <c r="K73" t="str">
        <v>PXN Plug</v>
      </c>
      <c r="L73" t="str">
        <f>VLOOKUP(K73,Table1[[Tool Name]:[Picture]],8,FALSE)</f>
        <v>Yes</v>
      </c>
    </row>
    <row r="74" spans="1:12" x14ac:dyDescent="0.25">
      <c r="A74" t="s">
        <v>2</v>
      </c>
      <c r="B74" t="s">
        <v>223</v>
      </c>
      <c r="C74" s="3" t="s">
        <v>52</v>
      </c>
      <c r="D74" s="3">
        <v>1.5</v>
      </c>
      <c r="E74" s="3" t="s">
        <v>56</v>
      </c>
      <c r="F74" s="3" t="s">
        <v>56</v>
      </c>
      <c r="G74" s="4">
        <v>5</v>
      </c>
      <c r="H74">
        <v>41.7</v>
      </c>
      <c r="I74" t="s">
        <v>274</v>
      </c>
      <c r="K74" t="str">
        <v>Spacer Pipes</v>
      </c>
      <c r="L74" t="str">
        <f>VLOOKUP(K74,Table1[[Tool Name]:[Picture]],8,FALSE)</f>
        <v>No</v>
      </c>
    </row>
    <row r="75" spans="1:12" x14ac:dyDescent="0.25">
      <c r="A75" t="s">
        <v>2</v>
      </c>
      <c r="B75" t="s">
        <v>223</v>
      </c>
      <c r="C75" s="3" t="s">
        <v>53</v>
      </c>
      <c r="D75" s="3">
        <v>1.25</v>
      </c>
      <c r="E75" s="3" t="s">
        <v>57</v>
      </c>
      <c r="F75" s="3" t="s">
        <v>57</v>
      </c>
      <c r="G75" s="4">
        <v>5</v>
      </c>
      <c r="H75">
        <v>28.4</v>
      </c>
      <c r="I75" t="s">
        <v>274</v>
      </c>
      <c r="K75" t="str">
        <v>Bullnose</v>
      </c>
      <c r="L75" t="str">
        <f>VLOOKUP(K75,Table1[[Tool Name]:[Picture]],8,FALSE)</f>
        <v>Yes</v>
      </c>
    </row>
    <row r="76" spans="1:12" x14ac:dyDescent="0.25">
      <c r="A76" t="s">
        <v>2</v>
      </c>
      <c r="B76" t="s">
        <v>223</v>
      </c>
      <c r="C76" s="3" t="s">
        <v>77</v>
      </c>
      <c r="D76" s="3">
        <v>2.125</v>
      </c>
      <c r="E76" s="3" t="s">
        <v>264</v>
      </c>
      <c r="F76" s="3" t="s">
        <v>264</v>
      </c>
      <c r="G76" s="4">
        <v>5</v>
      </c>
      <c r="H76" s="4">
        <v>86</v>
      </c>
      <c r="I76" t="s">
        <v>274</v>
      </c>
      <c r="K76" t="str">
        <v>FXE WR-SCSSSV</v>
      </c>
      <c r="L76" t="str">
        <f>VLOOKUP(K76,Table1[[Tool Name]:[Picture]],8,FALSE)</f>
        <v>No</v>
      </c>
    </row>
    <row r="77" spans="1:12" x14ac:dyDescent="0.25">
      <c r="A77" t="s">
        <v>2</v>
      </c>
      <c r="B77" t="s">
        <v>223</v>
      </c>
      <c r="C77" s="3" t="s">
        <v>169</v>
      </c>
      <c r="D77" s="3">
        <v>2.5</v>
      </c>
      <c r="E77" s="3" t="s">
        <v>226</v>
      </c>
      <c r="F77" s="3" t="s">
        <v>226</v>
      </c>
      <c r="G77" s="4">
        <v>5</v>
      </c>
      <c r="H77">
        <v>120</v>
      </c>
      <c r="I77" t="s">
        <v>274</v>
      </c>
      <c r="K77" t="str">
        <v>B7 WR-SCSSSV</v>
      </c>
      <c r="L77" t="str">
        <f>VLOOKUP(K77,Table1[[Tool Name]:[Picture]],8,FALSE)</f>
        <v>No</v>
      </c>
    </row>
    <row r="78" spans="1:12" x14ac:dyDescent="0.25">
      <c r="A78" t="s">
        <v>174</v>
      </c>
      <c r="B78" t="s">
        <v>14</v>
      </c>
      <c r="C78" s="3" t="s">
        <v>169</v>
      </c>
      <c r="D78" s="3">
        <v>2.1880000000000002</v>
      </c>
      <c r="E78" s="3" t="s">
        <v>60</v>
      </c>
      <c r="F78" s="3" t="s">
        <v>58</v>
      </c>
      <c r="G78" s="4">
        <v>1.3</v>
      </c>
      <c r="H78" s="4">
        <v>15</v>
      </c>
      <c r="I78" t="s">
        <v>274</v>
      </c>
      <c r="K78" t="str">
        <v>SOF WR-SCSSSV</v>
      </c>
      <c r="L78" t="str">
        <f>VLOOKUP(K78,Table1[[Tool Name]:[Picture]],8,FALSE)</f>
        <v>No</v>
      </c>
    </row>
    <row r="79" spans="1:12" x14ac:dyDescent="0.25">
      <c r="A79" t="s">
        <v>174</v>
      </c>
      <c r="B79" t="s">
        <v>14</v>
      </c>
      <c r="C79" s="3" t="s">
        <v>63</v>
      </c>
      <c r="D79" s="3">
        <v>1.776</v>
      </c>
      <c r="E79" s="3" t="s">
        <v>60</v>
      </c>
      <c r="F79" s="3" t="s">
        <v>58</v>
      </c>
      <c r="G79" s="4">
        <v>1.3</v>
      </c>
      <c r="H79" s="4">
        <v>13</v>
      </c>
      <c r="I79" t="s">
        <v>274</v>
      </c>
      <c r="K79" t="str">
        <v>Releasable Bulldog Spear</v>
      </c>
      <c r="L79" t="str">
        <f>VLOOKUP(K79,Table1[[Tool Name]:[Picture]],8,FALSE)</f>
        <v>No</v>
      </c>
    </row>
    <row r="80" spans="1:12" x14ac:dyDescent="0.25">
      <c r="A80" t="s">
        <v>174</v>
      </c>
      <c r="B80" t="s">
        <v>14</v>
      </c>
      <c r="C80" s="3" t="s">
        <v>52</v>
      </c>
      <c r="D80" s="3">
        <v>1.4370000000000001</v>
      </c>
      <c r="E80" s="3" t="s">
        <v>60</v>
      </c>
      <c r="F80" s="3" t="s">
        <v>58</v>
      </c>
      <c r="G80" s="4">
        <v>1.3</v>
      </c>
      <c r="H80" s="4">
        <v>11</v>
      </c>
      <c r="I80" t="s">
        <v>274</v>
      </c>
      <c r="K80" t="str">
        <v>Non-Releasable Bulldog Spear</v>
      </c>
      <c r="L80" t="str">
        <f>VLOOKUP(K80,Table1[[Tool Name]:[Picture]],8,FALSE)</f>
        <v>No</v>
      </c>
    </row>
    <row r="81" spans="1:12" x14ac:dyDescent="0.25">
      <c r="A81" t="s">
        <v>174</v>
      </c>
      <c r="B81" t="s">
        <v>15</v>
      </c>
      <c r="C81" s="3" t="s">
        <v>169</v>
      </c>
      <c r="D81" s="3">
        <v>2.1800000000000002</v>
      </c>
      <c r="E81" s="3" t="s">
        <v>60</v>
      </c>
      <c r="F81" s="3" t="s">
        <v>58</v>
      </c>
      <c r="G81" s="4">
        <v>1.3</v>
      </c>
      <c r="H81" s="4">
        <v>15</v>
      </c>
      <c r="I81" t="s">
        <v>274</v>
      </c>
      <c r="K81" t="str">
        <v>Centre Spear</v>
      </c>
      <c r="L81" t="str">
        <f>VLOOKUP(K81,Table1[[Tool Name]:[Picture]],8,FALSE)</f>
        <v>Yes</v>
      </c>
    </row>
    <row r="82" spans="1:12" x14ac:dyDescent="0.25">
      <c r="A82" t="s">
        <v>174</v>
      </c>
      <c r="B82" t="s">
        <v>15</v>
      </c>
      <c r="C82" s="3" t="s">
        <v>63</v>
      </c>
      <c r="D82" s="3">
        <v>1.77</v>
      </c>
      <c r="E82" s="3" t="s">
        <v>60</v>
      </c>
      <c r="F82" s="3" t="s">
        <v>58</v>
      </c>
      <c r="G82" s="4">
        <v>1.3</v>
      </c>
      <c r="H82" s="4">
        <v>13</v>
      </c>
      <c r="I82" t="s">
        <v>274</v>
      </c>
      <c r="K82" t="str">
        <v>Wire Grab</v>
      </c>
      <c r="L82" t="str">
        <f>VLOOKUP(K82,Table1[[Tool Name]:[Picture]],8,FALSE)</f>
        <v>Yes</v>
      </c>
    </row>
    <row r="83" spans="1:12" x14ac:dyDescent="0.25">
      <c r="A83" t="s">
        <v>174</v>
      </c>
      <c r="B83" t="s">
        <v>15</v>
      </c>
      <c r="C83" s="3" t="s">
        <v>52</v>
      </c>
      <c r="D83" s="3">
        <v>1.43</v>
      </c>
      <c r="E83" s="3" t="s">
        <v>60</v>
      </c>
      <c r="F83" s="3" t="s">
        <v>58</v>
      </c>
      <c r="G83" s="4">
        <v>1.3</v>
      </c>
      <c r="H83" s="4">
        <v>11</v>
      </c>
      <c r="I83" t="s">
        <v>274</v>
      </c>
      <c r="K83" t="str">
        <v>Alligator Grab</v>
      </c>
      <c r="L83" t="str">
        <f>VLOOKUP(K83,Table1[[Tool Name]:[Picture]],8,FALSE)</f>
        <v>Yes</v>
      </c>
    </row>
    <row r="84" spans="1:12" x14ac:dyDescent="0.25">
      <c r="A84" t="s">
        <v>174</v>
      </c>
      <c r="B84" t="s">
        <v>16</v>
      </c>
      <c r="C84" s="3" t="s">
        <v>169</v>
      </c>
      <c r="D84" s="3">
        <v>2.1800000000000002</v>
      </c>
      <c r="E84" s="3" t="s">
        <v>60</v>
      </c>
      <c r="F84" s="3" t="s">
        <v>58</v>
      </c>
      <c r="G84" s="4">
        <v>1.3</v>
      </c>
      <c r="H84" s="4">
        <v>15</v>
      </c>
      <c r="I84" t="s">
        <v>274</v>
      </c>
      <c r="K84" t="str">
        <v>Tubing Broach</v>
      </c>
      <c r="L84" t="str">
        <f>VLOOKUP(K84,Table1[[Tool Name]:[Picture]],8,FALSE)</f>
        <v>Yes</v>
      </c>
    </row>
    <row r="85" spans="1:12" x14ac:dyDescent="0.25">
      <c r="A85" t="s">
        <v>174</v>
      </c>
      <c r="B85" t="s">
        <v>16</v>
      </c>
      <c r="C85" s="3" t="s">
        <v>63</v>
      </c>
      <c r="D85" s="3">
        <v>1.77</v>
      </c>
      <c r="E85" s="3" t="s">
        <v>60</v>
      </c>
      <c r="F85" s="3" t="s">
        <v>58</v>
      </c>
      <c r="G85" s="4">
        <v>1.3</v>
      </c>
      <c r="H85" s="4">
        <v>13</v>
      </c>
      <c r="I85" t="s">
        <v>274</v>
      </c>
      <c r="K85" t="str">
        <v>Tubing Swage</v>
      </c>
      <c r="L85" t="str">
        <f>VLOOKUP(K85,Table1[[Tool Name]:[Picture]],8,FALSE)</f>
        <v>Yes</v>
      </c>
    </row>
    <row r="86" spans="1:12" x14ac:dyDescent="0.25">
      <c r="A86" t="s">
        <v>174</v>
      </c>
      <c r="B86" t="s">
        <v>16</v>
      </c>
      <c r="C86" s="3" t="s">
        <v>52</v>
      </c>
      <c r="D86" s="3">
        <v>1.43</v>
      </c>
      <c r="E86" s="3" t="s">
        <v>60</v>
      </c>
      <c r="F86" s="3" t="s">
        <v>58</v>
      </c>
      <c r="G86" s="4">
        <v>1.3</v>
      </c>
      <c r="H86" s="4">
        <v>11</v>
      </c>
      <c r="I86" t="s">
        <v>274</v>
      </c>
      <c r="K86" t="str">
        <v>Go-Devil</v>
      </c>
      <c r="L86" t="str">
        <f>VLOOKUP(K86,Table1[[Tool Name]:[Picture]],8,FALSE)</f>
        <v>Yes</v>
      </c>
    </row>
    <row r="87" spans="1:12" x14ac:dyDescent="0.25">
      <c r="A87" t="s">
        <v>174</v>
      </c>
      <c r="B87" t="s">
        <v>17</v>
      </c>
      <c r="C87" s="3" t="s">
        <v>169</v>
      </c>
      <c r="D87" s="3">
        <v>2.1800000000000002</v>
      </c>
      <c r="E87" s="3" t="s">
        <v>60</v>
      </c>
      <c r="F87" s="3" t="s">
        <v>58</v>
      </c>
      <c r="G87" s="4">
        <v>1.3</v>
      </c>
      <c r="H87" s="4">
        <v>15</v>
      </c>
      <c r="I87" t="s">
        <v>274</v>
      </c>
      <c r="K87" t="str">
        <v>Cable Head</v>
      </c>
      <c r="L87" t="str">
        <f>VLOOKUP(K87,Table1[[Tool Name]:[Picture]],8,FALSE)</f>
        <v>Yes</v>
      </c>
    </row>
    <row r="88" spans="1:12" x14ac:dyDescent="0.25">
      <c r="A88" t="s">
        <v>174</v>
      </c>
      <c r="B88" t="s">
        <v>17</v>
      </c>
      <c r="C88" s="3" t="s">
        <v>63</v>
      </c>
      <c r="D88" s="3">
        <v>1.77</v>
      </c>
      <c r="E88" s="3" t="s">
        <v>60</v>
      </c>
      <c r="F88" s="3" t="s">
        <v>58</v>
      </c>
      <c r="G88" s="4">
        <v>1.3</v>
      </c>
      <c r="H88" s="4">
        <v>13</v>
      </c>
      <c r="I88" t="s">
        <v>274</v>
      </c>
      <c r="K88" t="str">
        <v>PCH</v>
      </c>
      <c r="L88" t="str">
        <f>VLOOKUP(K88,Table1[[Tool Name]:[Picture]],8,FALSE)</f>
        <v>Yes</v>
      </c>
    </row>
    <row r="89" spans="1:12" x14ac:dyDescent="0.25">
      <c r="A89" t="s">
        <v>174</v>
      </c>
      <c r="B89" t="s">
        <v>17</v>
      </c>
      <c r="C89" s="3" t="s">
        <v>52</v>
      </c>
      <c r="D89" s="3">
        <v>1.43</v>
      </c>
      <c r="E89" s="3" t="s">
        <v>60</v>
      </c>
      <c r="F89" s="3" t="s">
        <v>58</v>
      </c>
      <c r="G89" s="4">
        <v>1.3</v>
      </c>
      <c r="H89" s="4">
        <v>11</v>
      </c>
      <c r="I89" t="s">
        <v>274</v>
      </c>
      <c r="K89" t="str">
        <v>PPU Iia</v>
      </c>
      <c r="L89" t="str">
        <f>VLOOKUP(K89,Table1[[Tool Name]:[Picture]],8,FALSE)</f>
        <v>Yes</v>
      </c>
    </row>
    <row r="90" spans="1:12" x14ac:dyDescent="0.25">
      <c r="A90" t="s">
        <v>174</v>
      </c>
      <c r="B90" t="s">
        <v>18</v>
      </c>
      <c r="C90" s="3" t="s">
        <v>64</v>
      </c>
      <c r="D90" s="3">
        <v>2.8119999999999998</v>
      </c>
      <c r="E90" s="3" t="s">
        <v>60</v>
      </c>
      <c r="F90" s="3" t="s">
        <v>93</v>
      </c>
      <c r="G90" s="4">
        <v>1.2</v>
      </c>
      <c r="H90" s="4">
        <v>17</v>
      </c>
      <c r="I90" t="s">
        <v>274</v>
      </c>
      <c r="K90" t="str">
        <v>X-Over (PPU to Sondex)</v>
      </c>
      <c r="L90" t="str">
        <f>VLOOKUP(K90,Table1[[Tool Name]:[Picture]],8,FALSE)</f>
        <v>Yes</v>
      </c>
    </row>
    <row r="91" spans="1:12" x14ac:dyDescent="0.25">
      <c r="A91" t="s">
        <v>174</v>
      </c>
      <c r="B91" t="s">
        <v>18</v>
      </c>
      <c r="C91" s="3" t="s">
        <v>169</v>
      </c>
      <c r="D91" s="3">
        <v>2.25</v>
      </c>
      <c r="E91" s="3" t="s">
        <v>60</v>
      </c>
      <c r="F91" s="3" t="s">
        <v>95</v>
      </c>
      <c r="G91" s="4">
        <v>1.2</v>
      </c>
      <c r="H91" s="4">
        <v>15</v>
      </c>
      <c r="I91" t="s">
        <v>274</v>
      </c>
      <c r="K91" t="str">
        <v>X-Over (PPU to GO-A Pin)</v>
      </c>
      <c r="L91" t="str">
        <f>VLOOKUP(K91,Table1[[Tool Name]:[Picture]],8,FALSE)</f>
        <v>Yes</v>
      </c>
    </row>
    <row r="92" spans="1:12" x14ac:dyDescent="0.25">
      <c r="A92" t="s">
        <v>174</v>
      </c>
      <c r="B92" t="s">
        <v>18</v>
      </c>
      <c r="C92" s="3" t="s">
        <v>63</v>
      </c>
      <c r="D92" s="3">
        <v>1.859</v>
      </c>
      <c r="E92" s="3" t="s">
        <v>60</v>
      </c>
      <c r="F92" s="3" t="s">
        <v>95</v>
      </c>
      <c r="G92" s="4">
        <v>1.2</v>
      </c>
      <c r="H92" s="4">
        <v>13</v>
      </c>
      <c r="I92" t="s">
        <v>274</v>
      </c>
      <c r="K92" t="str">
        <v>X-Over (PPU to SR Box)</v>
      </c>
      <c r="L92" t="str">
        <f>VLOOKUP(K92,Table1[[Tool Name]:[Picture]],8,FALSE)</f>
        <v>Yes</v>
      </c>
    </row>
    <row r="93" spans="1:12" x14ac:dyDescent="0.25">
      <c r="A93" t="s">
        <v>174</v>
      </c>
      <c r="B93" t="s">
        <v>18</v>
      </c>
      <c r="C93" s="3" t="s">
        <v>52</v>
      </c>
      <c r="D93" s="3">
        <v>1.4219999999999999</v>
      </c>
      <c r="E93" s="3" t="s">
        <v>60</v>
      </c>
      <c r="F93" s="3" t="s">
        <v>95</v>
      </c>
      <c r="G93" s="4">
        <v>1.1000000000000001</v>
      </c>
      <c r="H93" s="4">
        <v>11</v>
      </c>
      <c r="I93" t="s">
        <v>274</v>
      </c>
      <c r="K93" t="str">
        <v>X-Over (PPU to Trigger Probe)</v>
      </c>
      <c r="L93" t="str">
        <f>VLOOKUP(K93,Table1[[Tool Name]:[Picture]],8,FALSE)</f>
        <v>Yes</v>
      </c>
    </row>
    <row r="94" spans="1:12" x14ac:dyDescent="0.25">
      <c r="A94" t="s">
        <v>174</v>
      </c>
      <c r="B94" t="s">
        <v>18</v>
      </c>
      <c r="C94" s="3" t="s">
        <v>53</v>
      </c>
      <c r="D94" s="3">
        <v>1.2909999999999999</v>
      </c>
      <c r="E94" s="3" t="s">
        <v>60</v>
      </c>
      <c r="F94" s="3" t="s">
        <v>95</v>
      </c>
      <c r="G94" s="4">
        <v>1.1000000000000001</v>
      </c>
      <c r="H94" s="4">
        <v>11</v>
      </c>
      <c r="I94" t="s">
        <v>274</v>
      </c>
      <c r="K94" t="str">
        <v>MBH025</v>
      </c>
      <c r="L94" t="str">
        <f>VLOOKUP(K94,Table1[[Tool Name]:[Picture]],8,FALSE)</f>
        <v>Yes</v>
      </c>
    </row>
    <row r="95" spans="1:12" x14ac:dyDescent="0.25">
      <c r="A95" t="s">
        <v>174</v>
      </c>
      <c r="B95" t="s">
        <v>19</v>
      </c>
      <c r="C95" s="3" t="s">
        <v>64</v>
      </c>
      <c r="D95" s="3">
        <v>2.7959999999999998</v>
      </c>
      <c r="E95" s="3" t="s">
        <v>60</v>
      </c>
      <c r="F95" s="3" t="s">
        <v>93</v>
      </c>
      <c r="G95" s="4">
        <v>1.2</v>
      </c>
      <c r="H95" s="4">
        <v>17</v>
      </c>
      <c r="I95" t="s">
        <v>274</v>
      </c>
      <c r="K95" t="str">
        <v>MBH030</v>
      </c>
      <c r="L95" t="str">
        <f>VLOOKUP(K95,Table1[[Tool Name]:[Picture]],8,FALSE)</f>
        <v>Yes</v>
      </c>
    </row>
    <row r="96" spans="1:12" x14ac:dyDescent="0.25">
      <c r="A96" t="s">
        <v>174</v>
      </c>
      <c r="B96" t="s">
        <v>19</v>
      </c>
      <c r="C96" s="3" t="s">
        <v>169</v>
      </c>
      <c r="D96" s="3">
        <v>2.25</v>
      </c>
      <c r="E96" s="3" t="s">
        <v>60</v>
      </c>
      <c r="F96" s="3" t="s">
        <v>95</v>
      </c>
      <c r="G96" s="4">
        <v>1.2</v>
      </c>
      <c r="H96" s="4">
        <v>15</v>
      </c>
      <c r="I96" t="s">
        <v>274</v>
      </c>
      <c r="K96" t="str">
        <v>PGR032</v>
      </c>
      <c r="L96" t="str">
        <f>VLOOKUP(K96,Table1[[Tool Name]:[Picture]],8,FALSE)</f>
        <v>Yes</v>
      </c>
    </row>
    <row r="97" spans="1:12" x14ac:dyDescent="0.25">
      <c r="A97" t="s">
        <v>174</v>
      </c>
      <c r="B97" t="s">
        <v>19</v>
      </c>
      <c r="C97" s="3" t="s">
        <v>63</v>
      </c>
      <c r="D97" s="3">
        <v>1.859</v>
      </c>
      <c r="E97" s="3" t="s">
        <v>60</v>
      </c>
      <c r="F97" s="3" t="s">
        <v>95</v>
      </c>
      <c r="G97" s="4">
        <v>1.2</v>
      </c>
      <c r="H97" s="4">
        <v>13</v>
      </c>
      <c r="I97" t="s">
        <v>274</v>
      </c>
      <c r="K97" t="str">
        <v>PGR021</v>
      </c>
      <c r="L97" t="str">
        <f>VLOOKUP(K97,Table1[[Tool Name]:[Picture]],8,FALSE)</f>
        <v>Yes</v>
      </c>
    </row>
    <row r="98" spans="1:12" x14ac:dyDescent="0.25">
      <c r="A98" t="s">
        <v>174</v>
      </c>
      <c r="B98" t="s">
        <v>19</v>
      </c>
      <c r="C98" s="3" t="s">
        <v>52</v>
      </c>
      <c r="D98" s="3">
        <v>1.4219999999999999</v>
      </c>
      <c r="E98" s="3" t="s">
        <v>60</v>
      </c>
      <c r="F98" s="3" t="s">
        <v>95</v>
      </c>
      <c r="G98" s="4">
        <v>1.1000000000000001</v>
      </c>
      <c r="H98" s="4">
        <v>11</v>
      </c>
      <c r="I98" t="s">
        <v>274</v>
      </c>
      <c r="K98" t="str">
        <v>PGR020</v>
      </c>
      <c r="L98" t="str">
        <f>VLOOKUP(K98,Table1[[Tool Name]:[Picture]],8,FALSE)</f>
        <v>Yes</v>
      </c>
    </row>
    <row r="99" spans="1:12" x14ac:dyDescent="0.25">
      <c r="A99" t="s">
        <v>174</v>
      </c>
      <c r="B99" t="s">
        <v>20</v>
      </c>
      <c r="C99" s="3" t="s">
        <v>64</v>
      </c>
      <c r="D99" s="3">
        <v>2.8119999999999998</v>
      </c>
      <c r="E99" s="3" t="s">
        <v>60</v>
      </c>
      <c r="F99" s="3" t="s">
        <v>93</v>
      </c>
      <c r="G99" s="4">
        <v>1.2</v>
      </c>
      <c r="H99" s="4">
        <v>17</v>
      </c>
      <c r="I99" t="s">
        <v>274</v>
      </c>
      <c r="K99" t="str">
        <v>PRC001</v>
      </c>
      <c r="L99" t="str">
        <f>VLOOKUP(K99,Table1[[Tool Name]:[Picture]],8,FALSE)</f>
        <v>Yes</v>
      </c>
    </row>
    <row r="100" spans="1:12" x14ac:dyDescent="0.25">
      <c r="A100" t="s">
        <v>174</v>
      </c>
      <c r="B100" t="s">
        <v>20</v>
      </c>
      <c r="C100" s="3" t="s">
        <v>169</v>
      </c>
      <c r="D100" s="3">
        <v>2.25</v>
      </c>
      <c r="E100" s="3" t="s">
        <v>60</v>
      </c>
      <c r="F100" s="3" t="s">
        <v>95</v>
      </c>
      <c r="G100" s="4">
        <v>1.2</v>
      </c>
      <c r="H100" s="4">
        <v>15</v>
      </c>
      <c r="I100" t="s">
        <v>274</v>
      </c>
      <c r="K100" t="str">
        <v>MIT 24F (Standard)</v>
      </c>
      <c r="L100" t="str">
        <f>VLOOKUP(K100,Table1[[Tool Name]:[Picture]],8,FALSE)</f>
        <v>Yes</v>
      </c>
    </row>
    <row r="101" spans="1:12" x14ac:dyDescent="0.25">
      <c r="A101" t="s">
        <v>174</v>
      </c>
      <c r="B101" t="s">
        <v>20</v>
      </c>
      <c r="C101" s="3" t="s">
        <v>63</v>
      </c>
      <c r="D101" s="3">
        <v>1.859</v>
      </c>
      <c r="E101" s="3" t="s">
        <v>60</v>
      </c>
      <c r="F101" s="3" t="s">
        <v>95</v>
      </c>
      <c r="G101" s="4">
        <v>1.2</v>
      </c>
      <c r="H101" s="4">
        <v>13</v>
      </c>
      <c r="I101" t="s">
        <v>274</v>
      </c>
      <c r="K101" t="str">
        <v>MIT 24F (Extended)</v>
      </c>
      <c r="L101" t="str">
        <f>VLOOKUP(K101,Table1[[Tool Name]:[Picture]],8,FALSE)</f>
        <v>Yes</v>
      </c>
    </row>
    <row r="102" spans="1:12" x14ac:dyDescent="0.25">
      <c r="A102" t="s">
        <v>174</v>
      </c>
      <c r="B102" t="s">
        <v>20</v>
      </c>
      <c r="C102" s="3" t="s">
        <v>52</v>
      </c>
      <c r="D102" s="3">
        <v>1.4219999999999999</v>
      </c>
      <c r="E102" s="3" t="s">
        <v>60</v>
      </c>
      <c r="F102" s="3" t="s">
        <v>95</v>
      </c>
      <c r="G102" s="4">
        <v>1.1000000000000001</v>
      </c>
      <c r="H102" s="4">
        <v>11</v>
      </c>
      <c r="I102" t="s">
        <v>274</v>
      </c>
      <c r="K102" t="str">
        <v>MIT 40F (Standard)</v>
      </c>
      <c r="L102" t="str">
        <f>VLOOKUP(K102,Table1[[Tool Name]:[Picture]],8,FALSE)</f>
        <v>Yes</v>
      </c>
    </row>
    <row r="103" spans="1:12" x14ac:dyDescent="0.25">
      <c r="A103" t="s">
        <v>174</v>
      </c>
      <c r="B103" t="s">
        <v>20</v>
      </c>
      <c r="C103" s="3" t="s">
        <v>53</v>
      </c>
      <c r="D103" s="3">
        <v>1.2909999999999999</v>
      </c>
      <c r="E103" s="3" t="s">
        <v>60</v>
      </c>
      <c r="F103" s="3" t="s">
        <v>95</v>
      </c>
      <c r="G103" s="4">
        <v>1.1000000000000001</v>
      </c>
      <c r="H103" s="4">
        <v>11</v>
      </c>
      <c r="I103" t="s">
        <v>274</v>
      </c>
      <c r="K103" t="str">
        <v>MIT 40F (Extended)</v>
      </c>
      <c r="L103" t="str">
        <f>VLOOKUP(K103,Table1[[Tool Name]:[Picture]],8,FALSE)</f>
        <v>Yes</v>
      </c>
    </row>
    <row r="104" spans="1:12" x14ac:dyDescent="0.25">
      <c r="A104" t="s">
        <v>174</v>
      </c>
      <c r="B104" t="s">
        <v>21</v>
      </c>
      <c r="C104" s="3" t="s">
        <v>64</v>
      </c>
      <c r="D104" s="3">
        <v>2.7959999999999998</v>
      </c>
      <c r="E104" s="3" t="s">
        <v>60</v>
      </c>
      <c r="F104" s="3" t="s">
        <v>93</v>
      </c>
      <c r="G104" s="4">
        <v>1.2</v>
      </c>
      <c r="H104" s="4">
        <v>17</v>
      </c>
      <c r="I104" t="s">
        <v>274</v>
      </c>
      <c r="K104" t="str">
        <v>UMT003</v>
      </c>
      <c r="L104" t="str">
        <f>VLOOKUP(K104,Table1[[Tool Name]:[Picture]],8,FALSE)</f>
        <v>Yes</v>
      </c>
    </row>
    <row r="105" spans="1:12" x14ac:dyDescent="0.25">
      <c r="A105" t="s">
        <v>174</v>
      </c>
      <c r="B105" t="s">
        <v>21</v>
      </c>
      <c r="C105" s="3" t="s">
        <v>169</v>
      </c>
      <c r="D105" s="3">
        <v>2.25</v>
      </c>
      <c r="E105" s="3" t="s">
        <v>60</v>
      </c>
      <c r="F105" s="3" t="s">
        <v>95</v>
      </c>
      <c r="G105" s="4">
        <v>1.2</v>
      </c>
      <c r="H105" s="4">
        <v>15</v>
      </c>
      <c r="I105" t="s">
        <v>274</v>
      </c>
      <c r="K105" t="str">
        <v>UMT007</v>
      </c>
      <c r="L105" t="str">
        <f>VLOOKUP(K105,Table1[[Tool Name]:[Picture]],8,FALSE)</f>
        <v>Yes</v>
      </c>
    </row>
    <row r="106" spans="1:12" x14ac:dyDescent="0.25">
      <c r="A106" t="s">
        <v>174</v>
      </c>
      <c r="B106" t="s">
        <v>21</v>
      </c>
      <c r="C106" s="3" t="s">
        <v>63</v>
      </c>
      <c r="D106" s="3">
        <v>1.859</v>
      </c>
      <c r="E106" s="3" t="s">
        <v>60</v>
      </c>
      <c r="F106" s="3" t="s">
        <v>95</v>
      </c>
      <c r="G106" s="4">
        <v>1.2</v>
      </c>
      <c r="H106" s="4">
        <v>13</v>
      </c>
      <c r="I106" t="s">
        <v>274</v>
      </c>
      <c r="K106" t="str">
        <v>QPC201</v>
      </c>
      <c r="L106" t="str">
        <f>VLOOKUP(K106,Table1[[Tool Name]:[Picture]],8,FALSE)</f>
        <v>Yes</v>
      </c>
    </row>
    <row r="107" spans="1:12" x14ac:dyDescent="0.25">
      <c r="A107" t="s">
        <v>174</v>
      </c>
      <c r="B107" t="s">
        <v>21</v>
      </c>
      <c r="C107" s="3" t="s">
        <v>52</v>
      </c>
      <c r="D107" s="3">
        <v>1.4219999999999999</v>
      </c>
      <c r="E107" s="3" t="s">
        <v>60</v>
      </c>
      <c r="F107" s="3" t="s">
        <v>95</v>
      </c>
      <c r="G107" s="4">
        <v>1.1000000000000001</v>
      </c>
      <c r="H107" s="4">
        <v>11</v>
      </c>
      <c r="I107" t="s">
        <v>274</v>
      </c>
      <c r="K107" t="str">
        <v>QPC004</v>
      </c>
      <c r="L107" t="str">
        <f>VLOOKUP(K107,Table1[[Tool Name]:[Picture]],8,FALSE)</f>
        <v>Yes</v>
      </c>
    </row>
    <row r="108" spans="1:12" x14ac:dyDescent="0.25">
      <c r="A108" t="s">
        <v>174</v>
      </c>
      <c r="B108" t="s">
        <v>96</v>
      </c>
      <c r="C108" s="3" t="s">
        <v>64</v>
      </c>
      <c r="D108" s="3">
        <v>2.72</v>
      </c>
      <c r="E108" s="3" t="s">
        <v>59</v>
      </c>
      <c r="F108" s="3" t="s">
        <v>93</v>
      </c>
      <c r="G108" s="4">
        <v>1</v>
      </c>
      <c r="H108" s="4">
        <v>10</v>
      </c>
      <c r="I108" t="s">
        <v>274</v>
      </c>
      <c r="K108" t="str">
        <v>QPC003</v>
      </c>
      <c r="L108" t="str">
        <f>VLOOKUP(K108,Table1[[Tool Name]:[Picture]],8,FALSE)</f>
        <v>Yes</v>
      </c>
    </row>
    <row r="109" spans="1:12" x14ac:dyDescent="0.25">
      <c r="A109" t="s">
        <v>174</v>
      </c>
      <c r="B109" t="s">
        <v>96</v>
      </c>
      <c r="C109" s="3" t="s">
        <v>169</v>
      </c>
      <c r="D109" s="3">
        <v>2.25</v>
      </c>
      <c r="E109" s="3" t="s">
        <v>60</v>
      </c>
      <c r="F109" s="3" t="s">
        <v>93</v>
      </c>
      <c r="G109" s="4">
        <v>1</v>
      </c>
      <c r="H109" s="4">
        <v>8</v>
      </c>
      <c r="I109" t="s">
        <v>274</v>
      </c>
      <c r="K109" t="str">
        <v>PKJ013</v>
      </c>
      <c r="L109" t="str">
        <f>VLOOKUP(K109,Table1[[Tool Name]:[Picture]],8,FALSE)</f>
        <v>Yes</v>
      </c>
    </row>
    <row r="110" spans="1:12" x14ac:dyDescent="0.25">
      <c r="A110" t="s">
        <v>174</v>
      </c>
      <c r="B110" t="s">
        <v>96</v>
      </c>
      <c r="C110" s="3" t="s">
        <v>63</v>
      </c>
      <c r="D110" s="3">
        <v>1.81</v>
      </c>
      <c r="E110" s="3" t="s">
        <v>60</v>
      </c>
      <c r="F110" s="3" t="s">
        <v>93</v>
      </c>
      <c r="G110" s="4">
        <v>1</v>
      </c>
      <c r="H110" s="4">
        <v>6</v>
      </c>
      <c r="I110" t="s">
        <v>274</v>
      </c>
      <c r="K110" t="str">
        <v>ILS021</v>
      </c>
      <c r="L110" t="str">
        <f>VLOOKUP(K110,Table1[[Tool Name]:[Picture]],8,FALSE)</f>
        <v>Yes</v>
      </c>
    </row>
    <row r="111" spans="1:12" x14ac:dyDescent="0.25">
      <c r="A111" t="s">
        <v>174</v>
      </c>
      <c r="B111" t="s">
        <v>13</v>
      </c>
      <c r="C111" s="3" t="s">
        <v>64</v>
      </c>
      <c r="D111" s="3">
        <v>2.72</v>
      </c>
      <c r="E111" s="3" t="s">
        <v>59</v>
      </c>
      <c r="F111" s="3" t="s">
        <v>93</v>
      </c>
      <c r="G111" s="4">
        <v>1.5</v>
      </c>
      <c r="H111" s="4">
        <v>15</v>
      </c>
      <c r="I111" t="s">
        <v>274</v>
      </c>
      <c r="K111" t="str">
        <v>ILS022</v>
      </c>
      <c r="L111" t="str">
        <f>VLOOKUP(K111,Table1[[Tool Name]:[Picture]],8,FALSE)</f>
        <v>Yes</v>
      </c>
    </row>
    <row r="112" spans="1:12" x14ac:dyDescent="0.25">
      <c r="A112" t="s">
        <v>174</v>
      </c>
      <c r="B112" t="s">
        <v>13</v>
      </c>
      <c r="C112" s="3" t="s">
        <v>169</v>
      </c>
      <c r="D112" s="3">
        <v>2.25</v>
      </c>
      <c r="E112" s="3" t="s">
        <v>60</v>
      </c>
      <c r="F112" s="3" t="s">
        <v>93</v>
      </c>
      <c r="G112" s="4">
        <v>1.5</v>
      </c>
      <c r="H112" s="4">
        <v>13</v>
      </c>
      <c r="I112" t="s">
        <v>274</v>
      </c>
      <c r="K112" t="str">
        <v>SAT005</v>
      </c>
      <c r="L112" t="str">
        <f>VLOOKUP(K112,Table1[[Tool Name]:[Picture]],8,FALSE)</f>
        <v>No</v>
      </c>
    </row>
    <row r="113" spans="1:12" x14ac:dyDescent="0.25">
      <c r="A113" t="s">
        <v>174</v>
      </c>
      <c r="B113" t="s">
        <v>13</v>
      </c>
      <c r="C113" s="3" t="s">
        <v>63</v>
      </c>
      <c r="D113" s="3">
        <v>1.81</v>
      </c>
      <c r="E113" s="3" t="s">
        <v>60</v>
      </c>
      <c r="F113" s="3" t="s">
        <v>93</v>
      </c>
      <c r="G113" s="4">
        <v>1.5</v>
      </c>
      <c r="H113" s="4">
        <v>11</v>
      </c>
      <c r="I113" t="s">
        <v>274</v>
      </c>
      <c r="K113" t="str">
        <v>FDR020</v>
      </c>
      <c r="L113" t="str">
        <f>VLOOKUP(K113,Table1[[Tool Name]:[Picture]],8,FALSE)</f>
        <v>No</v>
      </c>
    </row>
    <row r="114" spans="1:12" x14ac:dyDescent="0.25">
      <c r="A114" t="s">
        <v>174</v>
      </c>
      <c r="B114" t="s">
        <v>192</v>
      </c>
      <c r="C114" s="3" t="s">
        <v>53</v>
      </c>
      <c r="D114" s="3">
        <v>1.125</v>
      </c>
      <c r="F114" s="3" t="s">
        <v>58</v>
      </c>
      <c r="G114" s="4">
        <v>1.0833333333333333</v>
      </c>
      <c r="H114" s="4">
        <v>2</v>
      </c>
      <c r="I114" t="s">
        <v>275</v>
      </c>
      <c r="K114" t="str">
        <v>CTF004</v>
      </c>
      <c r="L114" t="str">
        <f>VLOOKUP(K114,Table1[[Tool Name]:[Picture]],8,FALSE)</f>
        <v>No</v>
      </c>
    </row>
    <row r="115" spans="1:12" x14ac:dyDescent="0.25">
      <c r="A115" t="s">
        <v>174</v>
      </c>
      <c r="B115" t="s">
        <v>192</v>
      </c>
      <c r="C115" s="3" t="s">
        <v>52</v>
      </c>
      <c r="D115" s="3">
        <v>1.35</v>
      </c>
      <c r="F115" s="3" t="s">
        <v>58</v>
      </c>
      <c r="G115" s="4">
        <v>1.0833333333333333</v>
      </c>
      <c r="H115" s="4">
        <v>2</v>
      </c>
      <c r="I115" t="s">
        <v>275</v>
      </c>
      <c r="K115" t="str">
        <v>CFJM08</v>
      </c>
      <c r="L115" t="str">
        <f>VLOOKUP(K115,Table1[[Tool Name]:[Picture]],8,FALSE)</f>
        <v>Yes</v>
      </c>
    </row>
    <row r="116" spans="1:12" x14ac:dyDescent="0.25">
      <c r="A116" t="s">
        <v>174</v>
      </c>
      <c r="B116" t="s">
        <v>192</v>
      </c>
      <c r="C116" s="3" t="s">
        <v>63</v>
      </c>
      <c r="D116" s="3">
        <v>2</v>
      </c>
      <c r="F116" s="3" t="s">
        <v>58</v>
      </c>
      <c r="G116" s="4">
        <v>1.2916666666666667</v>
      </c>
      <c r="H116" s="4">
        <v>4</v>
      </c>
      <c r="I116" t="s">
        <v>275</v>
      </c>
      <c r="K116" t="str">
        <v>CFSM</v>
      </c>
      <c r="L116" t="str">
        <f>VLOOKUP(K116,Table1[[Tool Name]:[Picture]],8,FALSE)</f>
        <v>Yes</v>
      </c>
    </row>
    <row r="117" spans="1:12" x14ac:dyDescent="0.25">
      <c r="A117" t="s">
        <v>174</v>
      </c>
      <c r="B117" t="s">
        <v>192</v>
      </c>
      <c r="C117" s="3" t="s">
        <v>169</v>
      </c>
      <c r="D117" s="3">
        <v>2.5</v>
      </c>
      <c r="F117" s="3" t="s">
        <v>58</v>
      </c>
      <c r="G117" s="4">
        <v>1.3333333333333333</v>
      </c>
      <c r="H117" s="4">
        <v>6.5</v>
      </c>
      <c r="I117" t="s">
        <v>275</v>
      </c>
      <c r="K117" t="str">
        <v>CFBM (6-Arm)</v>
      </c>
      <c r="L117" t="str">
        <f>VLOOKUP(K117,Table1[[Tool Name]:[Picture]],8,FALSE)</f>
        <v>Yes</v>
      </c>
    </row>
    <row r="118" spans="1:12" x14ac:dyDescent="0.25">
      <c r="A118" t="s">
        <v>174</v>
      </c>
      <c r="B118" t="s">
        <v>192</v>
      </c>
      <c r="C118" s="3" t="s">
        <v>64</v>
      </c>
      <c r="D118" s="3">
        <v>3.125</v>
      </c>
      <c r="F118" s="3" t="s">
        <v>58</v>
      </c>
      <c r="G118" s="4">
        <v>1.5</v>
      </c>
      <c r="H118" s="4">
        <v>10.5</v>
      </c>
      <c r="I118" t="s">
        <v>275</v>
      </c>
      <c r="K118" t="str">
        <v>BUL006</v>
      </c>
      <c r="L118" t="str">
        <f>VLOOKUP(K118,Table1[[Tool Name]:[Picture]],8,FALSE)</f>
        <v>Yes</v>
      </c>
    </row>
    <row r="119" spans="1:12" x14ac:dyDescent="0.25">
      <c r="A119" t="s">
        <v>174</v>
      </c>
      <c r="B119" t="s">
        <v>192</v>
      </c>
      <c r="C119" s="3" t="s">
        <v>193</v>
      </c>
      <c r="D119" s="3">
        <v>4</v>
      </c>
      <c r="F119" s="3" t="s">
        <v>58</v>
      </c>
      <c r="G119" s="4">
        <v>2.25</v>
      </c>
      <c r="H119" s="4">
        <v>24</v>
      </c>
      <c r="I119" t="s">
        <v>275</v>
      </c>
      <c r="K119" t="str">
        <v>ASB004</v>
      </c>
      <c r="L119" t="str">
        <f>VLOOKUP(K119,Table1[[Tool Name]:[Picture]],8,FALSE)</f>
        <v>No</v>
      </c>
    </row>
    <row r="120" spans="1:12" x14ac:dyDescent="0.25">
      <c r="A120" t="s">
        <v>123</v>
      </c>
      <c r="B120" t="s">
        <v>22</v>
      </c>
      <c r="C120" s="3" t="s">
        <v>65</v>
      </c>
      <c r="D120" s="3">
        <v>2.718</v>
      </c>
      <c r="E120" s="3" t="s">
        <v>59</v>
      </c>
      <c r="F120" s="3" t="s">
        <v>59</v>
      </c>
      <c r="G120" s="4">
        <v>1</v>
      </c>
      <c r="H120" s="4">
        <v>12.647572820000001</v>
      </c>
      <c r="I120" t="s">
        <v>274</v>
      </c>
      <c r="K120" t="str">
        <v>Rotational Alignment Sub</v>
      </c>
      <c r="L120" t="str">
        <f>VLOOKUP(K120,Table1[[Tool Name]:[Picture]],8,FALSE)</f>
        <v>No</v>
      </c>
    </row>
    <row r="121" spans="1:12" x14ac:dyDescent="0.25">
      <c r="A121" t="s">
        <v>123</v>
      </c>
      <c r="B121" t="s">
        <v>22</v>
      </c>
      <c r="C121" s="3" t="s">
        <v>97</v>
      </c>
      <c r="D121" s="3">
        <v>2.718</v>
      </c>
      <c r="E121" s="3" t="s">
        <v>59</v>
      </c>
      <c r="F121" s="3" t="s">
        <v>59</v>
      </c>
      <c r="G121" s="4">
        <v>1</v>
      </c>
      <c r="H121" s="4">
        <v>12.647572820000001</v>
      </c>
      <c r="I121" t="s">
        <v>274</v>
      </c>
      <c r="K121" t="str">
        <v>RAT001</v>
      </c>
      <c r="L121" t="str">
        <f>VLOOKUP(K121,Table1[[Tool Name]:[Picture]],8,FALSE)</f>
        <v>No</v>
      </c>
    </row>
    <row r="122" spans="1:12" x14ac:dyDescent="0.25">
      <c r="A122" t="s">
        <v>123</v>
      </c>
      <c r="B122" t="s">
        <v>22</v>
      </c>
      <c r="C122" s="3" t="s">
        <v>66</v>
      </c>
      <c r="D122" s="3">
        <v>2.1560000000000001</v>
      </c>
      <c r="E122" s="3" t="s">
        <v>60</v>
      </c>
      <c r="F122" s="3" t="s">
        <v>60</v>
      </c>
      <c r="G122" s="4">
        <v>1</v>
      </c>
      <c r="H122" s="4">
        <v>12.647572820000001</v>
      </c>
      <c r="I122" t="s">
        <v>274</v>
      </c>
      <c r="K122" t="str">
        <v>K-Set Tool</v>
      </c>
      <c r="L122" t="str">
        <f>VLOOKUP(K122,Table1[[Tool Name]:[Picture]],8,FALSE)</f>
        <v>Yes</v>
      </c>
    </row>
    <row r="123" spans="1:12" x14ac:dyDescent="0.25">
      <c r="A123" t="s">
        <v>123</v>
      </c>
      <c r="B123" t="s">
        <v>22</v>
      </c>
      <c r="C123" s="3" t="s">
        <v>67</v>
      </c>
      <c r="D123" s="3">
        <v>1.84</v>
      </c>
      <c r="E123" s="3" t="s">
        <v>60</v>
      </c>
      <c r="F123" s="3" t="s">
        <v>60</v>
      </c>
      <c r="G123" s="4">
        <v>1</v>
      </c>
      <c r="H123" s="4">
        <v>12.647572820000001</v>
      </c>
      <c r="I123" t="s">
        <v>274</v>
      </c>
      <c r="K123" t="str">
        <v>Setting Adapter</v>
      </c>
      <c r="L123" t="str">
        <f>VLOOKUP(K123,Table1[[Tool Name]:[Picture]],8,FALSE)</f>
        <v>No</v>
      </c>
    </row>
    <row r="124" spans="1:12" x14ac:dyDescent="0.25">
      <c r="A124" t="s">
        <v>123</v>
      </c>
      <c r="B124" t="s">
        <v>23</v>
      </c>
      <c r="C124" s="3" t="s">
        <v>65</v>
      </c>
      <c r="D124" s="3">
        <v>2.78</v>
      </c>
      <c r="E124" s="3" t="s">
        <v>59</v>
      </c>
      <c r="F124" s="3" t="s">
        <v>59</v>
      </c>
      <c r="G124" s="4">
        <v>1.5</v>
      </c>
      <c r="H124" s="4">
        <v>12.647572820000001</v>
      </c>
      <c r="I124" t="s">
        <v>274</v>
      </c>
      <c r="K124" t="str">
        <v>Premium Bridge Plug</v>
      </c>
      <c r="L124" t="str">
        <f>VLOOKUP(K124,Table1[[Tool Name]:[Picture]],8,FALSE)</f>
        <v>Yes</v>
      </c>
    </row>
    <row r="125" spans="1:12" x14ac:dyDescent="0.25">
      <c r="A125" t="s">
        <v>123</v>
      </c>
      <c r="B125" t="s">
        <v>23</v>
      </c>
      <c r="C125" s="3" t="s">
        <v>97</v>
      </c>
      <c r="D125" s="3">
        <v>2.72</v>
      </c>
      <c r="E125" s="3" t="s">
        <v>59</v>
      </c>
      <c r="F125" s="3" t="s">
        <v>59</v>
      </c>
      <c r="G125" s="4">
        <v>1.5</v>
      </c>
      <c r="H125" s="4">
        <v>12.647572820000001</v>
      </c>
      <c r="I125" t="s">
        <v>274</v>
      </c>
      <c r="K125" t="str">
        <v>DBC12</v>
      </c>
      <c r="L125" t="str">
        <f>VLOOKUP(K125,Table1[[Tool Name]:[Picture]],8,FALSE)</f>
        <v>No</v>
      </c>
    </row>
    <row r="126" spans="1:12" x14ac:dyDescent="0.25">
      <c r="A126" t="s">
        <v>123</v>
      </c>
      <c r="B126" t="s">
        <v>23</v>
      </c>
      <c r="C126" s="3" t="s">
        <v>66</v>
      </c>
      <c r="D126" s="3">
        <v>2.2799999999999998</v>
      </c>
      <c r="E126" s="3" t="s">
        <v>60</v>
      </c>
      <c r="F126" s="3" t="s">
        <v>60</v>
      </c>
      <c r="G126" s="4">
        <v>1.5</v>
      </c>
      <c r="H126" s="4">
        <v>12.647572820000001</v>
      </c>
      <c r="I126" t="s">
        <v>274</v>
      </c>
      <c r="K126" t="str">
        <v>DMC05</v>
      </c>
      <c r="L126" t="str">
        <f>VLOOKUP(K126,Table1[[Tool Name]:[Picture]],8,FALSE)</f>
        <v>No</v>
      </c>
    </row>
    <row r="127" spans="1:12" x14ac:dyDescent="0.25">
      <c r="A127" t="s">
        <v>123</v>
      </c>
      <c r="B127" t="s">
        <v>23</v>
      </c>
      <c r="C127" s="3" t="s">
        <v>67</v>
      </c>
      <c r="D127" s="3">
        <v>1.843</v>
      </c>
      <c r="E127" s="3" t="s">
        <v>60</v>
      </c>
      <c r="F127" s="3" t="s">
        <v>60</v>
      </c>
      <c r="G127" s="4">
        <v>1.5</v>
      </c>
      <c r="H127" s="4">
        <v>12.647572820000001</v>
      </c>
      <c r="I127" t="s">
        <v>274</v>
      </c>
      <c r="K127" t="str">
        <v>GRT10</v>
      </c>
      <c r="L127" t="str">
        <f>VLOOKUP(K127,Table1[[Tool Name]:[Picture]],8,FALSE)</f>
        <v>No</v>
      </c>
    </row>
    <row r="128" spans="1:12" x14ac:dyDescent="0.25">
      <c r="A128" t="s">
        <v>123</v>
      </c>
      <c r="B128" t="s">
        <v>44</v>
      </c>
      <c r="C128" s="3" t="s">
        <v>175</v>
      </c>
      <c r="D128" s="3">
        <v>1.71</v>
      </c>
      <c r="E128" s="3" t="s">
        <v>176</v>
      </c>
      <c r="F128" s="3" t="s">
        <v>176</v>
      </c>
      <c r="G128" s="4">
        <v>2</v>
      </c>
      <c r="H128" s="4">
        <v>10</v>
      </c>
      <c r="I128" t="s">
        <v>274</v>
      </c>
      <c r="K128" t="str">
        <v>CCL10</v>
      </c>
      <c r="L128" t="str">
        <f>VLOOKUP(K128,Table1[[Tool Name]:[Picture]],8,FALSE)</f>
        <v>No</v>
      </c>
    </row>
    <row r="129" spans="1:12" x14ac:dyDescent="0.25">
      <c r="A129" t="s">
        <v>123</v>
      </c>
      <c r="B129" t="s">
        <v>44</v>
      </c>
      <c r="C129" s="3" t="s">
        <v>177</v>
      </c>
      <c r="D129" s="3">
        <v>2.31</v>
      </c>
      <c r="E129" s="3" t="s">
        <v>178</v>
      </c>
      <c r="F129" s="3" t="s">
        <v>178</v>
      </c>
      <c r="G129" s="4">
        <v>2</v>
      </c>
      <c r="H129" s="4">
        <v>15</v>
      </c>
      <c r="I129" t="s">
        <v>274</v>
      </c>
      <c r="K129" t="str">
        <v>RCT02</v>
      </c>
      <c r="L129" t="str">
        <f>VLOOKUP(K129,Table1[[Tool Name]:[Picture]],8,FALSE)</f>
        <v>No</v>
      </c>
    </row>
    <row r="130" spans="1:12" x14ac:dyDescent="0.25">
      <c r="A130" t="s">
        <v>123</v>
      </c>
      <c r="B130" t="s">
        <v>250</v>
      </c>
      <c r="C130" s="3" t="s">
        <v>251</v>
      </c>
      <c r="D130" s="3">
        <v>2.81</v>
      </c>
      <c r="E130" s="3" t="s">
        <v>59</v>
      </c>
      <c r="F130" s="3" t="s">
        <v>59</v>
      </c>
      <c r="G130" s="4">
        <f>14/12</f>
        <v>1.1666666666666667</v>
      </c>
      <c r="H130" s="4">
        <v>5</v>
      </c>
      <c r="I130" t="s">
        <v>275</v>
      </c>
      <c r="K130" t="str">
        <v>RBT01</v>
      </c>
      <c r="L130" t="str">
        <f>VLOOKUP(K130,Table1[[Tool Name]:[Picture]],8,FALSE)</f>
        <v>No</v>
      </c>
    </row>
    <row r="131" spans="1:12" x14ac:dyDescent="0.25">
      <c r="A131" t="s">
        <v>123</v>
      </c>
      <c r="B131" t="s">
        <v>250</v>
      </c>
      <c r="C131" s="3" t="s">
        <v>252</v>
      </c>
      <c r="D131" s="3">
        <v>3.3130000000000002</v>
      </c>
      <c r="E131" s="3" t="s">
        <v>59</v>
      </c>
      <c r="F131" s="3" t="s">
        <v>59</v>
      </c>
      <c r="G131" s="4">
        <f>14/12</f>
        <v>1.1666666666666667</v>
      </c>
      <c r="H131" s="4">
        <v>8</v>
      </c>
      <c r="I131" t="s">
        <v>275</v>
      </c>
      <c r="K131" t="str">
        <v>BWS01</v>
      </c>
      <c r="L131" t="str">
        <f>VLOOKUP(K131,Table1[[Tool Name]:[Picture]],8,FALSE)</f>
        <v>Yes</v>
      </c>
    </row>
    <row r="132" spans="1:12" x14ac:dyDescent="0.25">
      <c r="A132" t="s">
        <v>123</v>
      </c>
      <c r="B132" t="s">
        <v>250</v>
      </c>
      <c r="C132" s="3" t="s">
        <v>253</v>
      </c>
      <c r="D132" s="3">
        <v>3.8130000000000002</v>
      </c>
      <c r="E132" s="3" t="s">
        <v>59</v>
      </c>
      <c r="F132" s="3" t="s">
        <v>59</v>
      </c>
      <c r="G132" s="4">
        <f>14/12</f>
        <v>1.1666666666666667</v>
      </c>
      <c r="H132" s="4">
        <v>10</v>
      </c>
      <c r="I132" t="s">
        <v>275</v>
      </c>
      <c r="K132" t="str">
        <v>Optis® M160 Memory Camera</v>
      </c>
      <c r="L132" t="str">
        <f>VLOOKUP(K132,Table1[[Tool Name]:[Picture]],8,FALSE)</f>
        <v>No</v>
      </c>
    </row>
    <row r="133" spans="1:12" x14ac:dyDescent="0.25">
      <c r="A133" t="s">
        <v>123</v>
      </c>
      <c r="B133" t="s">
        <v>250</v>
      </c>
      <c r="C133" s="3" t="s">
        <v>254</v>
      </c>
      <c r="D133" s="3">
        <v>4.5620000000000003</v>
      </c>
      <c r="E133" s="3" t="s">
        <v>59</v>
      </c>
      <c r="F133" s="3" t="s">
        <v>59</v>
      </c>
      <c r="G133" s="4">
        <f>14/12</f>
        <v>1.1666666666666667</v>
      </c>
      <c r="H133" s="4">
        <v>12</v>
      </c>
      <c r="I133" t="s">
        <v>275</v>
      </c>
      <c r="K133" t="str">
        <v>SBC 2W Drive Module</v>
      </c>
      <c r="L133" t="str">
        <f>VLOOKUP(K133,Table1[[Tool Name]:[Picture]],8,FALSE)</f>
        <v>No</v>
      </c>
    </row>
    <row r="134" spans="1:12" x14ac:dyDescent="0.25">
      <c r="A134" t="s">
        <v>123</v>
      </c>
      <c r="B134" t="s">
        <v>214</v>
      </c>
      <c r="C134" s="3" t="s">
        <v>51</v>
      </c>
      <c r="D134" s="3">
        <v>1.875</v>
      </c>
      <c r="E134" s="3" t="s">
        <v>59</v>
      </c>
      <c r="F134" s="3" t="s">
        <v>60</v>
      </c>
      <c r="G134" s="4">
        <f>5/12</f>
        <v>0.41666666666666669</v>
      </c>
      <c r="H134" s="4">
        <v>1.5</v>
      </c>
      <c r="I134" t="s">
        <v>274</v>
      </c>
      <c r="K134" t="str">
        <v>SBC Brain</v>
      </c>
      <c r="L134" t="str">
        <f>VLOOKUP(K134,Table1[[Tool Name]:[Picture]],8,FALSE)</f>
        <v>No</v>
      </c>
    </row>
    <row r="135" spans="1:12" x14ac:dyDescent="0.25">
      <c r="A135" t="s">
        <v>123</v>
      </c>
      <c r="B135" t="s">
        <v>215</v>
      </c>
      <c r="C135" s="3" t="s">
        <v>52</v>
      </c>
      <c r="D135" s="3">
        <v>1.5</v>
      </c>
      <c r="E135" s="3" t="s">
        <v>59</v>
      </c>
      <c r="F135" s="3" t="s">
        <v>59</v>
      </c>
      <c r="G135" s="4">
        <f>4.5/12</f>
        <v>0.375</v>
      </c>
      <c r="H135" s="4">
        <v>1</v>
      </c>
      <c r="I135" t="s">
        <v>274</v>
      </c>
      <c r="K135" t="str">
        <v>SBC Bull Nose</v>
      </c>
      <c r="L135" t="str">
        <f>VLOOKUP(K135,Table1[[Tool Name]:[Picture]],8,FALSE)</f>
        <v>No</v>
      </c>
    </row>
    <row r="136" spans="1:12" x14ac:dyDescent="0.25">
      <c r="A136" t="s">
        <v>123</v>
      </c>
      <c r="B136" t="s">
        <v>216</v>
      </c>
      <c r="C136" s="3" t="s">
        <v>51</v>
      </c>
      <c r="D136" s="3">
        <v>1.875</v>
      </c>
      <c r="E136" s="3" t="s">
        <v>60</v>
      </c>
      <c r="F136" s="3" t="s">
        <v>59</v>
      </c>
      <c r="G136" s="4">
        <f>5/12</f>
        <v>0.41666666666666669</v>
      </c>
      <c r="H136" s="4">
        <v>1.5</v>
      </c>
      <c r="I136" t="s">
        <v>274</v>
      </c>
      <c r="K136" t="str">
        <v>SBC Comms Module</v>
      </c>
      <c r="L136" t="str">
        <f>VLOOKUP(K136,Table1[[Tool Name]:[Picture]],8,FALSE)</f>
        <v>No</v>
      </c>
    </row>
    <row r="137" spans="1:12" x14ac:dyDescent="0.25">
      <c r="A137" t="s">
        <v>123</v>
      </c>
      <c r="B137" t="s">
        <v>217</v>
      </c>
      <c r="C137" s="3" t="s">
        <v>219</v>
      </c>
      <c r="D137" s="3">
        <v>1.2</v>
      </c>
      <c r="E137" s="3" t="s">
        <v>60</v>
      </c>
      <c r="F137" s="3" t="s">
        <v>60</v>
      </c>
      <c r="G137" s="4">
        <f>4/12</f>
        <v>0.33333333333333331</v>
      </c>
      <c r="H137" s="4">
        <v>0.5</v>
      </c>
      <c r="I137" t="s">
        <v>274</v>
      </c>
      <c r="K137" t="str">
        <v>SBC Knuckle Joint</v>
      </c>
      <c r="L137" t="str">
        <f>VLOOKUP(K137,Table1[[Tool Name]:[Picture]],8,FALSE)</f>
        <v>No</v>
      </c>
    </row>
    <row r="138" spans="1:12" x14ac:dyDescent="0.25">
      <c r="A138" t="s">
        <v>123</v>
      </c>
      <c r="B138" t="s">
        <v>218</v>
      </c>
      <c r="C138" s="3" t="s">
        <v>169</v>
      </c>
      <c r="D138" s="3">
        <v>2.5</v>
      </c>
      <c r="E138" s="3" t="s">
        <v>229</v>
      </c>
      <c r="F138" s="3" t="s">
        <v>59</v>
      </c>
      <c r="G138" s="4">
        <f>5/12</f>
        <v>0.41666666666666669</v>
      </c>
      <c r="H138" s="4">
        <v>2</v>
      </c>
      <c r="I138" t="s">
        <v>274</v>
      </c>
      <c r="K138" t="str">
        <v>SBC Power Module</v>
      </c>
      <c r="L138" t="str">
        <f>VLOOKUP(K138,Table1[[Tool Name]:[Picture]],8,FALSE)</f>
        <v>No</v>
      </c>
    </row>
    <row r="139" spans="1:12" x14ac:dyDescent="0.25">
      <c r="A139" t="s">
        <v>123</v>
      </c>
      <c r="B139" t="s">
        <v>228</v>
      </c>
      <c r="C139" s="3" t="s">
        <v>169</v>
      </c>
      <c r="D139" s="3">
        <v>2.5</v>
      </c>
      <c r="E139" s="3" t="s">
        <v>59</v>
      </c>
      <c r="F139" s="3" t="s">
        <v>229</v>
      </c>
      <c r="G139" s="4">
        <f>5/12</f>
        <v>0.41666666666666669</v>
      </c>
      <c r="H139" s="4">
        <v>2</v>
      </c>
      <c r="I139" t="s">
        <v>274</v>
      </c>
      <c r="K139" t="str">
        <v>3' Titan Sinker Bar</v>
      </c>
      <c r="L139" t="str">
        <f>VLOOKUP(K139,Table1[[Tool Name]:[Picture]],8,FALSE)</f>
        <v>Yes</v>
      </c>
    </row>
    <row r="140" spans="1:12" x14ac:dyDescent="0.25">
      <c r="A140" t="s">
        <v>123</v>
      </c>
      <c r="B140" t="s">
        <v>112</v>
      </c>
      <c r="C140" s="3" t="s">
        <v>51</v>
      </c>
      <c r="D140" s="3">
        <v>1.875</v>
      </c>
      <c r="E140" s="3" t="s">
        <v>180</v>
      </c>
      <c r="F140" s="3" t="s">
        <v>180</v>
      </c>
      <c r="G140" s="4">
        <v>1</v>
      </c>
      <c r="H140" s="4">
        <v>4.7</v>
      </c>
      <c r="I140" t="s">
        <v>274</v>
      </c>
      <c r="K140" t="str">
        <v>5' Titan Sinker Bar</v>
      </c>
      <c r="L140" t="str">
        <f>VLOOKUP(K140,Table1[[Tool Name]:[Picture]],8,FALSE)</f>
        <v>Yes</v>
      </c>
    </row>
    <row r="141" spans="1:12" x14ac:dyDescent="0.25">
      <c r="A141" t="s">
        <v>123</v>
      </c>
      <c r="B141" t="s">
        <v>112</v>
      </c>
      <c r="C141" s="3" t="s">
        <v>52</v>
      </c>
      <c r="D141" s="3">
        <v>1.5</v>
      </c>
      <c r="E141" s="3" t="s">
        <v>243</v>
      </c>
      <c r="F141" s="3" t="s">
        <v>243</v>
      </c>
      <c r="G141" s="4">
        <v>1</v>
      </c>
      <c r="H141" s="4">
        <v>4.7</v>
      </c>
      <c r="I141" t="s">
        <v>274</v>
      </c>
      <c r="K141" t="str">
        <v>7' Titan Sinker Bar</v>
      </c>
      <c r="L141" t="str">
        <f>VLOOKUP(K141,Table1[[Tool Name]:[Picture]],8,FALSE)</f>
        <v>Yes</v>
      </c>
    </row>
    <row r="142" spans="1:12" x14ac:dyDescent="0.25">
      <c r="A142" t="s">
        <v>123</v>
      </c>
      <c r="B142" t="s">
        <v>112</v>
      </c>
      <c r="C142" s="3" t="s">
        <v>53</v>
      </c>
      <c r="D142" s="3">
        <v>1.25</v>
      </c>
      <c r="E142" s="3" t="s">
        <v>244</v>
      </c>
      <c r="F142" s="3" t="s">
        <v>244</v>
      </c>
      <c r="G142" s="4">
        <v>1</v>
      </c>
      <c r="H142" s="4">
        <v>4.7</v>
      </c>
      <c r="I142" t="s">
        <v>274</v>
      </c>
      <c r="K142" t="str">
        <v>X-Over (Sondex Pin to GO Box)</v>
      </c>
      <c r="L142" t="str">
        <f>VLOOKUP(K142,Table1[[Tool Name]:[Picture]],8,FALSE)</f>
        <v>Yes</v>
      </c>
    </row>
    <row r="143" spans="1:12" x14ac:dyDescent="0.25">
      <c r="A143" t="s">
        <v>174</v>
      </c>
      <c r="B143" t="s">
        <v>27</v>
      </c>
      <c r="C143" s="3" t="s">
        <v>65</v>
      </c>
      <c r="D143" s="3">
        <v>2.6869999999999998</v>
      </c>
      <c r="E143" s="3" t="s">
        <v>94</v>
      </c>
      <c r="F143" s="3" t="s">
        <v>94</v>
      </c>
      <c r="G143" s="4">
        <v>2.6</v>
      </c>
      <c r="H143" s="4">
        <v>20</v>
      </c>
      <c r="I143" t="s">
        <v>274</v>
      </c>
      <c r="K143" t="str">
        <v>X-Over (GO to Sondex)</v>
      </c>
      <c r="L143" t="str">
        <f>VLOOKUP(K143,Table1[[Tool Name]:[Picture]],8,FALSE)</f>
        <v>Yes</v>
      </c>
    </row>
    <row r="144" spans="1:12" x14ac:dyDescent="0.25">
      <c r="A144" t="s">
        <v>174</v>
      </c>
      <c r="B144" t="s">
        <v>27</v>
      </c>
      <c r="C144" s="3" t="s">
        <v>97</v>
      </c>
      <c r="D144" s="3">
        <v>2.6869999999999998</v>
      </c>
      <c r="E144" s="3" t="s">
        <v>94</v>
      </c>
      <c r="F144" s="3" t="s">
        <v>94</v>
      </c>
      <c r="G144" s="4">
        <v>2.6</v>
      </c>
      <c r="H144" s="4">
        <v>20</v>
      </c>
      <c r="I144" t="s">
        <v>274</v>
      </c>
      <c r="K144" t="str">
        <v>Titan Swivel</v>
      </c>
      <c r="L144" t="str">
        <f>VLOOKUP(K144,Table1[[Tool Name]:[Picture]],8,FALSE)</f>
        <v>Yes</v>
      </c>
    </row>
    <row r="145" spans="1:12" x14ac:dyDescent="0.25">
      <c r="A145" t="s">
        <v>174</v>
      </c>
      <c r="B145" t="s">
        <v>27</v>
      </c>
      <c r="C145" s="3" t="s">
        <v>66</v>
      </c>
      <c r="D145" s="3">
        <v>2.1709999999999998</v>
      </c>
      <c r="E145" s="3" t="s">
        <v>94</v>
      </c>
      <c r="F145" s="3" t="s">
        <v>94</v>
      </c>
      <c r="G145" s="4">
        <v>2.5</v>
      </c>
      <c r="H145" s="4">
        <v>18</v>
      </c>
      <c r="I145" t="s">
        <v>274</v>
      </c>
      <c r="K145" t="str">
        <v>Titan Knuckle Joint</v>
      </c>
      <c r="L145" t="str">
        <f>VLOOKUP(K145,Table1[[Tool Name]:[Picture]],8,FALSE)</f>
        <v>Yes</v>
      </c>
    </row>
    <row r="146" spans="1:12" x14ac:dyDescent="0.25">
      <c r="A146" t="s">
        <v>174</v>
      </c>
      <c r="B146" t="s">
        <v>27</v>
      </c>
      <c r="C146" s="3" t="s">
        <v>67</v>
      </c>
      <c r="D146" s="3">
        <v>1.75</v>
      </c>
      <c r="E146" s="3" t="s">
        <v>94</v>
      </c>
      <c r="F146" s="3" t="s">
        <v>94</v>
      </c>
      <c r="G146" s="4">
        <v>2.4</v>
      </c>
      <c r="H146" s="4">
        <v>15</v>
      </c>
      <c r="I146" t="s">
        <v>274</v>
      </c>
      <c r="K146" t="str">
        <v>Trigger Tool</v>
      </c>
      <c r="L146" t="str">
        <f>VLOOKUP(K146,Table1[[Tool Name]:[Picture]],8,FALSE)</f>
        <v>No</v>
      </c>
    </row>
    <row r="147" spans="1:12" x14ac:dyDescent="0.25">
      <c r="A147" t="s">
        <v>174</v>
      </c>
      <c r="B147" t="s">
        <v>28</v>
      </c>
      <c r="C147" s="3" t="s">
        <v>172</v>
      </c>
      <c r="D147" s="3">
        <v>1.33</v>
      </c>
      <c r="E147" s="3" t="s">
        <v>170</v>
      </c>
      <c r="F147" s="3" t="s">
        <v>170</v>
      </c>
      <c r="G147" s="4">
        <v>0.5</v>
      </c>
      <c r="H147" s="4">
        <v>1</v>
      </c>
      <c r="I147" t="s">
        <v>274</v>
      </c>
      <c r="K147" t="str">
        <v>Spring Centraliser</v>
      </c>
      <c r="L147" t="str">
        <f>VLOOKUP(K147,Table1[[Tool Name]:[Picture]],8,FALSE)</f>
        <v>No</v>
      </c>
    </row>
    <row r="148" spans="1:12" x14ac:dyDescent="0.25">
      <c r="A148" t="s">
        <v>174</v>
      </c>
      <c r="B148" t="s">
        <v>29</v>
      </c>
      <c r="C148" s="3" t="s">
        <v>172</v>
      </c>
      <c r="D148" s="3">
        <v>1.1870000000000001</v>
      </c>
      <c r="E148" s="3" t="s">
        <v>170</v>
      </c>
      <c r="F148" s="3" t="s">
        <v>170</v>
      </c>
      <c r="G148" s="4">
        <f>4.65/12</f>
        <v>0.38750000000000001</v>
      </c>
      <c r="H148" s="4">
        <v>1</v>
      </c>
      <c r="I148" t="s">
        <v>274</v>
      </c>
      <c r="K148" t="str">
        <v>Firing Head</v>
      </c>
      <c r="L148" t="str">
        <f>VLOOKUP(K148,Table1[[Tool Name]:[Picture]],8,FALSE)</f>
        <v>No</v>
      </c>
    </row>
    <row r="149" spans="1:12" x14ac:dyDescent="0.25">
      <c r="A149" t="s">
        <v>174</v>
      </c>
      <c r="B149" t="s">
        <v>30</v>
      </c>
      <c r="C149" s="3" t="s">
        <v>64</v>
      </c>
      <c r="E149" s="3" t="s">
        <v>94</v>
      </c>
      <c r="F149" s="3" t="s">
        <v>94</v>
      </c>
      <c r="G149" s="4"/>
      <c r="I149" t="s">
        <v>274</v>
      </c>
      <c r="K149" t="str">
        <v>Aluminium Shock Sub</v>
      </c>
      <c r="L149" t="str">
        <f>VLOOKUP(K149,Table1[[Tool Name]:[Picture]],8,FALSE)</f>
        <v>No</v>
      </c>
    </row>
    <row r="150" spans="1:12" x14ac:dyDescent="0.25">
      <c r="A150" t="s">
        <v>174</v>
      </c>
      <c r="B150" t="s">
        <v>31</v>
      </c>
      <c r="C150" s="3" t="s">
        <v>171</v>
      </c>
      <c r="E150" s="3" t="s">
        <v>94</v>
      </c>
      <c r="F150" s="3" t="s">
        <v>94</v>
      </c>
      <c r="G150" s="4"/>
      <c r="I150" t="s">
        <v>275</v>
      </c>
      <c r="K150" t="str">
        <v>Adapter Sub Cutter</v>
      </c>
    </row>
    <row r="151" spans="1:12" x14ac:dyDescent="0.25">
      <c r="A151" t="s">
        <v>174</v>
      </c>
      <c r="B151" t="s">
        <v>32</v>
      </c>
      <c r="C151" s="3" t="s">
        <v>62</v>
      </c>
      <c r="D151" s="3">
        <v>2.5</v>
      </c>
      <c r="E151" s="3" t="s">
        <v>60</v>
      </c>
      <c r="F151" s="3" t="s">
        <v>60</v>
      </c>
      <c r="G151" s="4">
        <f>70/12</f>
        <v>5.833333333333333</v>
      </c>
      <c r="H151" s="4">
        <f>16*2.2</f>
        <v>35.200000000000003</v>
      </c>
      <c r="I151" t="s">
        <v>274</v>
      </c>
      <c r="K151" t="str">
        <v>ACE Tubing Cutter</v>
      </c>
    </row>
    <row r="152" spans="1:12" x14ac:dyDescent="0.25">
      <c r="A152" t="s">
        <v>174</v>
      </c>
      <c r="B152" t="s">
        <v>33</v>
      </c>
      <c r="C152" s="3" t="s">
        <v>64</v>
      </c>
      <c r="D152" s="3">
        <v>2.72</v>
      </c>
      <c r="E152" s="3" t="s">
        <v>60</v>
      </c>
      <c r="F152" s="3" t="s">
        <v>60</v>
      </c>
      <c r="G152" s="4">
        <f>38.5/12</f>
        <v>3.2083333333333335</v>
      </c>
      <c r="H152" s="4">
        <f>12*2.2</f>
        <v>26.400000000000002</v>
      </c>
      <c r="I152" t="s">
        <v>274</v>
      </c>
      <c r="K152" t="str">
        <v>Paragon II Packer</v>
      </c>
    </row>
    <row r="153" spans="1:12" x14ac:dyDescent="0.25">
      <c r="A153" t="s">
        <v>5</v>
      </c>
      <c r="B153" t="s">
        <v>48</v>
      </c>
      <c r="C153" s="3" t="s">
        <v>171</v>
      </c>
      <c r="F153" s="3" t="s">
        <v>58</v>
      </c>
      <c r="G153" s="4">
        <v>1</v>
      </c>
      <c r="H153" s="4">
        <f>Table1[[#This Row],[OD (Inches)]]^2*8/3*Table1[[#This Row],[Length (ft)]]</f>
        <v>0</v>
      </c>
      <c r="I153" t="s">
        <v>274</v>
      </c>
    </row>
    <row r="154" spans="1:12" x14ac:dyDescent="0.25">
      <c r="A154" t="s">
        <v>123</v>
      </c>
      <c r="B154" t="s">
        <v>47</v>
      </c>
      <c r="C154" s="3">
        <v>3.5</v>
      </c>
      <c r="D154" s="3">
        <v>3.5</v>
      </c>
      <c r="F154" s="3" t="s">
        <v>58</v>
      </c>
      <c r="G154" s="4">
        <v>1</v>
      </c>
      <c r="H154" s="4">
        <f>Table1[[#This Row],[OD (Inches)]]^2*8/3*Table1[[#This Row],[Length (ft)]]</f>
        <v>32.666666666666664</v>
      </c>
      <c r="I154" t="s">
        <v>274</v>
      </c>
    </row>
    <row r="155" spans="1:12" x14ac:dyDescent="0.25">
      <c r="A155" t="s">
        <v>123</v>
      </c>
      <c r="B155" t="s">
        <v>35</v>
      </c>
      <c r="C155" s="3" t="s">
        <v>181</v>
      </c>
      <c r="D155" s="3" t="s">
        <v>201</v>
      </c>
      <c r="F155" s="3" t="s">
        <v>58</v>
      </c>
      <c r="G155" s="4">
        <f>6.5/12</f>
        <v>0.54166666666666663</v>
      </c>
      <c r="H155" s="4">
        <v>2.5</v>
      </c>
      <c r="I155" t="s">
        <v>274</v>
      </c>
    </row>
    <row r="156" spans="1:12" x14ac:dyDescent="0.25">
      <c r="A156" t="s">
        <v>123</v>
      </c>
      <c r="B156" t="s">
        <v>35</v>
      </c>
      <c r="C156" s="3" t="s">
        <v>182</v>
      </c>
      <c r="D156" s="3" t="s">
        <v>202</v>
      </c>
      <c r="F156" s="3" t="s">
        <v>58</v>
      </c>
      <c r="G156" s="4">
        <f>6.5/12</f>
        <v>0.54166666666666663</v>
      </c>
      <c r="H156" s="4">
        <v>3.5</v>
      </c>
      <c r="I156" t="s">
        <v>274</v>
      </c>
    </row>
    <row r="157" spans="1:12" x14ac:dyDescent="0.25">
      <c r="A157" t="s">
        <v>123</v>
      </c>
      <c r="B157" t="s">
        <v>35</v>
      </c>
      <c r="C157" s="3" t="s">
        <v>195</v>
      </c>
      <c r="D157" s="3" t="s">
        <v>203</v>
      </c>
      <c r="F157" s="3" t="s">
        <v>58</v>
      </c>
      <c r="G157" s="4">
        <f>7/12</f>
        <v>0.58333333333333337</v>
      </c>
      <c r="H157" s="4">
        <v>4.5</v>
      </c>
      <c r="I157" t="s">
        <v>274</v>
      </c>
    </row>
    <row r="158" spans="1:12" x14ac:dyDescent="0.25">
      <c r="A158" t="s">
        <v>123</v>
      </c>
      <c r="B158" t="s">
        <v>35</v>
      </c>
      <c r="C158" s="3" t="s">
        <v>183</v>
      </c>
      <c r="D158" s="3" t="s">
        <v>204</v>
      </c>
      <c r="F158" s="3" t="s">
        <v>58</v>
      </c>
      <c r="G158" s="4">
        <f t="shared" ref="G158:G165" si="2">7/12</f>
        <v>0.58333333333333337</v>
      </c>
      <c r="H158" s="4">
        <v>5</v>
      </c>
      <c r="I158" t="s">
        <v>274</v>
      </c>
    </row>
    <row r="159" spans="1:12" x14ac:dyDescent="0.25">
      <c r="A159" t="s">
        <v>123</v>
      </c>
      <c r="B159" t="s">
        <v>35</v>
      </c>
      <c r="C159" s="3" t="s">
        <v>196</v>
      </c>
      <c r="D159" s="3" t="s">
        <v>205</v>
      </c>
      <c r="F159" s="3" t="s">
        <v>58</v>
      </c>
      <c r="G159" s="4">
        <f t="shared" si="2"/>
        <v>0.58333333333333337</v>
      </c>
      <c r="H159" s="4">
        <v>5</v>
      </c>
      <c r="I159" t="s">
        <v>274</v>
      </c>
    </row>
    <row r="160" spans="1:12" x14ac:dyDescent="0.25">
      <c r="A160" t="s">
        <v>123</v>
      </c>
      <c r="B160" t="s">
        <v>35</v>
      </c>
      <c r="C160" s="3" t="s">
        <v>197</v>
      </c>
      <c r="D160" s="3" t="s">
        <v>206</v>
      </c>
      <c r="F160" s="3" t="s">
        <v>58</v>
      </c>
      <c r="G160" s="4">
        <f t="shared" si="2"/>
        <v>0.58333333333333337</v>
      </c>
      <c r="H160" s="4">
        <v>6.8</v>
      </c>
      <c r="I160" t="s">
        <v>274</v>
      </c>
    </row>
    <row r="161" spans="1:9" x14ac:dyDescent="0.25">
      <c r="A161" t="s">
        <v>123</v>
      </c>
      <c r="B161" t="s">
        <v>35</v>
      </c>
      <c r="C161" s="3" t="s">
        <v>198</v>
      </c>
      <c r="D161" s="3" t="s">
        <v>207</v>
      </c>
      <c r="F161" s="3" t="s">
        <v>58</v>
      </c>
      <c r="G161" s="4">
        <f t="shared" si="2"/>
        <v>0.58333333333333337</v>
      </c>
      <c r="H161" s="4">
        <v>9</v>
      </c>
      <c r="I161" t="s">
        <v>274</v>
      </c>
    </row>
    <row r="162" spans="1:9" x14ac:dyDescent="0.25">
      <c r="A162" t="s">
        <v>123</v>
      </c>
      <c r="B162" t="s">
        <v>35</v>
      </c>
      <c r="C162" s="3" t="s">
        <v>199</v>
      </c>
      <c r="D162" s="3" t="s">
        <v>208</v>
      </c>
      <c r="F162" s="3" t="s">
        <v>58</v>
      </c>
      <c r="G162" s="4">
        <f t="shared" si="2"/>
        <v>0.58333333333333337</v>
      </c>
      <c r="H162" s="4">
        <v>10</v>
      </c>
      <c r="I162" t="s">
        <v>274</v>
      </c>
    </row>
    <row r="163" spans="1:9" x14ac:dyDescent="0.25">
      <c r="A163" t="s">
        <v>123</v>
      </c>
      <c r="B163" t="s">
        <v>35</v>
      </c>
      <c r="C163" s="3" t="s">
        <v>188</v>
      </c>
      <c r="D163" s="3" t="s">
        <v>209</v>
      </c>
      <c r="F163" s="3" t="s">
        <v>58</v>
      </c>
      <c r="G163" s="4">
        <f t="shared" si="2"/>
        <v>0.58333333333333337</v>
      </c>
      <c r="H163" s="4">
        <v>11</v>
      </c>
      <c r="I163" t="s">
        <v>274</v>
      </c>
    </row>
    <row r="164" spans="1:9" x14ac:dyDescent="0.25">
      <c r="A164" t="s">
        <v>123</v>
      </c>
      <c r="B164" t="s">
        <v>35</v>
      </c>
      <c r="C164" s="3" t="s">
        <v>189</v>
      </c>
      <c r="D164" s="3" t="s">
        <v>210</v>
      </c>
      <c r="F164" s="3" t="s">
        <v>58</v>
      </c>
      <c r="G164" s="4">
        <f t="shared" si="2"/>
        <v>0.58333333333333337</v>
      </c>
      <c r="H164" s="4">
        <v>12</v>
      </c>
      <c r="I164" t="s">
        <v>274</v>
      </c>
    </row>
    <row r="165" spans="1:9" x14ac:dyDescent="0.25">
      <c r="A165" t="s">
        <v>123</v>
      </c>
      <c r="B165" t="s">
        <v>35</v>
      </c>
      <c r="C165" s="3" t="s">
        <v>190</v>
      </c>
      <c r="D165" s="3" t="s">
        <v>211</v>
      </c>
      <c r="F165" s="3" t="s">
        <v>58</v>
      </c>
      <c r="G165" s="4">
        <f t="shared" si="2"/>
        <v>0.58333333333333337</v>
      </c>
      <c r="H165" s="4">
        <v>12</v>
      </c>
      <c r="I165" t="s">
        <v>274</v>
      </c>
    </row>
    <row r="166" spans="1:9" x14ac:dyDescent="0.25">
      <c r="A166" t="s">
        <v>123</v>
      </c>
      <c r="B166" t="s">
        <v>212</v>
      </c>
      <c r="C166" s="3" t="s">
        <v>172</v>
      </c>
      <c r="D166" s="3" t="s">
        <v>200</v>
      </c>
      <c r="F166" s="3" t="s">
        <v>58</v>
      </c>
      <c r="G166" s="4">
        <f>11.5/12</f>
        <v>0.95833333333333337</v>
      </c>
      <c r="H166" s="4">
        <v>1.5</v>
      </c>
      <c r="I166" t="s">
        <v>274</v>
      </c>
    </row>
    <row r="167" spans="1:9" x14ac:dyDescent="0.25">
      <c r="A167" t="s">
        <v>123</v>
      </c>
      <c r="B167" t="s">
        <v>156</v>
      </c>
      <c r="C167" s="3" t="s">
        <v>63</v>
      </c>
      <c r="D167" s="3">
        <v>2</v>
      </c>
      <c r="F167" s="3" t="s">
        <v>58</v>
      </c>
      <c r="G167" s="4">
        <f>147/12</f>
        <v>12.25</v>
      </c>
      <c r="H167" s="4">
        <v>17</v>
      </c>
      <c r="I167" t="s">
        <v>274</v>
      </c>
    </row>
    <row r="168" spans="1:9" x14ac:dyDescent="0.25">
      <c r="A168" t="s">
        <v>123</v>
      </c>
      <c r="B168" t="s">
        <v>156</v>
      </c>
      <c r="C168" s="3" t="s">
        <v>168</v>
      </c>
      <c r="D168" s="3">
        <v>2.25</v>
      </c>
      <c r="F168" s="3" t="s">
        <v>58</v>
      </c>
      <c r="G168" s="4">
        <f>147/12</f>
        <v>12.25</v>
      </c>
      <c r="H168" s="4">
        <v>21</v>
      </c>
      <c r="I168" t="s">
        <v>274</v>
      </c>
    </row>
    <row r="169" spans="1:9" x14ac:dyDescent="0.25">
      <c r="A169" t="s">
        <v>123</v>
      </c>
      <c r="B169" t="s">
        <v>157</v>
      </c>
      <c r="C169" s="3" t="s">
        <v>63</v>
      </c>
      <c r="D169" s="3">
        <v>2</v>
      </c>
      <c r="F169" s="3" t="s">
        <v>58</v>
      </c>
      <c r="G169" s="4">
        <f>80/12</f>
        <v>6.666666666666667</v>
      </c>
      <c r="H169" s="4">
        <f>15*2.2</f>
        <v>33</v>
      </c>
      <c r="I169" t="s">
        <v>274</v>
      </c>
    </row>
    <row r="170" spans="1:9" x14ac:dyDescent="0.25">
      <c r="A170" t="s">
        <v>123</v>
      </c>
      <c r="B170" t="s">
        <v>157</v>
      </c>
      <c r="C170" s="3" t="s">
        <v>168</v>
      </c>
      <c r="D170" s="3">
        <v>2.25</v>
      </c>
      <c r="F170" s="3" t="s">
        <v>58</v>
      </c>
      <c r="G170" s="4">
        <f t="shared" ref="G170" si="3">80/12</f>
        <v>6.666666666666667</v>
      </c>
      <c r="H170" s="4">
        <f>21*2.2</f>
        <v>46.2</v>
      </c>
      <c r="I170" t="s">
        <v>274</v>
      </c>
    </row>
    <row r="171" spans="1:9" x14ac:dyDescent="0.25">
      <c r="A171" t="s">
        <v>5</v>
      </c>
      <c r="B171" t="s">
        <v>36</v>
      </c>
      <c r="C171" s="3" t="s">
        <v>181</v>
      </c>
      <c r="D171" s="3">
        <v>2</v>
      </c>
      <c r="F171" s="3" t="s">
        <v>58</v>
      </c>
      <c r="G171" s="4">
        <v>0.5</v>
      </c>
      <c r="H171" s="4">
        <v>2</v>
      </c>
      <c r="I171" t="s">
        <v>274</v>
      </c>
    </row>
    <row r="172" spans="1:9" x14ac:dyDescent="0.25">
      <c r="A172" t="s">
        <v>5</v>
      </c>
      <c r="B172" t="s">
        <v>36</v>
      </c>
      <c r="C172" s="3" t="s">
        <v>182</v>
      </c>
      <c r="D172" s="3">
        <v>2.2999999999999998</v>
      </c>
      <c r="F172" s="3" t="s">
        <v>58</v>
      </c>
      <c r="G172" s="4">
        <v>0.5</v>
      </c>
      <c r="H172" s="4">
        <v>2.5</v>
      </c>
      <c r="I172" t="s">
        <v>274</v>
      </c>
    </row>
    <row r="173" spans="1:9" x14ac:dyDescent="0.25">
      <c r="A173" t="s">
        <v>5</v>
      </c>
      <c r="B173" t="s">
        <v>36</v>
      </c>
      <c r="C173" s="3" t="s">
        <v>183</v>
      </c>
      <c r="D173" s="3">
        <v>2.62</v>
      </c>
      <c r="F173" s="3" t="s">
        <v>58</v>
      </c>
      <c r="G173" s="4">
        <f>6.5/12</f>
        <v>0.54166666666666663</v>
      </c>
      <c r="H173" s="4">
        <v>3.5</v>
      </c>
      <c r="I173" t="s">
        <v>274</v>
      </c>
    </row>
    <row r="174" spans="1:9" x14ac:dyDescent="0.25">
      <c r="A174" t="s">
        <v>5</v>
      </c>
      <c r="B174" t="s">
        <v>36</v>
      </c>
      <c r="C174" s="3" t="s">
        <v>184</v>
      </c>
      <c r="D174" s="3">
        <v>2.72</v>
      </c>
      <c r="F174" s="3" t="s">
        <v>58</v>
      </c>
      <c r="G174" s="4">
        <f>6.5/12</f>
        <v>0.54166666666666663</v>
      </c>
      <c r="H174" s="4">
        <v>3.5</v>
      </c>
      <c r="I174" t="s">
        <v>274</v>
      </c>
    </row>
    <row r="175" spans="1:9" x14ac:dyDescent="0.25">
      <c r="A175" t="s">
        <v>5</v>
      </c>
      <c r="B175" t="s">
        <v>36</v>
      </c>
      <c r="C175" s="3" t="s">
        <v>185</v>
      </c>
      <c r="D175" s="3">
        <v>3.3</v>
      </c>
      <c r="F175" s="3" t="s">
        <v>58</v>
      </c>
      <c r="G175" s="4">
        <f>7/12</f>
        <v>0.58333333333333337</v>
      </c>
      <c r="H175" s="4">
        <v>6</v>
      </c>
      <c r="I175" t="s">
        <v>274</v>
      </c>
    </row>
    <row r="176" spans="1:9" x14ac:dyDescent="0.25">
      <c r="A176" t="s">
        <v>5</v>
      </c>
      <c r="B176" t="s">
        <v>36</v>
      </c>
      <c r="C176" s="3" t="s">
        <v>186</v>
      </c>
      <c r="D176" s="3">
        <v>3.5</v>
      </c>
      <c r="F176" s="3" t="s">
        <v>58</v>
      </c>
      <c r="G176" s="4">
        <f t="shared" ref="G176:G180" si="4">7/12</f>
        <v>0.58333333333333337</v>
      </c>
      <c r="H176" s="4">
        <v>6</v>
      </c>
      <c r="I176" t="s">
        <v>274</v>
      </c>
    </row>
    <row r="177" spans="1:9" x14ac:dyDescent="0.25">
      <c r="A177" t="s">
        <v>5</v>
      </c>
      <c r="B177" t="s">
        <v>36</v>
      </c>
      <c r="C177" s="3" t="s">
        <v>187</v>
      </c>
      <c r="D177" s="3">
        <v>3.75</v>
      </c>
      <c r="F177" s="3" t="s">
        <v>58</v>
      </c>
      <c r="G177" s="4">
        <f t="shared" si="4"/>
        <v>0.58333333333333337</v>
      </c>
      <c r="H177" s="4">
        <v>7</v>
      </c>
      <c r="I177" t="s">
        <v>274</v>
      </c>
    </row>
    <row r="178" spans="1:9" x14ac:dyDescent="0.25">
      <c r="A178" t="s">
        <v>5</v>
      </c>
      <c r="B178" t="s">
        <v>36</v>
      </c>
      <c r="C178" s="3" t="s">
        <v>188</v>
      </c>
      <c r="D178" s="3">
        <v>4</v>
      </c>
      <c r="F178" s="3" t="s">
        <v>58</v>
      </c>
      <c r="G178" s="4">
        <f t="shared" si="4"/>
        <v>0.58333333333333337</v>
      </c>
      <c r="H178" s="4">
        <v>8</v>
      </c>
      <c r="I178" t="s">
        <v>274</v>
      </c>
    </row>
    <row r="179" spans="1:9" x14ac:dyDescent="0.25">
      <c r="A179" t="s">
        <v>5</v>
      </c>
      <c r="B179" t="s">
        <v>36</v>
      </c>
      <c r="C179" s="3" t="s">
        <v>189</v>
      </c>
      <c r="D179" s="3">
        <v>4.25</v>
      </c>
      <c r="F179" s="3" t="s">
        <v>58</v>
      </c>
      <c r="G179" s="4">
        <f t="shared" si="4"/>
        <v>0.58333333333333337</v>
      </c>
      <c r="H179" s="4">
        <v>8</v>
      </c>
      <c r="I179" t="s">
        <v>274</v>
      </c>
    </row>
    <row r="180" spans="1:9" x14ac:dyDescent="0.25">
      <c r="A180" t="s">
        <v>5</v>
      </c>
      <c r="B180" t="s">
        <v>36</v>
      </c>
      <c r="C180" s="3" t="s">
        <v>190</v>
      </c>
      <c r="D180" s="3">
        <v>4.4000000000000004</v>
      </c>
      <c r="F180" s="3" t="s">
        <v>58</v>
      </c>
      <c r="G180" s="4">
        <f t="shared" si="4"/>
        <v>0.58333333333333337</v>
      </c>
      <c r="H180" s="4">
        <v>10</v>
      </c>
      <c r="I180" t="s">
        <v>274</v>
      </c>
    </row>
    <row r="181" spans="1:9" x14ac:dyDescent="0.25">
      <c r="A181" t="s">
        <v>5</v>
      </c>
      <c r="B181" t="s">
        <v>268</v>
      </c>
      <c r="C181" s="3" t="s">
        <v>62</v>
      </c>
      <c r="D181" s="3">
        <v>2.1800000000000002</v>
      </c>
      <c r="F181" s="3" t="s">
        <v>58</v>
      </c>
      <c r="G181" s="4">
        <v>2</v>
      </c>
      <c r="H181" s="4">
        <f>10*2.2</f>
        <v>22</v>
      </c>
      <c r="I181" t="s">
        <v>274</v>
      </c>
    </row>
    <row r="182" spans="1:9" x14ac:dyDescent="0.25">
      <c r="A182" t="s">
        <v>5</v>
      </c>
      <c r="B182" t="s">
        <v>268</v>
      </c>
      <c r="C182" s="3" t="s">
        <v>64</v>
      </c>
      <c r="D182" s="3">
        <v>2.6</v>
      </c>
      <c r="F182" s="3" t="s">
        <v>58</v>
      </c>
      <c r="G182" s="4">
        <v>2</v>
      </c>
      <c r="H182" s="4">
        <f>7*2.2</f>
        <v>15.400000000000002</v>
      </c>
      <c r="I182" t="s">
        <v>274</v>
      </c>
    </row>
    <row r="183" spans="1:9" x14ac:dyDescent="0.25">
      <c r="A183" t="s">
        <v>5</v>
      </c>
      <c r="B183" t="s">
        <v>268</v>
      </c>
      <c r="C183" s="3" t="s">
        <v>193</v>
      </c>
      <c r="D183" s="3">
        <v>3.7</v>
      </c>
      <c r="F183" s="3" t="s">
        <v>58</v>
      </c>
      <c r="G183" s="4">
        <v>2</v>
      </c>
      <c r="H183" s="4">
        <f>4.5*2.2</f>
        <v>9.9</v>
      </c>
      <c r="I183" t="s">
        <v>274</v>
      </c>
    </row>
    <row r="184" spans="1:9" x14ac:dyDescent="0.25">
      <c r="A184" t="s">
        <v>5</v>
      </c>
      <c r="B184" t="s">
        <v>261</v>
      </c>
      <c r="C184" s="3" t="s">
        <v>64</v>
      </c>
      <c r="D184" s="3">
        <v>2.72</v>
      </c>
      <c r="F184" s="3" t="s">
        <v>58</v>
      </c>
      <c r="G184" s="4">
        <f>21/12</f>
        <v>1.75</v>
      </c>
      <c r="H184" s="4">
        <f>10*2.2</f>
        <v>22</v>
      </c>
      <c r="I184" t="s">
        <v>274</v>
      </c>
    </row>
    <row r="185" spans="1:9" x14ac:dyDescent="0.25">
      <c r="A185" t="s">
        <v>5</v>
      </c>
      <c r="B185" t="s">
        <v>261</v>
      </c>
      <c r="C185" s="3" t="s">
        <v>169</v>
      </c>
      <c r="D185" s="3">
        <v>2.25</v>
      </c>
      <c r="F185" s="3" t="s">
        <v>58</v>
      </c>
      <c r="G185" s="4">
        <f>20/12</f>
        <v>1.6666666666666667</v>
      </c>
      <c r="H185" s="4">
        <f>7*2.2</f>
        <v>15.400000000000002</v>
      </c>
      <c r="I185" t="s">
        <v>274</v>
      </c>
    </row>
    <row r="186" spans="1:9" x14ac:dyDescent="0.25">
      <c r="A186" t="s">
        <v>5</v>
      </c>
      <c r="B186" t="s">
        <v>261</v>
      </c>
      <c r="C186" s="3" t="s">
        <v>63</v>
      </c>
      <c r="D186" s="3">
        <v>1.75</v>
      </c>
      <c r="F186" s="3" t="s">
        <v>58</v>
      </c>
      <c r="G186" s="4">
        <f>20/12</f>
        <v>1.6666666666666667</v>
      </c>
      <c r="H186" s="4">
        <f>4.5*2.2</f>
        <v>9.9</v>
      </c>
      <c r="I186" t="s">
        <v>274</v>
      </c>
    </row>
    <row r="187" spans="1:9" x14ac:dyDescent="0.25">
      <c r="A187" t="s">
        <v>5</v>
      </c>
      <c r="B187" t="s">
        <v>37</v>
      </c>
      <c r="C187" s="3">
        <v>2.75</v>
      </c>
      <c r="D187" s="3">
        <v>2.75</v>
      </c>
      <c r="F187" s="3" t="s">
        <v>58</v>
      </c>
      <c r="G187" s="4">
        <v>1</v>
      </c>
      <c r="H187" s="4">
        <f>Table1[[#This Row],[OD (Inches)]]^2*8/3*Table1[[#This Row],[Length (ft)]]</f>
        <v>20.166666666666668</v>
      </c>
      <c r="I187" t="s">
        <v>275</v>
      </c>
    </row>
    <row r="188" spans="1:9" x14ac:dyDescent="0.25">
      <c r="A188" t="s">
        <v>5</v>
      </c>
      <c r="B188" t="s">
        <v>37</v>
      </c>
      <c r="C188" s="3">
        <v>2.25</v>
      </c>
      <c r="D188" s="3">
        <v>2.25</v>
      </c>
      <c r="F188" s="3" t="s">
        <v>58</v>
      </c>
      <c r="G188" s="4">
        <v>1</v>
      </c>
      <c r="H188" s="4">
        <f>Table1[[#This Row],[OD (Inches)]]^2*8/3*Table1[[#This Row],[Length (ft)]]</f>
        <v>13.5</v>
      </c>
      <c r="I188" t="s">
        <v>275</v>
      </c>
    </row>
    <row r="189" spans="1:9" x14ac:dyDescent="0.25">
      <c r="A189" t="s">
        <v>123</v>
      </c>
      <c r="B189" t="s">
        <v>191</v>
      </c>
      <c r="C189" s="3" t="s">
        <v>64</v>
      </c>
      <c r="D189" s="3">
        <v>2.72</v>
      </c>
      <c r="F189" s="3" t="s">
        <v>58</v>
      </c>
      <c r="G189" s="4">
        <v>3</v>
      </c>
      <c r="H189" s="4">
        <v>13.5</v>
      </c>
      <c r="I189" t="s">
        <v>275</v>
      </c>
    </row>
    <row r="190" spans="1:9" x14ac:dyDescent="0.25">
      <c r="A190" t="s">
        <v>123</v>
      </c>
      <c r="B190" t="s">
        <v>124</v>
      </c>
      <c r="C190" s="3" t="s">
        <v>171</v>
      </c>
      <c r="F190" s="3" t="s">
        <v>58</v>
      </c>
      <c r="G190" s="4"/>
      <c r="I190" t="s">
        <v>275</v>
      </c>
    </row>
    <row r="191" spans="1:9" x14ac:dyDescent="0.25">
      <c r="A191" t="s">
        <v>123</v>
      </c>
      <c r="B191" t="s">
        <v>125</v>
      </c>
      <c r="C191" s="3" t="s">
        <v>171</v>
      </c>
      <c r="F191" s="3" t="s">
        <v>58</v>
      </c>
      <c r="G191" s="4"/>
      <c r="I191" t="s">
        <v>275</v>
      </c>
    </row>
    <row r="192" spans="1:9" x14ac:dyDescent="0.25">
      <c r="A192" t="s">
        <v>123</v>
      </c>
      <c r="B192" t="s">
        <v>126</v>
      </c>
      <c r="C192" s="3" t="s">
        <v>64</v>
      </c>
      <c r="D192" s="3">
        <v>2.7189999999999999</v>
      </c>
      <c r="F192" s="3" t="s">
        <v>58</v>
      </c>
      <c r="G192" s="4">
        <v>2</v>
      </c>
      <c r="H192" s="4">
        <v>15</v>
      </c>
      <c r="I192" t="s">
        <v>274</v>
      </c>
    </row>
    <row r="193" spans="1:9" x14ac:dyDescent="0.25">
      <c r="A193" t="s">
        <v>123</v>
      </c>
      <c r="B193" t="s">
        <v>126</v>
      </c>
      <c r="C193" s="3" t="s">
        <v>169</v>
      </c>
      <c r="D193" s="3">
        <v>2.1880000000000002</v>
      </c>
      <c r="F193" s="3" t="s">
        <v>58</v>
      </c>
      <c r="G193" s="4">
        <v>2</v>
      </c>
      <c r="H193" s="4">
        <v>15</v>
      </c>
      <c r="I193" t="s">
        <v>274</v>
      </c>
    </row>
    <row r="194" spans="1:9" x14ac:dyDescent="0.25">
      <c r="A194" t="s">
        <v>123</v>
      </c>
      <c r="B194" t="s">
        <v>126</v>
      </c>
      <c r="C194" s="3" t="s">
        <v>63</v>
      </c>
      <c r="D194" s="3">
        <v>2.75</v>
      </c>
      <c r="F194" s="3" t="s">
        <v>58</v>
      </c>
      <c r="G194" s="4">
        <v>2</v>
      </c>
      <c r="H194" s="4">
        <v>15</v>
      </c>
      <c r="I194" t="s">
        <v>274</v>
      </c>
    </row>
    <row r="195" spans="1:9" x14ac:dyDescent="0.25">
      <c r="A195" t="s">
        <v>123</v>
      </c>
      <c r="B195" t="s">
        <v>127</v>
      </c>
      <c r="C195" s="3" t="s">
        <v>169</v>
      </c>
      <c r="D195" s="3">
        <v>2.2749999999999999</v>
      </c>
      <c r="F195" s="3" t="s">
        <v>58</v>
      </c>
      <c r="G195" s="4"/>
      <c r="H195" s="4">
        <f>Table1[[#This Row],[OD (Inches)]]^2*8/3*Table1[[#This Row],[Length (ft)]]</f>
        <v>0</v>
      </c>
      <c r="I195" t="s">
        <v>274</v>
      </c>
    </row>
    <row r="196" spans="1:9" x14ac:dyDescent="0.25">
      <c r="A196" t="s">
        <v>123</v>
      </c>
      <c r="B196" t="s">
        <v>127</v>
      </c>
      <c r="C196" s="3" t="s">
        <v>63</v>
      </c>
      <c r="D196" s="3">
        <v>1.835</v>
      </c>
      <c r="F196" s="3" t="s">
        <v>58</v>
      </c>
      <c r="G196" s="4">
        <v>2</v>
      </c>
      <c r="H196" s="4">
        <v>15</v>
      </c>
      <c r="I196" t="s">
        <v>274</v>
      </c>
    </row>
    <row r="197" spans="1:9" x14ac:dyDescent="0.25">
      <c r="A197" t="s">
        <v>123</v>
      </c>
      <c r="B197" t="s">
        <v>158</v>
      </c>
      <c r="C197" s="3" t="s">
        <v>65</v>
      </c>
      <c r="D197" s="3">
        <v>2.8130000000000002</v>
      </c>
      <c r="F197" s="3" t="s">
        <v>58</v>
      </c>
      <c r="G197" s="4">
        <v>2</v>
      </c>
      <c r="H197" s="4">
        <f>Table1[[#This Row],[OD (Inches)]]^2*8/3*Table1[[#This Row],[Length (ft)]]</f>
        <v>42.202501333333338</v>
      </c>
      <c r="I197" t="s">
        <v>274</v>
      </c>
    </row>
    <row r="198" spans="1:9" x14ac:dyDescent="0.25">
      <c r="A198" t="s">
        <v>123</v>
      </c>
      <c r="B198" t="s">
        <v>158</v>
      </c>
      <c r="C198" s="3" t="s">
        <v>97</v>
      </c>
      <c r="D198" s="3">
        <v>2.75</v>
      </c>
      <c r="F198" s="3" t="s">
        <v>58</v>
      </c>
      <c r="G198" s="4">
        <v>2</v>
      </c>
      <c r="H198" s="4">
        <f>Table1[[#This Row],[OD (Inches)]]^2*8/3*Table1[[#This Row],[Length (ft)]]</f>
        <v>40.333333333333336</v>
      </c>
      <c r="I198" t="s">
        <v>274</v>
      </c>
    </row>
    <row r="199" spans="1:9" x14ac:dyDescent="0.25">
      <c r="A199" t="s">
        <v>123</v>
      </c>
      <c r="B199" t="s">
        <v>158</v>
      </c>
      <c r="C199" s="3" t="s">
        <v>66</v>
      </c>
      <c r="D199" s="3">
        <v>2.3130000000000002</v>
      </c>
      <c r="F199" s="3" t="s">
        <v>58</v>
      </c>
      <c r="G199" s="4">
        <v>2</v>
      </c>
      <c r="H199" s="4">
        <f>Table1[[#This Row],[OD (Inches)]]^2*8/3*Table1[[#This Row],[Length (ft)]]</f>
        <v>28.533168000000003</v>
      </c>
      <c r="I199" t="s">
        <v>274</v>
      </c>
    </row>
    <row r="200" spans="1:9" x14ac:dyDescent="0.25">
      <c r="A200" t="s">
        <v>123</v>
      </c>
      <c r="B200" t="s">
        <v>158</v>
      </c>
      <c r="C200" s="3" t="s">
        <v>67</v>
      </c>
      <c r="D200" s="3">
        <v>1.875</v>
      </c>
      <c r="F200" s="3" t="s">
        <v>58</v>
      </c>
      <c r="G200" s="4">
        <v>2</v>
      </c>
      <c r="H200" s="4">
        <f>Table1[[#This Row],[OD (Inches)]]^2*8/3*Table1[[#This Row],[Length (ft)]]</f>
        <v>18.75</v>
      </c>
      <c r="I200" t="s">
        <v>274</v>
      </c>
    </row>
    <row r="201" spans="1:9" x14ac:dyDescent="0.25">
      <c r="A201" t="s">
        <v>123</v>
      </c>
      <c r="B201" t="s">
        <v>159</v>
      </c>
      <c r="C201" s="3" t="s">
        <v>65</v>
      </c>
      <c r="D201" s="3">
        <v>2.8130000000000002</v>
      </c>
      <c r="F201" s="3" t="s">
        <v>58</v>
      </c>
      <c r="G201" s="4">
        <v>2</v>
      </c>
      <c r="H201" s="4">
        <f>Table1[[#This Row],[OD (Inches)]]^2*8/3*Table1[[#This Row],[Length (ft)]]</f>
        <v>42.202501333333338</v>
      </c>
      <c r="I201" t="s">
        <v>274</v>
      </c>
    </row>
    <row r="202" spans="1:9" x14ac:dyDescent="0.25">
      <c r="A202" t="s">
        <v>123</v>
      </c>
      <c r="B202" t="s">
        <v>159</v>
      </c>
      <c r="C202" s="3" t="s">
        <v>97</v>
      </c>
      <c r="D202" s="3">
        <v>2.75</v>
      </c>
      <c r="F202" s="3" t="s">
        <v>58</v>
      </c>
      <c r="G202" s="4">
        <v>2</v>
      </c>
      <c r="H202" s="4">
        <f>Table1[[#This Row],[OD (Inches)]]^2*8/3*Table1[[#This Row],[Length (ft)]]</f>
        <v>40.333333333333336</v>
      </c>
      <c r="I202" t="s">
        <v>274</v>
      </c>
    </row>
    <row r="203" spans="1:9" x14ac:dyDescent="0.25">
      <c r="A203" t="s">
        <v>123</v>
      </c>
      <c r="B203" t="s">
        <v>159</v>
      </c>
      <c r="C203" s="3" t="s">
        <v>66</v>
      </c>
      <c r="D203" s="3">
        <v>2.3130000000000002</v>
      </c>
      <c r="F203" s="3" t="s">
        <v>58</v>
      </c>
      <c r="G203" s="4">
        <v>2</v>
      </c>
      <c r="H203" s="4">
        <f>Table1[[#This Row],[OD (Inches)]]^2*8/3*Table1[[#This Row],[Length (ft)]]</f>
        <v>28.533168000000003</v>
      </c>
      <c r="I203" t="s">
        <v>274</v>
      </c>
    </row>
    <row r="204" spans="1:9" x14ac:dyDescent="0.25">
      <c r="A204" t="s">
        <v>123</v>
      </c>
      <c r="B204" t="s">
        <v>159</v>
      </c>
      <c r="C204" s="3" t="s">
        <v>67</v>
      </c>
      <c r="D204" s="3">
        <v>1.875</v>
      </c>
      <c r="F204" s="3" t="s">
        <v>58</v>
      </c>
      <c r="G204" s="4">
        <v>2</v>
      </c>
      <c r="H204" s="4">
        <f>Table1[[#This Row],[OD (Inches)]]^2*8/3*Table1[[#This Row],[Length (ft)]]</f>
        <v>18.75</v>
      </c>
      <c r="I204" t="s">
        <v>274</v>
      </c>
    </row>
    <row r="205" spans="1:9" x14ac:dyDescent="0.25">
      <c r="A205" t="s">
        <v>123</v>
      </c>
      <c r="B205" t="s">
        <v>160</v>
      </c>
      <c r="C205" s="3" t="s">
        <v>65</v>
      </c>
      <c r="D205" s="3">
        <v>2.8130000000000002</v>
      </c>
      <c r="F205" s="3" t="s">
        <v>58</v>
      </c>
      <c r="G205" s="4">
        <v>2</v>
      </c>
      <c r="H205" s="4">
        <f>Table1[[#This Row],[OD (Inches)]]^2*8/3*Table1[[#This Row],[Length (ft)]]</f>
        <v>42.202501333333338</v>
      </c>
      <c r="I205" t="s">
        <v>274</v>
      </c>
    </row>
    <row r="206" spans="1:9" x14ac:dyDescent="0.25">
      <c r="A206" t="s">
        <v>123</v>
      </c>
      <c r="B206" t="s">
        <v>160</v>
      </c>
      <c r="C206" s="3" t="s">
        <v>97</v>
      </c>
      <c r="D206" s="3">
        <v>2.75</v>
      </c>
      <c r="F206" s="3" t="s">
        <v>58</v>
      </c>
      <c r="G206" s="4">
        <v>2</v>
      </c>
      <c r="H206" s="4">
        <f>Table1[[#This Row],[OD (Inches)]]^2*8/3*Table1[[#This Row],[Length (ft)]]</f>
        <v>40.333333333333336</v>
      </c>
      <c r="I206" t="s">
        <v>274</v>
      </c>
    </row>
    <row r="207" spans="1:9" x14ac:dyDescent="0.25">
      <c r="A207" t="s">
        <v>123</v>
      </c>
      <c r="B207" t="s">
        <v>160</v>
      </c>
      <c r="C207" s="3" t="s">
        <v>66</v>
      </c>
      <c r="D207" s="3">
        <v>2.3130000000000002</v>
      </c>
      <c r="F207" s="3" t="s">
        <v>58</v>
      </c>
      <c r="G207" s="4">
        <v>2</v>
      </c>
      <c r="H207" s="4">
        <f>Table1[[#This Row],[OD (Inches)]]^2*8/3*Table1[[#This Row],[Length (ft)]]</f>
        <v>28.533168000000003</v>
      </c>
      <c r="I207" t="s">
        <v>274</v>
      </c>
    </row>
    <row r="208" spans="1:9" x14ac:dyDescent="0.25">
      <c r="A208" t="s">
        <v>123</v>
      </c>
      <c r="B208" t="s">
        <v>160</v>
      </c>
      <c r="C208" s="3" t="s">
        <v>67</v>
      </c>
      <c r="D208" s="3">
        <v>1.875</v>
      </c>
      <c r="F208" s="3" t="s">
        <v>58</v>
      </c>
      <c r="G208" s="4">
        <v>2</v>
      </c>
      <c r="H208" s="4">
        <f>Table1[[#This Row],[OD (Inches)]]^2*8/3*Table1[[#This Row],[Length (ft)]]</f>
        <v>18.75</v>
      </c>
      <c r="I208" t="s">
        <v>274</v>
      </c>
    </row>
    <row r="209" spans="1:9" x14ac:dyDescent="0.25">
      <c r="A209" t="s">
        <v>123</v>
      </c>
      <c r="B209" t="s">
        <v>161</v>
      </c>
      <c r="C209" s="3" t="s">
        <v>65</v>
      </c>
      <c r="D209" s="3">
        <v>2.8130000000000002</v>
      </c>
      <c r="F209" s="3" t="s">
        <v>58</v>
      </c>
      <c r="G209" s="4">
        <v>2</v>
      </c>
      <c r="H209" s="4">
        <f>Table1[[#This Row],[OD (Inches)]]^2*8/3*Table1[[#This Row],[Length (ft)]]</f>
        <v>42.202501333333338</v>
      </c>
      <c r="I209" t="s">
        <v>274</v>
      </c>
    </row>
    <row r="210" spans="1:9" x14ac:dyDescent="0.25">
      <c r="A210" t="s">
        <v>123</v>
      </c>
      <c r="B210" t="s">
        <v>161</v>
      </c>
      <c r="C210" s="3" t="s">
        <v>97</v>
      </c>
      <c r="D210" s="3">
        <v>2.75</v>
      </c>
      <c r="F210" s="3" t="s">
        <v>58</v>
      </c>
      <c r="G210" s="4">
        <v>2</v>
      </c>
      <c r="H210" s="4">
        <f>Table1[[#This Row],[OD (Inches)]]^2*8/3*Table1[[#This Row],[Length (ft)]]</f>
        <v>40.333333333333336</v>
      </c>
      <c r="I210" t="s">
        <v>274</v>
      </c>
    </row>
    <row r="211" spans="1:9" x14ac:dyDescent="0.25">
      <c r="A211" t="s">
        <v>123</v>
      </c>
      <c r="B211" t="s">
        <v>161</v>
      </c>
      <c r="C211" s="3" t="s">
        <v>66</v>
      </c>
      <c r="D211" s="3">
        <v>2.3130000000000002</v>
      </c>
      <c r="F211" s="3" t="s">
        <v>58</v>
      </c>
      <c r="G211" s="4">
        <v>2</v>
      </c>
      <c r="H211" s="4">
        <f>Table1[[#This Row],[OD (Inches)]]^2*8/3*Table1[[#This Row],[Length (ft)]]</f>
        <v>28.533168000000003</v>
      </c>
      <c r="I211" t="s">
        <v>274</v>
      </c>
    </row>
    <row r="212" spans="1:9" x14ac:dyDescent="0.25">
      <c r="A212" t="s">
        <v>123</v>
      </c>
      <c r="B212" t="s">
        <v>161</v>
      </c>
      <c r="C212" s="3" t="s">
        <v>67</v>
      </c>
      <c r="D212" s="3">
        <v>1.875</v>
      </c>
      <c r="F212" s="3" t="s">
        <v>58</v>
      </c>
      <c r="G212" s="4">
        <v>2</v>
      </c>
      <c r="H212" s="4">
        <f>Table1[[#This Row],[OD (Inches)]]^2*8/3*Table1[[#This Row],[Length (ft)]]</f>
        <v>18.75</v>
      </c>
      <c r="I212" t="s">
        <v>274</v>
      </c>
    </row>
    <row r="213" spans="1:9" x14ac:dyDescent="0.25">
      <c r="A213" t="s">
        <v>123</v>
      </c>
      <c r="B213" t="s">
        <v>173</v>
      </c>
      <c r="C213" s="3" t="s">
        <v>171</v>
      </c>
      <c r="F213" s="3" t="s">
        <v>58</v>
      </c>
      <c r="G213" s="4"/>
      <c r="I213" t="s">
        <v>275</v>
      </c>
    </row>
    <row r="214" spans="1:9" x14ac:dyDescent="0.25">
      <c r="A214" t="s">
        <v>123</v>
      </c>
      <c r="B214" t="s">
        <v>276</v>
      </c>
      <c r="C214" s="3" t="s">
        <v>171</v>
      </c>
      <c r="F214" s="3" t="s">
        <v>58</v>
      </c>
      <c r="G214" s="4"/>
      <c r="H214" s="4">
        <f>Table1[[#This Row],[OD (Inches)]]^2*8/3*Table1[[#This Row],[Length (ft)]]</f>
        <v>0</v>
      </c>
      <c r="I214" t="s">
        <v>274</v>
      </c>
    </row>
    <row r="215" spans="1:9" x14ac:dyDescent="0.25">
      <c r="A215" t="s">
        <v>128</v>
      </c>
      <c r="B215" t="s">
        <v>129</v>
      </c>
      <c r="C215" s="3" t="s">
        <v>100</v>
      </c>
      <c r="D215" s="3">
        <v>2.867</v>
      </c>
      <c r="F215" s="3" t="s">
        <v>58</v>
      </c>
      <c r="G215" s="4"/>
      <c r="I215" t="s">
        <v>275</v>
      </c>
    </row>
    <row r="216" spans="1:9" x14ac:dyDescent="0.25">
      <c r="A216" t="s">
        <v>128</v>
      </c>
      <c r="B216" t="s">
        <v>130</v>
      </c>
      <c r="C216" s="3" t="s">
        <v>100</v>
      </c>
      <c r="D216" s="3">
        <v>2.867</v>
      </c>
      <c r="F216" s="3" t="s">
        <v>58</v>
      </c>
      <c r="G216" s="4"/>
      <c r="I216" t="s">
        <v>275</v>
      </c>
    </row>
    <row r="217" spans="1:9" x14ac:dyDescent="0.25">
      <c r="A217" t="s">
        <v>128</v>
      </c>
      <c r="B217" t="s">
        <v>131</v>
      </c>
      <c r="C217" s="3" t="s">
        <v>99</v>
      </c>
      <c r="D217" s="3">
        <v>2.89</v>
      </c>
      <c r="F217" s="3" t="s">
        <v>58</v>
      </c>
      <c r="G217" s="4"/>
      <c r="I217" t="s">
        <v>275</v>
      </c>
    </row>
    <row r="218" spans="1:9" x14ac:dyDescent="0.25">
      <c r="A218" t="s">
        <v>5</v>
      </c>
      <c r="B218" t="s">
        <v>162</v>
      </c>
      <c r="C218" s="3" t="s">
        <v>64</v>
      </c>
      <c r="D218" s="3">
        <v>2.72</v>
      </c>
      <c r="F218" s="3" t="s">
        <v>58</v>
      </c>
      <c r="G218" s="4">
        <v>2</v>
      </c>
      <c r="H218" s="4">
        <f>Table1[[#This Row],[OD (Inches)]]^2*8/3*Table1[[#This Row],[Length (ft)]]</f>
        <v>39.458133333333343</v>
      </c>
      <c r="I218" t="s">
        <v>275</v>
      </c>
    </row>
    <row r="219" spans="1:9" x14ac:dyDescent="0.25">
      <c r="A219" t="s">
        <v>5</v>
      </c>
      <c r="B219" t="s">
        <v>162</v>
      </c>
      <c r="C219" s="3" t="s">
        <v>169</v>
      </c>
      <c r="D219" s="3">
        <v>2.2799999999999998</v>
      </c>
      <c r="F219" s="3" t="s">
        <v>58</v>
      </c>
      <c r="G219" s="4">
        <v>2</v>
      </c>
      <c r="H219" s="4">
        <f>Table1[[#This Row],[OD (Inches)]]^2*8/3*Table1[[#This Row],[Length (ft)]]</f>
        <v>27.724799999999998</v>
      </c>
      <c r="I219" t="s">
        <v>275</v>
      </c>
    </row>
    <row r="220" spans="1:9" x14ac:dyDescent="0.25">
      <c r="A220" t="s">
        <v>5</v>
      </c>
      <c r="B220" t="s">
        <v>162</v>
      </c>
      <c r="C220" s="3" t="s">
        <v>63</v>
      </c>
      <c r="D220" s="3">
        <v>1.85</v>
      </c>
      <c r="F220" s="3" t="s">
        <v>58</v>
      </c>
      <c r="G220" s="4">
        <v>2</v>
      </c>
      <c r="H220" s="4">
        <f>Table1[[#This Row],[OD (Inches)]]^2*8/3*Table1[[#This Row],[Length (ft)]]</f>
        <v>18.253333333333334</v>
      </c>
      <c r="I220" t="s">
        <v>275</v>
      </c>
    </row>
    <row r="221" spans="1:9" x14ac:dyDescent="0.25">
      <c r="A221" t="s">
        <v>5</v>
      </c>
      <c r="B221" t="s">
        <v>163</v>
      </c>
      <c r="C221" s="3" t="s">
        <v>64</v>
      </c>
      <c r="D221" s="3">
        <v>2.75</v>
      </c>
      <c r="F221" s="3" t="s">
        <v>58</v>
      </c>
      <c r="G221" s="4">
        <v>2</v>
      </c>
      <c r="H221" s="4">
        <f>Table1[[#This Row],[OD (Inches)]]^2*8/3*Table1[[#This Row],[Length (ft)]]</f>
        <v>40.333333333333336</v>
      </c>
      <c r="I221" t="s">
        <v>275</v>
      </c>
    </row>
    <row r="222" spans="1:9" x14ac:dyDescent="0.25">
      <c r="A222" t="s">
        <v>5</v>
      </c>
      <c r="B222" t="s">
        <v>163</v>
      </c>
      <c r="C222" s="3" t="s">
        <v>169</v>
      </c>
      <c r="D222" s="3">
        <v>2.25</v>
      </c>
      <c r="F222" s="3" t="s">
        <v>58</v>
      </c>
      <c r="G222" s="4">
        <v>2</v>
      </c>
      <c r="H222" s="4">
        <f>Table1[[#This Row],[OD (Inches)]]^2*8/3*Table1[[#This Row],[Length (ft)]]</f>
        <v>27</v>
      </c>
      <c r="I222" t="s">
        <v>275</v>
      </c>
    </row>
    <row r="223" spans="1:9" x14ac:dyDescent="0.25">
      <c r="A223" t="s">
        <v>5</v>
      </c>
      <c r="B223" t="s">
        <v>163</v>
      </c>
      <c r="C223" s="3" t="s">
        <v>63</v>
      </c>
      <c r="D223" s="3">
        <v>1.75</v>
      </c>
      <c r="F223" s="3" t="s">
        <v>58</v>
      </c>
      <c r="G223" s="4">
        <v>2</v>
      </c>
      <c r="H223" s="4">
        <f>Table1[[#This Row],[OD (Inches)]]^2*8/3*Table1[[#This Row],[Length (ft)]]</f>
        <v>16.333333333333332</v>
      </c>
      <c r="I223" t="s">
        <v>275</v>
      </c>
    </row>
    <row r="224" spans="1:9" x14ac:dyDescent="0.25">
      <c r="A224" t="s">
        <v>5</v>
      </c>
      <c r="B224" t="s">
        <v>152</v>
      </c>
      <c r="C224" s="3" t="s">
        <v>171</v>
      </c>
      <c r="F224" s="3" t="s">
        <v>58</v>
      </c>
      <c r="G224" s="4">
        <v>3</v>
      </c>
      <c r="H224" s="4">
        <f>Table1[[#This Row],[OD (Inches)]]^2*8/3*Table1[[#This Row],[Length (ft)]]</f>
        <v>0</v>
      </c>
      <c r="I224" t="s">
        <v>274</v>
      </c>
    </row>
    <row r="225" spans="1:9" x14ac:dyDescent="0.25">
      <c r="A225" t="s">
        <v>5</v>
      </c>
      <c r="B225" t="s">
        <v>38</v>
      </c>
      <c r="C225" s="3" t="s">
        <v>153</v>
      </c>
      <c r="D225" s="3">
        <v>2.5</v>
      </c>
      <c r="F225" s="3" t="s">
        <v>58</v>
      </c>
      <c r="G225" s="4">
        <f>26.5/12</f>
        <v>2.2083333333333335</v>
      </c>
      <c r="H225" s="4">
        <v>13.227735731092654</v>
      </c>
      <c r="I225" t="s">
        <v>274</v>
      </c>
    </row>
    <row r="226" spans="1:9" x14ac:dyDescent="0.25">
      <c r="A226" t="s">
        <v>5</v>
      </c>
      <c r="B226" t="s">
        <v>38</v>
      </c>
      <c r="C226" s="3" t="s">
        <v>153</v>
      </c>
      <c r="D226" s="3">
        <v>2.7</v>
      </c>
      <c r="F226" s="3" t="s">
        <v>58</v>
      </c>
      <c r="G226" s="4">
        <f t="shared" ref="G226:G227" si="5">26.5/12</f>
        <v>2.2083333333333335</v>
      </c>
      <c r="H226" s="4">
        <v>13.227735731092654</v>
      </c>
      <c r="I226" t="s">
        <v>274</v>
      </c>
    </row>
    <row r="227" spans="1:9" x14ac:dyDescent="0.25">
      <c r="A227" t="s">
        <v>5</v>
      </c>
      <c r="B227" t="s">
        <v>38</v>
      </c>
      <c r="C227" s="3" t="s">
        <v>153</v>
      </c>
      <c r="D227" s="3">
        <v>2.62</v>
      </c>
      <c r="F227" s="3" t="s">
        <v>58</v>
      </c>
      <c r="G227" s="4">
        <f t="shared" si="5"/>
        <v>2.2083333333333335</v>
      </c>
      <c r="H227" s="4">
        <v>13.227735731092654</v>
      </c>
      <c r="I227" t="s">
        <v>274</v>
      </c>
    </row>
    <row r="228" spans="1:9" x14ac:dyDescent="0.25">
      <c r="A228" t="s">
        <v>5</v>
      </c>
      <c r="B228" t="s">
        <v>38</v>
      </c>
      <c r="C228" s="3" t="s">
        <v>154</v>
      </c>
      <c r="D228" s="3">
        <v>3</v>
      </c>
      <c r="F228" s="3" t="s">
        <v>58</v>
      </c>
      <c r="G228" s="4">
        <f>26/12</f>
        <v>2.1666666666666665</v>
      </c>
      <c r="H228" s="4">
        <v>22.046226218487757</v>
      </c>
      <c r="I228" t="s">
        <v>274</v>
      </c>
    </row>
    <row r="229" spans="1:9" x14ac:dyDescent="0.25">
      <c r="A229" t="s">
        <v>5</v>
      </c>
      <c r="B229" t="s">
        <v>38</v>
      </c>
      <c r="C229" s="3" t="s">
        <v>154</v>
      </c>
      <c r="D229" s="3">
        <v>3.6</v>
      </c>
      <c r="F229" s="3" t="s">
        <v>58</v>
      </c>
      <c r="G229" s="4">
        <f t="shared" ref="G229:G232" si="6">26/12</f>
        <v>2.1666666666666665</v>
      </c>
      <c r="H229" s="4">
        <v>22.046226218487757</v>
      </c>
      <c r="I229" t="s">
        <v>274</v>
      </c>
    </row>
    <row r="230" spans="1:9" x14ac:dyDescent="0.25">
      <c r="A230" t="s">
        <v>5</v>
      </c>
      <c r="B230" t="s">
        <v>38</v>
      </c>
      <c r="C230" s="3" t="s">
        <v>154</v>
      </c>
      <c r="D230" s="3">
        <v>3.6</v>
      </c>
      <c r="F230" s="3" t="s">
        <v>58</v>
      </c>
      <c r="G230" s="4">
        <f t="shared" si="6"/>
        <v>2.1666666666666665</v>
      </c>
      <c r="H230" s="4">
        <v>22.046226218487757</v>
      </c>
      <c r="I230" t="s">
        <v>274</v>
      </c>
    </row>
    <row r="231" spans="1:9" x14ac:dyDescent="0.25">
      <c r="A231" t="s">
        <v>5</v>
      </c>
      <c r="B231" t="s">
        <v>38</v>
      </c>
      <c r="C231" s="3" t="s">
        <v>227</v>
      </c>
      <c r="D231" s="3">
        <v>4.5</v>
      </c>
      <c r="F231" s="3" t="s">
        <v>58</v>
      </c>
      <c r="G231" s="4">
        <f t="shared" si="6"/>
        <v>2.1666666666666665</v>
      </c>
      <c r="H231" s="4">
        <v>22.046226218487757</v>
      </c>
      <c r="I231" t="s">
        <v>274</v>
      </c>
    </row>
    <row r="232" spans="1:9" x14ac:dyDescent="0.25">
      <c r="A232" t="s">
        <v>5</v>
      </c>
      <c r="B232" t="s">
        <v>38</v>
      </c>
      <c r="C232" s="3" t="s">
        <v>227</v>
      </c>
      <c r="D232" s="3">
        <v>4.5</v>
      </c>
      <c r="F232" s="3" t="s">
        <v>58</v>
      </c>
      <c r="G232" s="4">
        <f t="shared" si="6"/>
        <v>2.1666666666666665</v>
      </c>
      <c r="H232" s="4">
        <v>22.046226218487757</v>
      </c>
      <c r="I232" t="s">
        <v>274</v>
      </c>
    </row>
    <row r="233" spans="1:9" x14ac:dyDescent="0.25">
      <c r="A233" t="s">
        <v>5</v>
      </c>
      <c r="B233" t="s">
        <v>39</v>
      </c>
      <c r="C233" s="3" t="s">
        <v>171</v>
      </c>
      <c r="F233" s="3" t="s">
        <v>58</v>
      </c>
      <c r="G233" s="4">
        <v>3</v>
      </c>
      <c r="H233" s="4">
        <f>Table1[[#This Row],[OD (Inches)]]^2*8/3*Table1[[#This Row],[Length (ft)]]</f>
        <v>0</v>
      </c>
      <c r="I233" t="s">
        <v>274</v>
      </c>
    </row>
    <row r="234" spans="1:9" x14ac:dyDescent="0.25">
      <c r="A234" t="s">
        <v>5</v>
      </c>
      <c r="B234" t="s">
        <v>40</v>
      </c>
      <c r="C234" s="3" t="s">
        <v>171</v>
      </c>
      <c r="F234" s="3" t="s">
        <v>58</v>
      </c>
      <c r="G234" s="4">
        <v>1</v>
      </c>
      <c r="H234" s="4">
        <f>Table1[[#This Row],[OD (Inches)]]^2*8/3*Table1[[#This Row],[Length (ft)]]</f>
        <v>0</v>
      </c>
      <c r="I234" t="s">
        <v>274</v>
      </c>
    </row>
    <row r="235" spans="1:9" x14ac:dyDescent="0.25">
      <c r="A235" t="s">
        <v>5</v>
      </c>
      <c r="B235" t="s">
        <v>256</v>
      </c>
      <c r="C235" s="3" t="s">
        <v>183</v>
      </c>
      <c r="D235" s="3">
        <v>2.62</v>
      </c>
      <c r="F235" s="3" t="s">
        <v>58</v>
      </c>
      <c r="G235" s="4">
        <f>9.5/12</f>
        <v>0.79166666666666663</v>
      </c>
      <c r="H235" s="4">
        <v>5</v>
      </c>
      <c r="I235" t="s">
        <v>274</v>
      </c>
    </row>
    <row r="236" spans="1:9" x14ac:dyDescent="0.25">
      <c r="A236" t="s">
        <v>5</v>
      </c>
      <c r="B236" t="s">
        <v>256</v>
      </c>
      <c r="C236" s="3" t="s">
        <v>184</v>
      </c>
      <c r="D236" s="3">
        <v>2.72</v>
      </c>
      <c r="F236" s="3" t="s">
        <v>58</v>
      </c>
      <c r="G236" s="4">
        <f>9.5/12</f>
        <v>0.79166666666666663</v>
      </c>
      <c r="H236" s="4">
        <v>5</v>
      </c>
      <c r="I236" t="s">
        <v>274</v>
      </c>
    </row>
    <row r="237" spans="1:9" x14ac:dyDescent="0.25">
      <c r="A237" t="s">
        <v>5</v>
      </c>
      <c r="B237" t="s">
        <v>256</v>
      </c>
      <c r="C237" s="3" t="s">
        <v>257</v>
      </c>
      <c r="D237" s="3">
        <v>2.78</v>
      </c>
      <c r="F237" s="3" t="s">
        <v>58</v>
      </c>
      <c r="G237" s="4">
        <f>9.5/12</f>
        <v>0.79166666666666663</v>
      </c>
      <c r="H237" s="4">
        <v>5</v>
      </c>
      <c r="I237" t="s">
        <v>274</v>
      </c>
    </row>
    <row r="238" spans="1:9" x14ac:dyDescent="0.25">
      <c r="A238" t="s">
        <v>5</v>
      </c>
      <c r="B238" t="s">
        <v>256</v>
      </c>
      <c r="C238" s="3" t="s">
        <v>258</v>
      </c>
      <c r="D238" s="3">
        <v>3.1</v>
      </c>
      <c r="F238" s="3" t="s">
        <v>58</v>
      </c>
      <c r="G238" s="4">
        <v>1</v>
      </c>
      <c r="H238" s="4">
        <v>7</v>
      </c>
      <c r="I238" t="s">
        <v>274</v>
      </c>
    </row>
    <row r="239" spans="1:9" x14ac:dyDescent="0.25">
      <c r="A239" t="s">
        <v>5</v>
      </c>
      <c r="B239" t="s">
        <v>256</v>
      </c>
      <c r="C239" s="3" t="s">
        <v>187</v>
      </c>
      <c r="D239" s="3">
        <v>3.75</v>
      </c>
      <c r="F239" s="3" t="s">
        <v>58</v>
      </c>
      <c r="G239" s="4">
        <v>1</v>
      </c>
      <c r="H239" s="4">
        <v>11</v>
      </c>
      <c r="I239" t="s">
        <v>274</v>
      </c>
    </row>
    <row r="240" spans="1:9" x14ac:dyDescent="0.25">
      <c r="A240" t="s">
        <v>5</v>
      </c>
      <c r="B240" t="s">
        <v>256</v>
      </c>
      <c r="C240" s="3" t="s">
        <v>259</v>
      </c>
      <c r="D240" s="3">
        <v>4.0999999999999996</v>
      </c>
      <c r="F240" s="3" t="s">
        <v>58</v>
      </c>
      <c r="G240" s="4">
        <v>1</v>
      </c>
      <c r="H240" s="4">
        <v>13</v>
      </c>
      <c r="I240" t="s">
        <v>274</v>
      </c>
    </row>
    <row r="241" spans="1:9" x14ac:dyDescent="0.25">
      <c r="A241" t="s">
        <v>5</v>
      </c>
      <c r="B241" t="s">
        <v>256</v>
      </c>
      <c r="C241" s="3" t="s">
        <v>260</v>
      </c>
      <c r="D241" s="3">
        <v>4.5</v>
      </c>
      <c r="F241" s="3" t="s">
        <v>58</v>
      </c>
      <c r="G241" s="4">
        <v>1</v>
      </c>
      <c r="H241" s="4">
        <v>16</v>
      </c>
      <c r="I241" t="s">
        <v>274</v>
      </c>
    </row>
    <row r="242" spans="1:9" x14ac:dyDescent="0.25">
      <c r="A242" t="s">
        <v>5</v>
      </c>
      <c r="B242" t="s">
        <v>41</v>
      </c>
      <c r="C242" s="3" t="s">
        <v>171</v>
      </c>
      <c r="F242" s="3" t="s">
        <v>58</v>
      </c>
      <c r="G242" s="4"/>
      <c r="H242" s="4">
        <f>Table1[[#This Row],[OD (Inches)]]^2*8/3*Table1[[#This Row],[Length (ft)]]</f>
        <v>0</v>
      </c>
      <c r="I242" t="s">
        <v>274</v>
      </c>
    </row>
    <row r="243" spans="1:9" x14ac:dyDescent="0.25">
      <c r="A243" t="s">
        <v>3</v>
      </c>
      <c r="B243" t="s">
        <v>24</v>
      </c>
      <c r="C243" s="3" t="s">
        <v>61</v>
      </c>
      <c r="D243" s="3">
        <f>1+11/16</f>
        <v>1.6875</v>
      </c>
      <c r="E243" s="3" t="s">
        <v>58</v>
      </c>
      <c r="F243" s="3" t="s">
        <v>68</v>
      </c>
      <c r="G243" s="4">
        <v>0.97499999999999998</v>
      </c>
      <c r="H243" s="4">
        <v>5</v>
      </c>
      <c r="I243" t="s">
        <v>274</v>
      </c>
    </row>
    <row r="244" spans="1:9" x14ac:dyDescent="0.25">
      <c r="A244" t="s">
        <v>3</v>
      </c>
      <c r="B244" t="s">
        <v>25</v>
      </c>
      <c r="C244" s="3" t="s">
        <v>61</v>
      </c>
      <c r="D244" s="3">
        <f t="shared" ref="D244:D277" si="7">1+11/16</f>
        <v>1.6875</v>
      </c>
      <c r="E244" s="3" t="s">
        <v>68</v>
      </c>
      <c r="F244" s="3" t="s">
        <v>69</v>
      </c>
      <c r="G244" s="4">
        <v>1.8166666666666667</v>
      </c>
      <c r="H244" s="4">
        <v>7.9</v>
      </c>
      <c r="I244" t="s">
        <v>274</v>
      </c>
    </row>
    <row r="245" spans="1:9" x14ac:dyDescent="0.25">
      <c r="A245" t="s">
        <v>3</v>
      </c>
      <c r="B245" t="s">
        <v>144</v>
      </c>
      <c r="C245" s="3" t="s">
        <v>61</v>
      </c>
      <c r="D245" s="3">
        <f t="shared" si="7"/>
        <v>1.6875</v>
      </c>
      <c r="E245" s="3" t="s">
        <v>279</v>
      </c>
      <c r="F245" s="3" t="s">
        <v>69</v>
      </c>
      <c r="G245" s="4">
        <v>3.68</v>
      </c>
      <c r="H245" s="4">
        <v>12.125</v>
      </c>
      <c r="I245" t="s">
        <v>274</v>
      </c>
    </row>
    <row r="246" spans="1:9" x14ac:dyDescent="0.25">
      <c r="A246" t="s">
        <v>3</v>
      </c>
      <c r="B246" t="s">
        <v>105</v>
      </c>
      <c r="C246" s="3" t="s">
        <v>61</v>
      </c>
      <c r="D246" s="3">
        <f t="shared" si="7"/>
        <v>1.6875</v>
      </c>
      <c r="E246" s="3" t="s">
        <v>279</v>
      </c>
      <c r="F246" s="3" t="s">
        <v>68</v>
      </c>
      <c r="G246" s="4">
        <v>1</v>
      </c>
      <c r="H246" s="4">
        <f>Table1[[#This Row],[OD (Inches)]]^2*8/3*Table1[[#This Row],[Length (ft)]]</f>
        <v>7.59375</v>
      </c>
      <c r="I246" t="s">
        <v>274</v>
      </c>
    </row>
    <row r="247" spans="1:9" x14ac:dyDescent="0.25">
      <c r="A247" t="s">
        <v>3</v>
      </c>
      <c r="B247" t="s">
        <v>108</v>
      </c>
      <c r="C247" s="3" t="s">
        <v>61</v>
      </c>
      <c r="D247" s="3">
        <f t="shared" si="7"/>
        <v>1.6875</v>
      </c>
      <c r="E247" s="3" t="s">
        <v>279</v>
      </c>
      <c r="F247" s="3" t="s">
        <v>280</v>
      </c>
      <c r="G247" s="4">
        <v>1</v>
      </c>
      <c r="H247" s="4">
        <f>Table1[[#This Row],[OD (Inches)]]^2*8/3*Table1[[#This Row],[Length (ft)]]</f>
        <v>7.59375</v>
      </c>
      <c r="I247" t="s">
        <v>274</v>
      </c>
    </row>
    <row r="248" spans="1:9" x14ac:dyDescent="0.25">
      <c r="A248" t="s">
        <v>3</v>
      </c>
      <c r="B248" t="s">
        <v>106</v>
      </c>
      <c r="C248" s="3" t="s">
        <v>61</v>
      </c>
      <c r="D248" s="3">
        <f t="shared" si="7"/>
        <v>1.6875</v>
      </c>
      <c r="E248" s="3" t="s">
        <v>279</v>
      </c>
      <c r="F248" s="3" t="s">
        <v>60</v>
      </c>
      <c r="G248" s="4">
        <v>0.5</v>
      </c>
      <c r="H248" s="4">
        <f>Table1[[#This Row],[OD (Inches)]]^2*8/3*Table1[[#This Row],[Length (ft)]]</f>
        <v>3.796875</v>
      </c>
      <c r="I248" t="s">
        <v>274</v>
      </c>
    </row>
    <row r="249" spans="1:9" x14ac:dyDescent="0.25">
      <c r="A249" t="s">
        <v>3</v>
      </c>
      <c r="B249" t="s">
        <v>107</v>
      </c>
      <c r="C249" s="3" t="s">
        <v>61</v>
      </c>
      <c r="D249" s="3">
        <f t="shared" si="7"/>
        <v>1.6875</v>
      </c>
      <c r="E249" s="3" t="s">
        <v>279</v>
      </c>
      <c r="F249" s="3" t="s">
        <v>242</v>
      </c>
      <c r="G249" s="4">
        <v>1</v>
      </c>
      <c r="H249" s="4">
        <f>Table1[[#This Row],[OD (Inches)]]^2*8/3*Table1[[#This Row],[Length (ft)]]</f>
        <v>7.59375</v>
      </c>
      <c r="I249" t="s">
        <v>274</v>
      </c>
    </row>
    <row r="250" spans="1:9" x14ac:dyDescent="0.25">
      <c r="A250" t="s">
        <v>4</v>
      </c>
      <c r="B250" t="s">
        <v>281</v>
      </c>
      <c r="C250" s="3" t="s">
        <v>61</v>
      </c>
      <c r="D250" s="3">
        <f t="shared" si="7"/>
        <v>1.6875</v>
      </c>
      <c r="E250" s="3" t="s">
        <v>60</v>
      </c>
      <c r="F250" s="3" t="s">
        <v>68</v>
      </c>
      <c r="G250" s="4">
        <f>28/12</f>
        <v>2.3333333333333335</v>
      </c>
      <c r="H250" s="4">
        <v>9.6999999999999993</v>
      </c>
      <c r="I250" t="s">
        <v>274</v>
      </c>
    </row>
    <row r="251" spans="1:9" x14ac:dyDescent="0.25">
      <c r="A251" t="s">
        <v>4</v>
      </c>
      <c r="B251" t="s">
        <v>70</v>
      </c>
      <c r="C251" s="3" t="s">
        <v>61</v>
      </c>
      <c r="D251" s="3">
        <f t="shared" si="7"/>
        <v>1.6875</v>
      </c>
      <c r="E251" s="3" t="s">
        <v>60</v>
      </c>
      <c r="F251" s="3" t="s">
        <v>68</v>
      </c>
      <c r="G251" s="4">
        <f>17.65/12</f>
        <v>1.4708333333333332</v>
      </c>
      <c r="H251" s="4">
        <v>6.2</v>
      </c>
      <c r="I251" t="s">
        <v>274</v>
      </c>
    </row>
    <row r="252" spans="1:9" x14ac:dyDescent="0.25">
      <c r="A252" t="s">
        <v>4</v>
      </c>
      <c r="B252" t="s">
        <v>71</v>
      </c>
      <c r="C252" s="3" t="s">
        <v>61</v>
      </c>
      <c r="D252" s="3">
        <f t="shared" si="7"/>
        <v>1.6875</v>
      </c>
      <c r="E252" s="3" t="s">
        <v>68</v>
      </c>
      <c r="F252" s="3" t="s">
        <v>68</v>
      </c>
      <c r="G252" s="4">
        <v>1.925</v>
      </c>
      <c r="H252" s="4">
        <v>9.4</v>
      </c>
      <c r="I252" t="s">
        <v>274</v>
      </c>
    </row>
    <row r="253" spans="1:9" x14ac:dyDescent="0.25">
      <c r="A253" t="s">
        <v>4</v>
      </c>
      <c r="B253" t="s">
        <v>119</v>
      </c>
      <c r="C253" s="3" t="s">
        <v>120</v>
      </c>
      <c r="D253" s="3">
        <f>1+3/8</f>
        <v>1.375</v>
      </c>
      <c r="E253" s="3" t="s">
        <v>68</v>
      </c>
      <c r="F253" s="3" t="s">
        <v>68</v>
      </c>
      <c r="G253" s="4">
        <f>19.7/12</f>
        <v>1.6416666666666666</v>
      </c>
      <c r="H253" s="4">
        <v>5.0999999999999996</v>
      </c>
      <c r="I253" t="s">
        <v>274</v>
      </c>
    </row>
    <row r="254" spans="1:9" x14ac:dyDescent="0.25">
      <c r="A254" t="s">
        <v>4</v>
      </c>
      <c r="B254" t="s">
        <v>81</v>
      </c>
      <c r="C254" s="3" t="s">
        <v>61</v>
      </c>
      <c r="D254" s="3">
        <f t="shared" si="7"/>
        <v>1.6875</v>
      </c>
      <c r="E254" s="3" t="s">
        <v>68</v>
      </c>
      <c r="F254" s="3" t="s">
        <v>68</v>
      </c>
      <c r="G254" s="4">
        <f>23.1/12</f>
        <v>1.925</v>
      </c>
      <c r="H254" s="4">
        <v>9.4</v>
      </c>
      <c r="I254" t="s">
        <v>274</v>
      </c>
    </row>
    <row r="255" spans="1:9" x14ac:dyDescent="0.25">
      <c r="A255" t="s">
        <v>4</v>
      </c>
      <c r="B255" t="s">
        <v>83</v>
      </c>
      <c r="C255" s="3" t="s">
        <v>61</v>
      </c>
      <c r="D255" s="3">
        <f t="shared" si="7"/>
        <v>1.6875</v>
      </c>
      <c r="E255" s="3" t="s">
        <v>68</v>
      </c>
      <c r="F255" s="3" t="s">
        <v>68</v>
      </c>
      <c r="G255" s="4">
        <f>22.97/12</f>
        <v>1.9141666666666666</v>
      </c>
      <c r="H255" s="4">
        <v>7</v>
      </c>
      <c r="I255" t="s">
        <v>274</v>
      </c>
    </row>
    <row r="256" spans="1:9" x14ac:dyDescent="0.25">
      <c r="A256" t="s">
        <v>4</v>
      </c>
      <c r="B256" t="s">
        <v>114</v>
      </c>
      <c r="C256" s="3" t="s">
        <v>61</v>
      </c>
      <c r="D256" s="3">
        <f t="shared" si="7"/>
        <v>1.6875</v>
      </c>
      <c r="E256" s="3" t="s">
        <v>68</v>
      </c>
      <c r="F256" s="3" t="s">
        <v>68</v>
      </c>
      <c r="G256" s="4">
        <v>5.3833333333333329</v>
      </c>
      <c r="H256" s="4">
        <v>20.7</v>
      </c>
      <c r="I256" t="s">
        <v>274</v>
      </c>
    </row>
    <row r="257" spans="1:9" x14ac:dyDescent="0.25">
      <c r="A257" t="s">
        <v>4</v>
      </c>
      <c r="B257" t="s">
        <v>116</v>
      </c>
      <c r="C257" s="3" t="s">
        <v>61</v>
      </c>
      <c r="D257" s="3">
        <f t="shared" si="7"/>
        <v>1.6875</v>
      </c>
      <c r="E257" s="3" t="s">
        <v>68</v>
      </c>
      <c r="F257" s="3" t="s">
        <v>68</v>
      </c>
      <c r="G257" s="4">
        <v>5.3833333333333329</v>
      </c>
      <c r="H257" s="4">
        <v>20.7</v>
      </c>
      <c r="I257" t="s">
        <v>274</v>
      </c>
    </row>
    <row r="258" spans="1:9" x14ac:dyDescent="0.25">
      <c r="A258" t="s">
        <v>4</v>
      </c>
      <c r="B258" t="s">
        <v>115</v>
      </c>
      <c r="C258" s="3" t="s">
        <v>113</v>
      </c>
      <c r="D258" s="3">
        <v>2.75</v>
      </c>
      <c r="E258" s="3" t="s">
        <v>68</v>
      </c>
      <c r="F258" s="3" t="s">
        <v>68</v>
      </c>
      <c r="G258" s="4">
        <f>66/12</f>
        <v>5.5</v>
      </c>
      <c r="H258" s="4">
        <v>70</v>
      </c>
      <c r="I258" t="s">
        <v>274</v>
      </c>
    </row>
    <row r="259" spans="1:9" x14ac:dyDescent="0.25">
      <c r="A259" t="s">
        <v>4</v>
      </c>
      <c r="B259" t="s">
        <v>117</v>
      </c>
      <c r="C259" s="3" t="s">
        <v>113</v>
      </c>
      <c r="D259" s="3">
        <v>2.75</v>
      </c>
      <c r="E259" s="3" t="s">
        <v>68</v>
      </c>
      <c r="F259" s="3" t="s">
        <v>68</v>
      </c>
      <c r="G259" s="4">
        <f>66/12</f>
        <v>5.5</v>
      </c>
      <c r="H259" s="4">
        <v>70</v>
      </c>
      <c r="I259" t="s">
        <v>274</v>
      </c>
    </row>
    <row r="260" spans="1:9" x14ac:dyDescent="0.25">
      <c r="A260" t="s">
        <v>4</v>
      </c>
      <c r="B260" t="s">
        <v>282</v>
      </c>
      <c r="C260" s="3" t="s">
        <v>61</v>
      </c>
      <c r="D260" s="3">
        <f t="shared" si="7"/>
        <v>1.6875</v>
      </c>
      <c r="E260" s="3" t="s">
        <v>68</v>
      </c>
      <c r="F260" s="3" t="s">
        <v>68</v>
      </c>
      <c r="G260" s="4">
        <f>25.66/12</f>
        <v>2.1383333333333332</v>
      </c>
      <c r="H260" s="4">
        <v>10.6</v>
      </c>
      <c r="I260" t="s">
        <v>274</v>
      </c>
    </row>
    <row r="261" spans="1:9" x14ac:dyDescent="0.25">
      <c r="A261" t="s">
        <v>4</v>
      </c>
      <c r="B261" t="s">
        <v>72</v>
      </c>
      <c r="C261" s="3" t="s">
        <v>61</v>
      </c>
      <c r="D261" s="3">
        <f t="shared" si="7"/>
        <v>1.6875</v>
      </c>
      <c r="E261" s="3" t="s">
        <v>68</v>
      </c>
      <c r="F261" s="3" t="s">
        <v>68</v>
      </c>
      <c r="G261" s="4">
        <v>1.0416666666666667</v>
      </c>
      <c r="H261" s="4">
        <v>5.9</v>
      </c>
      <c r="I261" t="s">
        <v>274</v>
      </c>
    </row>
    <row r="262" spans="1:9" x14ac:dyDescent="0.25">
      <c r="A262" t="s">
        <v>4</v>
      </c>
      <c r="B262" t="s">
        <v>73</v>
      </c>
      <c r="C262" s="3" t="s">
        <v>61</v>
      </c>
      <c r="D262" s="3">
        <f t="shared" si="7"/>
        <v>1.6875</v>
      </c>
      <c r="E262" s="3" t="s">
        <v>68</v>
      </c>
      <c r="F262" s="3" t="s">
        <v>68</v>
      </c>
      <c r="G262" s="4">
        <v>1.5841666666666667</v>
      </c>
      <c r="H262" s="4">
        <v>8.8000000000000007</v>
      </c>
      <c r="I262" t="s">
        <v>274</v>
      </c>
    </row>
    <row r="263" spans="1:9" x14ac:dyDescent="0.25">
      <c r="A263" t="s">
        <v>4</v>
      </c>
      <c r="B263" t="s">
        <v>121</v>
      </c>
      <c r="C263" s="3" t="s">
        <v>120</v>
      </c>
      <c r="D263" s="3">
        <f>1+3/8</f>
        <v>1.375</v>
      </c>
      <c r="E263" s="3" t="s">
        <v>68</v>
      </c>
      <c r="F263" s="3" t="s">
        <v>68</v>
      </c>
      <c r="G263" s="4">
        <f>17.8/12</f>
        <v>1.4833333333333334</v>
      </c>
      <c r="H263" s="4">
        <v>5.2</v>
      </c>
      <c r="I263" t="s">
        <v>274</v>
      </c>
    </row>
    <row r="264" spans="1:9" x14ac:dyDescent="0.25">
      <c r="A264" t="s">
        <v>4</v>
      </c>
      <c r="B264" t="s">
        <v>82</v>
      </c>
      <c r="C264" s="3" t="s">
        <v>61</v>
      </c>
      <c r="D264" s="3">
        <f t="shared" si="7"/>
        <v>1.6875</v>
      </c>
      <c r="E264" s="3" t="s">
        <v>68</v>
      </c>
      <c r="F264" s="3" t="s">
        <v>68</v>
      </c>
      <c r="G264" s="4">
        <f>19.01/12</f>
        <v>1.5841666666666667</v>
      </c>
      <c r="H264" s="4">
        <v>8.8000000000000007</v>
      </c>
      <c r="I264" t="s">
        <v>274</v>
      </c>
    </row>
    <row r="265" spans="1:9" x14ac:dyDescent="0.25">
      <c r="A265" t="s">
        <v>4</v>
      </c>
      <c r="B265" t="s">
        <v>74</v>
      </c>
      <c r="C265" s="3" t="s">
        <v>61</v>
      </c>
      <c r="D265" s="3">
        <f t="shared" si="7"/>
        <v>1.6875</v>
      </c>
      <c r="E265" s="3" t="s">
        <v>68</v>
      </c>
      <c r="F265" s="3" t="s">
        <v>68</v>
      </c>
      <c r="G265" s="4">
        <v>0.56666666666666665</v>
      </c>
      <c r="H265" s="4">
        <v>3.5</v>
      </c>
      <c r="I265" t="s">
        <v>274</v>
      </c>
    </row>
    <row r="266" spans="1:9" x14ac:dyDescent="0.25">
      <c r="A266" t="s">
        <v>4</v>
      </c>
      <c r="B266" t="s">
        <v>75</v>
      </c>
      <c r="C266" s="3" t="s">
        <v>61</v>
      </c>
      <c r="D266" s="3">
        <f t="shared" si="7"/>
        <v>1.6875</v>
      </c>
      <c r="E266" s="3" t="s">
        <v>68</v>
      </c>
      <c r="F266" s="3" t="s">
        <v>68</v>
      </c>
      <c r="G266" s="4">
        <v>1.4416666666666667</v>
      </c>
      <c r="H266" s="4">
        <v>6.5</v>
      </c>
      <c r="I266" t="s">
        <v>274</v>
      </c>
    </row>
    <row r="267" spans="1:9" x14ac:dyDescent="0.25">
      <c r="A267" t="s">
        <v>4</v>
      </c>
      <c r="B267" t="s">
        <v>76</v>
      </c>
      <c r="C267" s="3" t="s">
        <v>77</v>
      </c>
      <c r="D267" s="3">
        <f>2+1/8</f>
        <v>2.125</v>
      </c>
      <c r="E267" s="3" t="s">
        <v>68</v>
      </c>
      <c r="F267" s="3" t="s">
        <v>68</v>
      </c>
      <c r="G267" s="4">
        <v>1.4416666666666667</v>
      </c>
      <c r="H267" s="4">
        <v>6.8</v>
      </c>
      <c r="I267" t="s">
        <v>274</v>
      </c>
    </row>
    <row r="268" spans="1:9" x14ac:dyDescent="0.25">
      <c r="A268" t="s">
        <v>4</v>
      </c>
      <c r="B268" t="s">
        <v>164</v>
      </c>
      <c r="C268" s="3" t="s">
        <v>77</v>
      </c>
      <c r="D268" s="3">
        <f>2+1/8</f>
        <v>2.125</v>
      </c>
      <c r="E268" s="3" t="s">
        <v>68</v>
      </c>
      <c r="F268" s="3" t="s">
        <v>68</v>
      </c>
      <c r="G268" s="4">
        <f>45.5/12</f>
        <v>3.7916666666666665</v>
      </c>
      <c r="H268" s="4">
        <v>14.3</v>
      </c>
      <c r="I268" t="s">
        <v>275</v>
      </c>
    </row>
    <row r="269" spans="1:9" x14ac:dyDescent="0.25">
      <c r="A269" t="s">
        <v>4</v>
      </c>
      <c r="B269" t="s">
        <v>78</v>
      </c>
      <c r="C269" s="3" t="s">
        <v>61</v>
      </c>
      <c r="D269" s="3">
        <f t="shared" si="7"/>
        <v>1.6875</v>
      </c>
      <c r="E269" s="3" t="s">
        <v>68</v>
      </c>
      <c r="F269" s="3" t="s">
        <v>68</v>
      </c>
      <c r="G269" s="4">
        <v>1.9166666666666667</v>
      </c>
      <c r="H269" s="4">
        <v>9.6</v>
      </c>
      <c r="I269" t="s">
        <v>275</v>
      </c>
    </row>
    <row r="270" spans="1:9" x14ac:dyDescent="0.25">
      <c r="A270" t="s">
        <v>4</v>
      </c>
      <c r="B270" t="s">
        <v>79</v>
      </c>
      <c r="C270" s="3" t="s">
        <v>61</v>
      </c>
      <c r="D270" s="3">
        <f t="shared" si="7"/>
        <v>1.6875</v>
      </c>
      <c r="E270" s="3" t="s">
        <v>68</v>
      </c>
      <c r="F270" s="3" t="s">
        <v>80</v>
      </c>
      <c r="G270" s="4">
        <v>1.5416666666666667</v>
      </c>
      <c r="H270" s="4">
        <v>5.4</v>
      </c>
      <c r="I270" t="s">
        <v>275</v>
      </c>
    </row>
    <row r="271" spans="1:9" x14ac:dyDescent="0.25">
      <c r="A271" t="s">
        <v>4</v>
      </c>
      <c r="B271" t="s">
        <v>84</v>
      </c>
      <c r="C271" s="3" t="s">
        <v>61</v>
      </c>
      <c r="D271" s="3">
        <f t="shared" si="7"/>
        <v>1.6875</v>
      </c>
      <c r="E271" s="3" t="s">
        <v>68</v>
      </c>
      <c r="F271" s="3" t="s">
        <v>58</v>
      </c>
      <c r="G271" s="4">
        <v>0.75</v>
      </c>
      <c r="H271" s="4">
        <v>2.2000000000000002</v>
      </c>
      <c r="I271" t="s">
        <v>274</v>
      </c>
    </row>
    <row r="272" spans="1:9" x14ac:dyDescent="0.25">
      <c r="A272" t="s">
        <v>4</v>
      </c>
      <c r="B272" t="s">
        <v>26</v>
      </c>
      <c r="C272" s="3" t="s">
        <v>61</v>
      </c>
      <c r="D272" s="3">
        <f t="shared" si="7"/>
        <v>1.6875</v>
      </c>
      <c r="E272" s="3" t="s">
        <v>68</v>
      </c>
      <c r="F272" s="3" t="s">
        <v>58</v>
      </c>
      <c r="G272" s="4">
        <f>8/12</f>
        <v>0.66666666666666663</v>
      </c>
      <c r="H272" s="4">
        <v>1.7</v>
      </c>
      <c r="I272" t="s">
        <v>274</v>
      </c>
    </row>
    <row r="273" spans="1:9" x14ac:dyDescent="0.25">
      <c r="A273" t="s">
        <v>4</v>
      </c>
      <c r="B273" t="s">
        <v>118</v>
      </c>
      <c r="C273" s="3" t="s">
        <v>61</v>
      </c>
      <c r="D273" s="3">
        <f t="shared" si="7"/>
        <v>1.6875</v>
      </c>
      <c r="E273" s="3" t="s">
        <v>68</v>
      </c>
      <c r="F273" s="3" t="s">
        <v>58</v>
      </c>
      <c r="G273" s="4">
        <f>23.52/12</f>
        <v>1.96</v>
      </c>
      <c r="H273" s="4">
        <v>10</v>
      </c>
      <c r="I273" t="s">
        <v>274</v>
      </c>
    </row>
    <row r="274" spans="1:9" x14ac:dyDescent="0.25">
      <c r="A274" t="s">
        <v>4</v>
      </c>
      <c r="B274" t="s">
        <v>85</v>
      </c>
      <c r="C274" s="3" t="s">
        <v>61</v>
      </c>
      <c r="D274" s="3">
        <f t="shared" si="7"/>
        <v>1.6875</v>
      </c>
      <c r="E274" s="3" t="s">
        <v>68</v>
      </c>
      <c r="F274" s="3" t="s">
        <v>58</v>
      </c>
      <c r="G274" s="4">
        <v>0.1</v>
      </c>
      <c r="H274" s="4">
        <v>1</v>
      </c>
      <c r="I274" t="s">
        <v>274</v>
      </c>
    </row>
    <row r="275" spans="1:9" x14ac:dyDescent="0.25">
      <c r="A275" t="s">
        <v>4</v>
      </c>
      <c r="B275" t="s">
        <v>86</v>
      </c>
      <c r="C275" s="3" t="s">
        <v>61</v>
      </c>
      <c r="D275" s="3">
        <f t="shared" si="7"/>
        <v>1.6875</v>
      </c>
      <c r="E275" s="3" t="s">
        <v>68</v>
      </c>
      <c r="F275" s="3" t="s">
        <v>60</v>
      </c>
      <c r="G275" s="4">
        <v>0.1</v>
      </c>
      <c r="H275" s="4">
        <v>1</v>
      </c>
      <c r="I275" t="s">
        <v>275</v>
      </c>
    </row>
    <row r="276" spans="1:9" x14ac:dyDescent="0.25">
      <c r="A276" t="s">
        <v>4</v>
      </c>
      <c r="B276" t="s">
        <v>166</v>
      </c>
      <c r="C276" s="3" t="s">
        <v>61</v>
      </c>
      <c r="D276" s="3">
        <f t="shared" si="7"/>
        <v>1.6875</v>
      </c>
      <c r="E276" s="3" t="s">
        <v>68</v>
      </c>
      <c r="F276" s="3" t="s">
        <v>68</v>
      </c>
      <c r="G276" s="4">
        <f>3.065/12</f>
        <v>0.25541666666666668</v>
      </c>
      <c r="H276" s="4">
        <v>1.6</v>
      </c>
      <c r="I276" t="s">
        <v>275</v>
      </c>
    </row>
    <row r="277" spans="1:9" x14ac:dyDescent="0.25">
      <c r="A277" t="s">
        <v>4</v>
      </c>
      <c r="B277" t="s">
        <v>165</v>
      </c>
      <c r="C277" s="3" t="s">
        <v>61</v>
      </c>
      <c r="D277" s="3">
        <f t="shared" si="7"/>
        <v>1.6875</v>
      </c>
      <c r="E277" s="3" t="s">
        <v>68</v>
      </c>
      <c r="F277" s="3" t="s">
        <v>68</v>
      </c>
      <c r="G277" s="4">
        <f>51.4/12</f>
        <v>4.2833333333333332</v>
      </c>
      <c r="H277" s="4">
        <v>16.2</v>
      </c>
      <c r="I277" t="s">
        <v>275</v>
      </c>
    </row>
    <row r="278" spans="1:9" x14ac:dyDescent="0.25">
      <c r="A278" t="s">
        <v>132</v>
      </c>
      <c r="B278" t="s">
        <v>230</v>
      </c>
      <c r="C278" s="3" t="s">
        <v>77</v>
      </c>
      <c r="D278" s="3">
        <v>2.125</v>
      </c>
      <c r="E278" s="3" t="s">
        <v>280</v>
      </c>
      <c r="F278" s="3" t="s">
        <v>280</v>
      </c>
      <c r="G278" s="4">
        <v>4.2300000000000004</v>
      </c>
      <c r="H278" s="4">
        <v>34</v>
      </c>
      <c r="I278" t="s">
        <v>274</v>
      </c>
    </row>
    <row r="279" spans="1:9" x14ac:dyDescent="0.25">
      <c r="A279" t="s">
        <v>132</v>
      </c>
      <c r="B279" t="s">
        <v>231</v>
      </c>
      <c r="C279" s="3" t="s">
        <v>169</v>
      </c>
      <c r="D279" s="3">
        <v>2.5</v>
      </c>
      <c r="E279" s="3" t="s">
        <v>232</v>
      </c>
      <c r="F279" s="3" t="s">
        <v>232</v>
      </c>
      <c r="G279" s="4">
        <v>0.82</v>
      </c>
      <c r="H279" s="4">
        <v>2</v>
      </c>
      <c r="I279" t="s">
        <v>275</v>
      </c>
    </row>
    <row r="280" spans="1:9" x14ac:dyDescent="0.25">
      <c r="A280" t="s">
        <v>143</v>
      </c>
      <c r="B280" t="s">
        <v>233</v>
      </c>
      <c r="C280" s="3" t="s">
        <v>169</v>
      </c>
      <c r="D280" s="3">
        <v>2.5</v>
      </c>
      <c r="E280" s="3" t="s">
        <v>58</v>
      </c>
      <c r="F280" s="3" t="s">
        <v>58</v>
      </c>
      <c r="G280" s="4">
        <v>1.02</v>
      </c>
      <c r="H280" s="4">
        <v>2</v>
      </c>
      <c r="I280" t="s">
        <v>274</v>
      </c>
    </row>
    <row r="281" spans="1:9" x14ac:dyDescent="0.25">
      <c r="A281" t="s">
        <v>143</v>
      </c>
      <c r="B281" t="s">
        <v>233</v>
      </c>
      <c r="C281" s="3" t="s">
        <v>234</v>
      </c>
      <c r="D281" s="3">
        <v>2.16</v>
      </c>
      <c r="E281" s="3" t="s">
        <v>58</v>
      </c>
      <c r="F281" s="3" t="s">
        <v>58</v>
      </c>
      <c r="G281" s="4">
        <v>0.75</v>
      </c>
      <c r="H281" s="4">
        <v>2</v>
      </c>
      <c r="I281" t="s">
        <v>274</v>
      </c>
    </row>
    <row r="282" spans="1:9" x14ac:dyDescent="0.25">
      <c r="A282" t="s">
        <v>132</v>
      </c>
      <c r="B282" t="s">
        <v>231</v>
      </c>
      <c r="C282" s="3" t="s">
        <v>234</v>
      </c>
      <c r="D282" s="3">
        <v>2.16</v>
      </c>
      <c r="E282" s="3" t="s">
        <v>232</v>
      </c>
      <c r="F282" s="3" t="s">
        <v>232</v>
      </c>
      <c r="G282" s="4">
        <v>0.82</v>
      </c>
      <c r="H282" s="4">
        <v>2.774</v>
      </c>
      <c r="I282" t="s">
        <v>275</v>
      </c>
    </row>
    <row r="283" spans="1:9" x14ac:dyDescent="0.25">
      <c r="A283" t="s">
        <v>140</v>
      </c>
      <c r="B283" t="s">
        <v>133</v>
      </c>
      <c r="C283" s="3" t="s">
        <v>61</v>
      </c>
      <c r="D283" s="3">
        <f t="shared" ref="D283:D286" si="8">1+11/16</f>
        <v>1.6875</v>
      </c>
      <c r="E283" s="3" t="s">
        <v>280</v>
      </c>
      <c r="F283" s="3" t="s">
        <v>280</v>
      </c>
      <c r="G283" s="4">
        <v>3.17</v>
      </c>
      <c r="H283" s="4">
        <v>13.23</v>
      </c>
      <c r="I283" t="s">
        <v>275</v>
      </c>
    </row>
    <row r="284" spans="1:9" x14ac:dyDescent="0.25">
      <c r="A284" t="s">
        <v>140</v>
      </c>
      <c r="B284" t="s">
        <v>134</v>
      </c>
      <c r="C284" s="3" t="s">
        <v>61</v>
      </c>
      <c r="D284" s="3">
        <f t="shared" si="8"/>
        <v>1.6875</v>
      </c>
      <c r="E284" s="3" t="s">
        <v>280</v>
      </c>
      <c r="F284" s="3" t="s">
        <v>280</v>
      </c>
      <c r="G284" s="4">
        <v>1.22</v>
      </c>
      <c r="H284" s="4">
        <v>3.97</v>
      </c>
      <c r="I284" t="s">
        <v>275</v>
      </c>
    </row>
    <row r="285" spans="1:9" x14ac:dyDescent="0.25">
      <c r="A285" t="s">
        <v>140</v>
      </c>
      <c r="B285" t="s">
        <v>135</v>
      </c>
      <c r="C285" s="3" t="s">
        <v>61</v>
      </c>
      <c r="D285" s="3">
        <f t="shared" si="8"/>
        <v>1.6875</v>
      </c>
      <c r="E285" s="3" t="s">
        <v>280</v>
      </c>
      <c r="F285" s="3" t="s">
        <v>280</v>
      </c>
      <c r="G285" s="4">
        <v>2.23</v>
      </c>
      <c r="H285" s="4">
        <v>10.36</v>
      </c>
      <c r="I285" t="s">
        <v>275</v>
      </c>
    </row>
    <row r="286" spans="1:9" x14ac:dyDescent="0.25">
      <c r="A286" t="s">
        <v>140</v>
      </c>
      <c r="B286" t="s">
        <v>136</v>
      </c>
      <c r="C286" s="3" t="s">
        <v>61</v>
      </c>
      <c r="D286" s="3">
        <f t="shared" si="8"/>
        <v>1.6875</v>
      </c>
      <c r="E286" s="3" t="s">
        <v>280</v>
      </c>
      <c r="F286" s="3" t="s">
        <v>280</v>
      </c>
      <c r="G286" s="4">
        <v>1.35</v>
      </c>
      <c r="H286" s="4">
        <v>6.17</v>
      </c>
      <c r="I286" t="s">
        <v>275</v>
      </c>
    </row>
    <row r="287" spans="1:9" x14ac:dyDescent="0.25">
      <c r="A287" t="s">
        <v>140</v>
      </c>
      <c r="B287" t="s">
        <v>137</v>
      </c>
      <c r="C287" s="3" t="s">
        <v>77</v>
      </c>
      <c r="D287" s="3">
        <f>2+1/8</f>
        <v>2.125</v>
      </c>
      <c r="E287" s="3" t="s">
        <v>280</v>
      </c>
      <c r="F287" s="3" t="s">
        <v>280</v>
      </c>
      <c r="G287" s="4">
        <v>3.01</v>
      </c>
      <c r="H287" s="4">
        <v>24.03</v>
      </c>
      <c r="I287" t="s">
        <v>275</v>
      </c>
    </row>
    <row r="288" spans="1:9" x14ac:dyDescent="0.25">
      <c r="A288" t="s">
        <v>140</v>
      </c>
      <c r="B288" t="s">
        <v>138</v>
      </c>
      <c r="C288" s="3" t="s">
        <v>141</v>
      </c>
      <c r="D288" s="3">
        <f>3+1/8</f>
        <v>3.125</v>
      </c>
      <c r="E288" s="3" t="s">
        <v>280</v>
      </c>
      <c r="F288" s="3" t="s">
        <v>280</v>
      </c>
      <c r="G288" s="4">
        <v>9.09</v>
      </c>
      <c r="H288" s="4">
        <v>105.82</v>
      </c>
      <c r="I288" t="s">
        <v>275</v>
      </c>
    </row>
    <row r="289" spans="1:9" x14ac:dyDescent="0.25">
      <c r="A289" t="s">
        <v>140</v>
      </c>
      <c r="B289" t="s">
        <v>139</v>
      </c>
      <c r="C289" s="3">
        <f>Table1[[#This Row],[OD (Inches)]]</f>
        <v>1.6929133858267713</v>
      </c>
      <c r="D289" s="3">
        <f>CONVERT(0.043,"m","in")</f>
        <v>1.6929133858267713</v>
      </c>
      <c r="E289" s="3" t="s">
        <v>280</v>
      </c>
      <c r="F289" s="3" t="s">
        <v>58</v>
      </c>
      <c r="G289" s="4">
        <v>0.22</v>
      </c>
      <c r="H289" s="4">
        <v>1.1000000000000001</v>
      </c>
      <c r="I289" t="s">
        <v>274</v>
      </c>
    </row>
    <row r="290" spans="1:9" x14ac:dyDescent="0.25">
      <c r="A290" t="s">
        <v>142</v>
      </c>
      <c r="B290" t="s">
        <v>213</v>
      </c>
      <c r="C290" s="3" t="s">
        <v>61</v>
      </c>
      <c r="D290" s="3">
        <f t="shared" ref="D290" si="9">1+11/16</f>
        <v>1.6875</v>
      </c>
      <c r="F290" s="3" t="s">
        <v>58</v>
      </c>
      <c r="G290" s="4">
        <f>172.99/12</f>
        <v>14.415833333333333</v>
      </c>
      <c r="H290" s="4">
        <v>83.55</v>
      </c>
      <c r="I290" t="s">
        <v>275</v>
      </c>
    </row>
    <row r="291" spans="1:9" x14ac:dyDescent="0.25">
      <c r="A291" t="s">
        <v>145</v>
      </c>
      <c r="B291" t="s">
        <v>255</v>
      </c>
      <c r="C291" s="3" t="s">
        <v>146</v>
      </c>
      <c r="D291" s="3">
        <v>1.6539999999999999</v>
      </c>
      <c r="E291" s="3" t="s">
        <v>267</v>
      </c>
      <c r="F291" s="3" t="s">
        <v>267</v>
      </c>
      <c r="G291" s="4">
        <v>5.3</v>
      </c>
      <c r="H291" s="4">
        <v>28.66</v>
      </c>
      <c r="I291" t="s">
        <v>275</v>
      </c>
    </row>
    <row r="292" spans="1:9" x14ac:dyDescent="0.25">
      <c r="A292" t="s">
        <v>145</v>
      </c>
      <c r="B292" t="s">
        <v>147</v>
      </c>
      <c r="C292" s="3" t="s">
        <v>146</v>
      </c>
      <c r="D292" s="3">
        <v>1.6539999999999999</v>
      </c>
      <c r="E292" s="3" t="s">
        <v>267</v>
      </c>
      <c r="F292" s="3" t="s">
        <v>267</v>
      </c>
      <c r="G292" s="4">
        <v>2.1</v>
      </c>
      <c r="H292" s="4">
        <v>8.3780000000000001</v>
      </c>
      <c r="I292" t="s">
        <v>275</v>
      </c>
    </row>
    <row r="293" spans="1:9" x14ac:dyDescent="0.25">
      <c r="A293" t="s">
        <v>145</v>
      </c>
      <c r="B293" t="s">
        <v>148</v>
      </c>
      <c r="C293" s="3" t="s">
        <v>146</v>
      </c>
      <c r="D293" s="3">
        <v>1.6539999999999999</v>
      </c>
      <c r="E293" s="3" t="s">
        <v>267</v>
      </c>
      <c r="F293" s="3" t="s">
        <v>58</v>
      </c>
      <c r="G293" s="4">
        <v>0.13</v>
      </c>
      <c r="H293" s="4">
        <v>1.323</v>
      </c>
      <c r="I293" t="s">
        <v>275</v>
      </c>
    </row>
    <row r="294" spans="1:9" x14ac:dyDescent="0.25">
      <c r="A294" t="s">
        <v>145</v>
      </c>
      <c r="B294" t="s">
        <v>149</v>
      </c>
      <c r="C294" s="3" t="s">
        <v>146</v>
      </c>
      <c r="D294" s="3">
        <v>1.6539999999999999</v>
      </c>
      <c r="E294" s="3" t="s">
        <v>267</v>
      </c>
      <c r="F294" s="3" t="s">
        <v>267</v>
      </c>
      <c r="G294" s="4">
        <v>1.36</v>
      </c>
      <c r="H294" s="4">
        <v>2.2050000000000001</v>
      </c>
      <c r="I294" t="s">
        <v>275</v>
      </c>
    </row>
    <row r="295" spans="1:9" x14ac:dyDescent="0.25">
      <c r="A295" t="s">
        <v>145</v>
      </c>
      <c r="B295" t="s">
        <v>150</v>
      </c>
      <c r="C295" s="3" t="s">
        <v>146</v>
      </c>
      <c r="D295" s="3">
        <v>1.6539999999999999</v>
      </c>
      <c r="E295" s="3" t="s">
        <v>267</v>
      </c>
      <c r="F295" s="3" t="s">
        <v>267</v>
      </c>
      <c r="G295" s="4">
        <v>1.33</v>
      </c>
      <c r="H295" s="4">
        <v>7.0549999999999997</v>
      </c>
      <c r="I295" t="s">
        <v>275</v>
      </c>
    </row>
    <row r="296" spans="1:9" x14ac:dyDescent="0.25">
      <c r="A296" t="s">
        <v>145</v>
      </c>
      <c r="B296" t="s">
        <v>151</v>
      </c>
      <c r="C296" s="3" t="s">
        <v>146</v>
      </c>
      <c r="D296" s="3">
        <v>1.6539999999999999</v>
      </c>
      <c r="E296" s="3" t="s">
        <v>267</v>
      </c>
      <c r="F296" s="3" t="s">
        <v>267</v>
      </c>
      <c r="G296" s="4">
        <v>6.56</v>
      </c>
      <c r="H296" s="4">
        <v>14.992000000000001</v>
      </c>
      <c r="I296" t="s">
        <v>275</v>
      </c>
    </row>
    <row r="297" spans="1:9" x14ac:dyDescent="0.25">
      <c r="A297" t="s">
        <v>122</v>
      </c>
      <c r="B297" t="s">
        <v>109</v>
      </c>
      <c r="C297" s="3" t="s">
        <v>61</v>
      </c>
      <c r="D297" s="3">
        <f t="shared" ref="D297:D303" si="10">1+11/16</f>
        <v>1.6875</v>
      </c>
      <c r="E297" s="3" t="s">
        <v>280</v>
      </c>
      <c r="F297" s="3" t="s">
        <v>280</v>
      </c>
      <c r="G297" s="4">
        <v>3</v>
      </c>
      <c r="H297" s="4">
        <v>21</v>
      </c>
      <c r="I297" t="s">
        <v>274</v>
      </c>
    </row>
    <row r="298" spans="1:9" x14ac:dyDescent="0.25">
      <c r="A298" t="s">
        <v>122</v>
      </c>
      <c r="B298" t="s">
        <v>110</v>
      </c>
      <c r="C298" s="3" t="s">
        <v>61</v>
      </c>
      <c r="D298" s="3">
        <f t="shared" si="10"/>
        <v>1.6875</v>
      </c>
      <c r="E298" s="3" t="s">
        <v>280</v>
      </c>
      <c r="F298" s="3" t="s">
        <v>280</v>
      </c>
      <c r="G298" s="4">
        <v>5</v>
      </c>
      <c r="H298" s="4">
        <v>35</v>
      </c>
      <c r="I298" t="s">
        <v>274</v>
      </c>
    </row>
    <row r="299" spans="1:9" x14ac:dyDescent="0.25">
      <c r="A299" t="s">
        <v>122</v>
      </c>
      <c r="B299" t="s">
        <v>111</v>
      </c>
      <c r="C299" s="3" t="s">
        <v>61</v>
      </c>
      <c r="D299" s="3">
        <f t="shared" si="10"/>
        <v>1.6875</v>
      </c>
      <c r="E299" s="3" t="s">
        <v>280</v>
      </c>
      <c r="F299" s="3" t="s">
        <v>280</v>
      </c>
      <c r="G299" s="4">
        <v>7</v>
      </c>
      <c r="H299" s="4">
        <v>49</v>
      </c>
      <c r="I299" t="s">
        <v>274</v>
      </c>
    </row>
    <row r="300" spans="1:9" x14ac:dyDescent="0.25">
      <c r="A300" t="s">
        <v>122</v>
      </c>
      <c r="B300" t="s">
        <v>266</v>
      </c>
      <c r="C300" s="3" t="s">
        <v>61</v>
      </c>
      <c r="D300" s="3">
        <f t="shared" si="10"/>
        <v>1.6875</v>
      </c>
      <c r="E300" s="3" t="s">
        <v>280</v>
      </c>
      <c r="F300" s="3" t="s">
        <v>68</v>
      </c>
      <c r="G300" s="4">
        <f>4.75/12</f>
        <v>0.39583333333333331</v>
      </c>
      <c r="H300" s="4">
        <v>1.75</v>
      </c>
      <c r="I300" t="s">
        <v>274</v>
      </c>
    </row>
    <row r="301" spans="1:9" x14ac:dyDescent="0.25">
      <c r="A301" t="s">
        <v>122</v>
      </c>
      <c r="B301" t="s">
        <v>222</v>
      </c>
      <c r="C301" s="3" t="s">
        <v>61</v>
      </c>
      <c r="D301" s="3">
        <f t="shared" si="10"/>
        <v>1.6875</v>
      </c>
      <c r="E301" s="3" t="s">
        <v>68</v>
      </c>
      <c r="F301" s="3" t="s">
        <v>280</v>
      </c>
      <c r="G301" s="4">
        <f>3.37/12</f>
        <v>0.28083333333333332</v>
      </c>
      <c r="H301" s="4">
        <v>1.58</v>
      </c>
      <c r="I301" t="s">
        <v>274</v>
      </c>
    </row>
    <row r="302" spans="1:9" x14ac:dyDescent="0.25">
      <c r="A302" t="s">
        <v>122</v>
      </c>
      <c r="B302" t="s">
        <v>42</v>
      </c>
      <c r="C302" s="3" t="s">
        <v>167</v>
      </c>
      <c r="D302" s="3">
        <v>1.75</v>
      </c>
      <c r="E302" s="3" t="s">
        <v>280</v>
      </c>
      <c r="F302" s="3" t="s">
        <v>280</v>
      </c>
      <c r="G302" s="4">
        <f>17.33/12</f>
        <v>1.4441666666666666</v>
      </c>
      <c r="H302" s="4">
        <v>11</v>
      </c>
      <c r="I302" t="s">
        <v>274</v>
      </c>
    </row>
    <row r="303" spans="1:9" x14ac:dyDescent="0.25">
      <c r="A303" t="s">
        <v>122</v>
      </c>
      <c r="B303" t="s">
        <v>43</v>
      </c>
      <c r="C303" s="3" t="s">
        <v>61</v>
      </c>
      <c r="D303" s="3">
        <f t="shared" si="10"/>
        <v>1.6875</v>
      </c>
      <c r="E303" s="3" t="s">
        <v>280</v>
      </c>
      <c r="F303" s="3" t="s">
        <v>280</v>
      </c>
      <c r="G303" s="4">
        <f>7.9/12</f>
        <v>0.65833333333333333</v>
      </c>
      <c r="H303" s="4">
        <v>4</v>
      </c>
      <c r="I303" t="s">
        <v>274</v>
      </c>
    </row>
    <row r="304" spans="1:9" x14ac:dyDescent="0.25">
      <c r="A304" t="s">
        <v>143</v>
      </c>
      <c r="B304" t="s">
        <v>235</v>
      </c>
      <c r="C304" s="3" t="s">
        <v>61</v>
      </c>
      <c r="D304" s="3">
        <f>1+11/16</f>
        <v>1.6875</v>
      </c>
      <c r="E304" s="3" t="s">
        <v>242</v>
      </c>
      <c r="F304" s="3" t="s">
        <v>242</v>
      </c>
      <c r="G304" s="4">
        <v>4.82</v>
      </c>
      <c r="H304" s="4">
        <v>24</v>
      </c>
      <c r="I304" t="s">
        <v>275</v>
      </c>
    </row>
    <row r="305" spans="1:9" x14ac:dyDescent="0.25">
      <c r="A305" t="s">
        <v>143</v>
      </c>
      <c r="B305" t="s">
        <v>236</v>
      </c>
      <c r="C305" s="3" t="s">
        <v>61</v>
      </c>
      <c r="D305" s="3">
        <f>1+11/16</f>
        <v>1.6875</v>
      </c>
      <c r="E305" s="3" t="s">
        <v>242</v>
      </c>
      <c r="F305" s="3" t="s">
        <v>242</v>
      </c>
      <c r="G305" s="4">
        <v>2.89</v>
      </c>
      <c r="H305" s="4">
        <v>5</v>
      </c>
      <c r="I305" t="s">
        <v>275</v>
      </c>
    </row>
    <row r="306" spans="1:9" x14ac:dyDescent="0.25">
      <c r="A306" t="s">
        <v>143</v>
      </c>
      <c r="B306" t="s">
        <v>237</v>
      </c>
      <c r="C306" s="3" t="s">
        <v>52</v>
      </c>
      <c r="D306" s="3">
        <v>1.5</v>
      </c>
      <c r="E306" s="3" t="s">
        <v>242</v>
      </c>
      <c r="F306" s="3" t="s">
        <v>242</v>
      </c>
      <c r="G306" s="4">
        <v>0.23</v>
      </c>
      <c r="H306" s="4">
        <v>1</v>
      </c>
      <c r="I306" t="s">
        <v>275</v>
      </c>
    </row>
    <row r="307" spans="1:9" x14ac:dyDescent="0.25">
      <c r="A307" t="s">
        <v>143</v>
      </c>
      <c r="B307" t="s">
        <v>238</v>
      </c>
      <c r="C307" s="3" t="s">
        <v>52</v>
      </c>
      <c r="D307" s="3">
        <v>1.5</v>
      </c>
      <c r="E307" s="3" t="s">
        <v>242</v>
      </c>
      <c r="F307" s="3" t="s">
        <v>242</v>
      </c>
      <c r="G307" s="4">
        <v>1.17</v>
      </c>
      <c r="H307" s="4">
        <v>1</v>
      </c>
      <c r="I307" t="s">
        <v>275</v>
      </c>
    </row>
    <row r="308" spans="1:9" x14ac:dyDescent="0.25">
      <c r="A308" t="s">
        <v>143</v>
      </c>
      <c r="B308" t="s">
        <v>239</v>
      </c>
      <c r="C308" s="3" t="s">
        <v>52</v>
      </c>
      <c r="D308" s="3">
        <v>1.5</v>
      </c>
      <c r="E308" s="3" t="s">
        <v>242</v>
      </c>
      <c r="F308" s="3" t="s">
        <v>242</v>
      </c>
      <c r="G308" s="4">
        <v>0.18</v>
      </c>
      <c r="H308" s="4">
        <v>0.5</v>
      </c>
      <c r="I308" t="s">
        <v>275</v>
      </c>
    </row>
    <row r="309" spans="1:9" x14ac:dyDescent="0.25">
      <c r="A309" t="s">
        <v>143</v>
      </c>
      <c r="B309" t="s">
        <v>240</v>
      </c>
      <c r="C309" s="3" t="s">
        <v>241</v>
      </c>
      <c r="D309" s="3">
        <v>2.0619999999999998</v>
      </c>
      <c r="E309" s="3" t="s">
        <v>242</v>
      </c>
      <c r="F309" s="3" t="s">
        <v>58</v>
      </c>
      <c r="G309" s="4">
        <v>0.52</v>
      </c>
      <c r="H309" s="4">
        <v>0.5</v>
      </c>
      <c r="I309" t="s">
        <v>275</v>
      </c>
    </row>
    <row r="310" spans="1:9" x14ac:dyDescent="0.25">
      <c r="A310" t="s">
        <v>143</v>
      </c>
      <c r="B310" t="s">
        <v>240</v>
      </c>
      <c r="C310" s="3" t="s">
        <v>265</v>
      </c>
      <c r="D310" s="3">
        <v>2.5</v>
      </c>
      <c r="E310" s="3" t="s">
        <v>242</v>
      </c>
      <c r="F310" s="3" t="s">
        <v>58</v>
      </c>
      <c r="G310" s="4">
        <v>0.52</v>
      </c>
      <c r="H310" s="4">
        <v>0.5</v>
      </c>
      <c r="I310" t="s">
        <v>275</v>
      </c>
    </row>
    <row r="311" spans="1:9" x14ac:dyDescent="0.25">
      <c r="A311" t="s">
        <v>132</v>
      </c>
      <c r="B311" t="s">
        <v>277</v>
      </c>
      <c r="C311" s="3" t="s">
        <v>171</v>
      </c>
      <c r="G311" s="4"/>
      <c r="H311" s="4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Mohd Taufik</cp:lastModifiedBy>
  <dcterms:created xsi:type="dcterms:W3CDTF">2025-03-14T00:05:00Z</dcterms:created>
  <dcterms:modified xsi:type="dcterms:W3CDTF">2025-03-24T03:57:16Z</dcterms:modified>
</cp:coreProperties>
</file>