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Model" sheetId="1" r:id="rId4"/>
  </sheets>
  <definedNames>
    <definedName localSheetId="0" name="Print_Area">'Copy of Model'!$B$1:$O$90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Assumption: Annual Gross Rent, first year
Triangular distribution
   Minimum 180,000
   Likeliest 182,400
   Maximum 200,640
Selected range is 
   from  180,000 to  200,640</t>
      </text>
    </comment>
    <comment authorId="0" ref="C6">
      <text>
        <t xml:space="preserve">Assumption: Vacancy and Collection factor
Triangular distribution
   Minimum 3%
   Likeliest 5%
   Maximum 8%
Selected range is 
   from  3% to  8%</t>
      </text>
    </comment>
    <comment authorId="0" ref="C7">
      <text>
        <t xml:space="preserve">Assumption: Operating Expenses, first year
Triangular distribution
   Minimum 49,986
   Likeliest 55,540
   Maximum 61,094
Selected range is 
   from  49,986 to  61,094</t>
      </text>
    </comment>
    <comment authorId="0" ref="C8">
      <text>
        <t xml:space="preserve">Assumption: Annual % change in rent
Triangular distribution
   Minimum 2.7%
   Likeliest 3.0%
   Maximum 3.3%
Selected range is 
   from  2.7% to  3.3%</t>
      </text>
    </comment>
    <comment authorId="0" ref="C9">
      <text>
        <t xml:space="preserve">Assumption: Annual % change in expenses
Triangular distribution
   Minimum 2.7%
   Likeliest 3.0%
   Maximum 3.3%
Selected range is 
   from  2.7% to  3.3%</t>
      </text>
    </comment>
    <comment authorId="0" ref="C10">
      <text>
        <t xml:space="preserve">Assumption: Loan to Value ratio
Triangular distribution
   Minimum 60.0%
   Likeliest 75.0%
   Maximum 80.0%
Selected range is 
   from  60.0% to  80.0%</t>
      </text>
    </comment>
    <comment authorId="0" ref="C11">
      <text>
        <t xml:space="preserve">Assumption: Stated Annual Interest rate
Normal distribution
   Mean 6.0%
   Standard Dev. 0.8%
Selected range is 
   from  -Infinity to  +Infinity</t>
      </text>
    </comment>
    <comment authorId="0" ref="C12">
      <text>
        <t xml:space="preserve">Assumption: Loan Term (years)
Triangular distribution
   Minimum 20.00
   Likeliest 25.00
   Maximum 30.00
Selected range is 
   from  20.00 to  30.00</t>
      </text>
    </comment>
    <comment authorId="0" ref="B13">
      <text>
        <t xml:space="preserve">William Ferrigno:
This is the percentage of the property that should be depreciated (land should not be depreciated).</t>
      </text>
    </comment>
    <comment authorId="0" ref="C13">
      <text>
        <t xml:space="preserve">Assumption: Percent of price in improvements
Triangular distribution
   Minimum 80.0%
   Likeliest 85.0%
   Maximum 90.0%
Selected range is 
   from  80.0% to  90.0%</t>
      </text>
    </comment>
    <comment authorId="0" ref="C14">
      <text>
        <t xml:space="preserve">Assumption: CPI Annual Increase
Normal distribution
   Mean 3.00%
   Standard Dev. 0.30%
Selected range is 
   from  -Infinity to  +Infinity</t>
      </text>
    </comment>
    <comment authorId="0" ref="C15">
      <text>
        <t xml:space="preserve">Assumption: After tax, Real Discount rate
Normal distribution
   Mean 8.00%
   Standard Dev. 0.80%
Selected range is 
   from  -Infinity to  +Infinity</t>
      </text>
    </comment>
    <comment authorId="0" ref="C16">
      <text>
        <t xml:space="preserve">Assumption: Cap Rate assumed at date of sale
Triangular distribution
   Minimum 7.50%
   Likeliest 7.80%
   Maximum 8.40%
Selected range is 
   from  7.50% to  8.40%</t>
      </text>
    </comment>
    <comment authorId="0" ref="C17">
      <text>
        <t xml:space="preserve">Assumption: Transaction costs as % of sales price
Triangular distribution
   Minimum 7.00%
   Likeliest 9.00%
   Maximum 10.00%
Selected range is 
   from  7.00% to  10.00%</t>
      </text>
    </comment>
    <comment authorId="0" ref="C18">
      <text>
        <t xml:space="preserve">Assumption: Cap Rate at Purchase
Normal distribution
   Mean 9.06%
   Standard Dev. 0.91%
Selected range is 
   from  -Infinity to  +Infinity</t>
      </text>
    </comment>
  </commentList>
</comments>
</file>

<file path=xl/sharedStrings.xml><?xml version="1.0" encoding="utf-8"?>
<sst xmlns="http://schemas.openxmlformats.org/spreadsheetml/2006/main" count="115" uniqueCount="72">
  <si>
    <t>Commercial Real Estate Valuation and Financial Feasibility</t>
  </si>
  <si>
    <t>All numbers and examples are simply samples and should not be taken as financial advice</t>
  </si>
  <si>
    <t>ASSUMPTIONS</t>
  </si>
  <si>
    <t>Annual Gross Rent, first year</t>
  </si>
  <si>
    <t>Vacancy and Collection factor</t>
  </si>
  <si>
    <t>Operating Expenses, first year</t>
  </si>
  <si>
    <t>Annual % change in rent</t>
  </si>
  <si>
    <t>Annual % change in expenses</t>
  </si>
  <si>
    <t>Loan to Value ratio</t>
  </si>
  <si>
    <t>Stated Annual Interest rate</t>
  </si>
  <si>
    <t>Loan Term (years)</t>
  </si>
  <si>
    <t>Percent of price in improvements</t>
  </si>
  <si>
    <t>CPI Annual Increase</t>
  </si>
  <si>
    <t>After tax, Real Discount rate</t>
  </si>
  <si>
    <t>Cap Rate assumed at date of sale</t>
  </si>
  <si>
    <t>Transaction costs as % of sales price</t>
  </si>
  <si>
    <t>Cap Rate at Purchase</t>
  </si>
  <si>
    <t>DEFINED VARIABLES</t>
  </si>
  <si>
    <t>Source</t>
  </si>
  <si>
    <t>Recovery period (years)</t>
  </si>
  <si>
    <t>Omnibus Budget Reconciliation Act of 1993</t>
  </si>
  <si>
    <t>Income tax rate (Corporate)</t>
  </si>
  <si>
    <t>IRS - Varies based on taxable income</t>
  </si>
  <si>
    <t>Capital Gains tax rate</t>
  </si>
  <si>
    <t>IRS - Varies based on income tax bracket</t>
  </si>
  <si>
    <t>Property Valuation:</t>
  </si>
  <si>
    <t>ECONOMIC VALUES, CALCULATED BY MODEL</t>
  </si>
  <si>
    <t>Loan Amount</t>
  </si>
  <si>
    <t>Equity Required</t>
  </si>
  <si>
    <t>Mortgage Loan Constant</t>
  </si>
  <si>
    <t>DECISION ANALYSIS FACTORS</t>
  </si>
  <si>
    <t>year</t>
  </si>
  <si>
    <t>Real Cash Flow to Owner</t>
  </si>
  <si>
    <t>Present Value of Real Cash Flow</t>
  </si>
  <si>
    <t>NPV of Real Cash Flow:</t>
  </si>
  <si>
    <t>After Tax Real Internal Rate of Return:</t>
  </si>
  <si>
    <t>PROFORMA INCOME STATEMENT</t>
  </si>
  <si>
    <t>Annual Gross Rental Income</t>
  </si>
  <si>
    <t>na</t>
  </si>
  <si>
    <t>Vacancy and Collection Losses</t>
  </si>
  <si>
    <t>Effective Rental</t>
  </si>
  <si>
    <t>Operating Expenses</t>
  </si>
  <si>
    <t>Net Operating Income</t>
  </si>
  <si>
    <t>Interest Expense</t>
  </si>
  <si>
    <t>Depreciation (cost recovery)</t>
  </si>
  <si>
    <t>Taxable Income</t>
  </si>
  <si>
    <t>Income Tax Liability</t>
  </si>
  <si>
    <t>Net Income After Tax</t>
  </si>
  <si>
    <t>PROFORMA CASH FLOW STATEMENT</t>
  </si>
  <si>
    <t>Vacancy and Collection Loses</t>
  </si>
  <si>
    <t>Debt Service</t>
  </si>
  <si>
    <t>Equity Dividend (cash to owner)</t>
  </si>
  <si>
    <t>Down Payment/Reversion</t>
  </si>
  <si>
    <t>Total Cash Flow to Owner</t>
  </si>
  <si>
    <t>Purchasing Power Adjustment</t>
  </si>
  <si>
    <t>MORTGAGE LOAN AMORTIZATION SCHEDULE</t>
  </si>
  <si>
    <t>Balance Owed, beginning of year</t>
  </si>
  <si>
    <t>Annual Mortgage Payment</t>
  </si>
  <si>
    <t>Interest Portion of Payment</t>
  </si>
  <si>
    <t>Amortization of principal</t>
  </si>
  <si>
    <t>Balance Owed, end of year</t>
  </si>
  <si>
    <t>ANALYSIS OF REVERSION ON SALE</t>
  </si>
  <si>
    <t>Net Operating Income Projected, Year After Sale (Year 11)</t>
  </si>
  <si>
    <t>Cap Rate At Sale Date</t>
  </si>
  <si>
    <t>Capitalized Value (Sale Price)</t>
  </si>
  <si>
    <t>Transaction Cost</t>
  </si>
  <si>
    <t>Net Sales Price</t>
  </si>
  <si>
    <t>Book Value At Sales Date (cost-dep)</t>
  </si>
  <si>
    <t>Capital Gain ( Net Price - BV)</t>
  </si>
  <si>
    <t>Capital Gains Tax</t>
  </si>
  <si>
    <t>Mortgage Balance Owed</t>
  </si>
  <si>
    <t>Reversion in nominal dollars to owner at sales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</si>
</sst>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_(&quot;$&quot;* #,##0.00_);_(&quot;$&quot;* \(#,##0.00\);_(&quot;$&quot;* &quot;-&quot;??_);_(@_)"/>
    <numFmt numFmtId="166" formatCode="&quot;$&quot;#,##0.00"/>
  </numFmts>
  <fonts count="6">
    <font>
      <sz val="10.0"/>
      <color rgb="FF000000"/>
      <name val="Arial"/>
      <scheme val="minor"/>
    </font>
    <font>
      <sz val="10.0"/>
      <color theme="1"/>
      <name val="Arial"/>
    </font>
    <font>
      <b/>
      <sz val="16.0"/>
      <color rgb="FF000080"/>
      <name val="Arial"/>
    </font>
    <font>
      <b/>
      <sz val="10.0"/>
      <color theme="1"/>
      <name val="Arial"/>
    </font>
    <font>
      <b/>
      <i/>
      <sz val="10.0"/>
      <color theme="1"/>
      <name val="Arial"/>
    </font>
    <font>
      <i/>
      <sz val="8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0" xfId="0" applyAlignment="1" applyFont="1">
      <alignment shrinkToFit="0" wrapText="0"/>
    </xf>
    <xf borderId="0" fillId="2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3" fontId="3" numFmtId="0" xfId="0" applyAlignment="1" applyFill="1" applyFont="1">
      <alignment shrinkToFit="0" wrapText="0"/>
    </xf>
    <xf borderId="0" fillId="2" fontId="3" numFmtId="0" xfId="0" applyAlignment="1" applyFont="1">
      <alignment shrinkToFit="0" wrapText="0"/>
    </xf>
    <xf borderId="0" fillId="2" fontId="3" numFmtId="0" xfId="0" applyAlignment="1" applyFont="1">
      <alignment horizontal="left" shrinkToFit="0" wrapText="0"/>
    </xf>
    <xf borderId="0" fillId="4" fontId="1" numFmtId="37" xfId="0" applyAlignment="1" applyFill="1" applyFont="1" applyNumberFormat="1">
      <alignment readingOrder="0" shrinkToFit="0" wrapText="0"/>
    </xf>
    <xf borderId="0" fillId="4" fontId="1" numFmtId="9" xfId="0" applyAlignment="1" applyFont="1" applyNumberFormat="1">
      <alignment readingOrder="0" shrinkToFit="0" wrapText="0"/>
    </xf>
    <xf borderId="0" fillId="4" fontId="1" numFmtId="164" xfId="0" applyAlignment="1" applyFont="1" applyNumberFormat="1">
      <alignment readingOrder="0" shrinkToFit="0" wrapText="0"/>
    </xf>
    <xf borderId="0" fillId="4" fontId="1" numFmtId="164" xfId="0" applyAlignment="1" applyFont="1" applyNumberFormat="1">
      <alignment shrinkToFit="0" wrapText="0"/>
    </xf>
    <xf borderId="0" fillId="4" fontId="1" numFmtId="0" xfId="0" applyAlignment="1" applyFont="1">
      <alignment readingOrder="0" shrinkToFit="0" wrapText="0"/>
    </xf>
    <xf borderId="0" fillId="2" fontId="3" numFmtId="0" xfId="0" applyAlignment="1" applyFont="1">
      <alignment horizontal="left" shrinkToFit="0" vertical="top" wrapText="1"/>
    </xf>
    <xf borderId="0" fillId="2" fontId="1" numFmtId="164" xfId="0" applyAlignment="1" applyFont="1" applyNumberFormat="1">
      <alignment shrinkToFit="0" wrapText="0"/>
    </xf>
    <xf borderId="0" fillId="2" fontId="4" numFmtId="0" xfId="0" applyAlignment="1" applyFont="1">
      <alignment shrinkToFit="0" wrapText="0"/>
    </xf>
    <xf borderId="0" fillId="2" fontId="1" numFmtId="1" xfId="0" applyAlignment="1" applyFont="1" applyNumberFormat="1">
      <alignment shrinkToFit="0" wrapText="0"/>
    </xf>
    <xf borderId="0" fillId="2" fontId="5" numFmtId="0" xfId="0" applyAlignment="1" applyFont="1">
      <alignment shrinkToFit="0" wrapText="0"/>
    </xf>
    <xf borderId="0" fillId="2" fontId="1" numFmtId="164" xfId="0" applyAlignment="1" applyFont="1" applyNumberFormat="1">
      <alignment readingOrder="0" shrinkToFit="0" wrapText="0"/>
    </xf>
    <xf borderId="0" fillId="2" fontId="1" numFmtId="0" xfId="0" applyAlignment="1" applyFont="1">
      <alignment horizontal="left" shrinkToFit="0" wrapText="0"/>
    </xf>
    <xf borderId="0" fillId="0" fontId="1" numFmtId="10" xfId="0" applyAlignment="1" applyFont="1" applyNumberFormat="1">
      <alignment shrinkToFit="0" wrapText="0"/>
    </xf>
    <xf borderId="0" fillId="5" fontId="3" numFmtId="165" xfId="0" applyAlignment="1" applyFill="1" applyFont="1" applyNumberFormat="1">
      <alignment shrinkToFit="0" wrapText="0"/>
    </xf>
    <xf borderId="0" fillId="2" fontId="1" numFmtId="10" xfId="0" applyAlignment="1" applyFont="1" applyNumberFormat="1">
      <alignment shrinkToFit="0" wrapText="0"/>
    </xf>
    <xf borderId="0" fillId="0" fontId="1" numFmtId="165" xfId="0" applyAlignment="1" applyFont="1" applyNumberFormat="1">
      <alignment shrinkToFit="0" wrapText="0"/>
    </xf>
    <xf borderId="0" fillId="3" fontId="1" numFmtId="165" xfId="0" applyAlignment="1" applyFont="1" applyNumberFormat="1">
      <alignment shrinkToFit="0" wrapText="0"/>
    </xf>
    <xf borderId="0" fillId="2" fontId="1" numFmtId="37" xfId="0" applyAlignment="1" applyFont="1" applyNumberFormat="1">
      <alignment shrinkToFit="0" wrapText="0"/>
    </xf>
    <xf borderId="0" fillId="6" fontId="1" numFmtId="0" xfId="0" applyAlignment="1" applyFill="1" applyFont="1">
      <alignment shrinkToFit="0" wrapText="0"/>
    </xf>
    <xf borderId="0" fillId="2" fontId="4" numFmtId="0" xfId="0" applyAlignment="1" applyFont="1">
      <alignment horizontal="right" shrinkToFit="0" wrapText="0"/>
    </xf>
    <xf borderId="0" fillId="2" fontId="3" numFmtId="3" xfId="0" applyAlignment="1" applyFont="1" applyNumberFormat="1">
      <alignment horizontal="center" shrinkToFit="0" wrapText="0"/>
    </xf>
    <xf borderId="0" fillId="7" fontId="3" numFmtId="3" xfId="0" applyAlignment="1" applyFill="1" applyFont="1" applyNumberFormat="1">
      <alignment horizontal="center" shrinkToFit="0" wrapText="0"/>
    </xf>
    <xf borderId="0" fillId="2" fontId="1" numFmtId="0" xfId="0" applyAlignment="1" applyFont="1">
      <alignment horizontal="center" shrinkToFit="0" wrapText="0"/>
    </xf>
    <xf borderId="0" fillId="7" fontId="1" numFmtId="3" xfId="0" applyAlignment="1" applyFont="1" applyNumberFormat="1">
      <alignment shrinkToFit="0" wrapText="0"/>
    </xf>
    <xf borderId="0" fillId="2" fontId="1" numFmtId="165" xfId="0" applyAlignment="1" applyFont="1" applyNumberFormat="1">
      <alignment shrinkToFit="0" wrapText="0"/>
    </xf>
    <xf borderId="0" fillId="5" fontId="3" numFmtId="10" xfId="0" applyAlignment="1" applyFont="1" applyNumberFormat="1">
      <alignment shrinkToFit="0" wrapText="0"/>
    </xf>
    <xf borderId="0" fillId="2" fontId="1" numFmtId="3" xfId="0" applyAlignment="1" applyFont="1" applyNumberFormat="1">
      <alignment horizontal="center" shrinkToFit="0" wrapText="0"/>
    </xf>
    <xf borderId="0" fillId="7" fontId="1" numFmtId="37" xfId="0" applyAlignment="1" applyFont="1" applyNumberFormat="1">
      <alignment shrinkToFit="0" wrapText="0"/>
    </xf>
    <xf borderId="0" fillId="2" fontId="1" numFmtId="3" xfId="0" applyAlignment="1" applyFont="1" applyNumberFormat="1">
      <alignment shrinkToFit="0" wrapText="0"/>
    </xf>
    <xf borderId="0" fillId="7" fontId="1" numFmtId="37" xfId="0" applyAlignment="1" applyFont="1" applyNumberFormat="1">
      <alignment horizontal="right" shrinkToFit="0" wrapText="0"/>
    </xf>
    <xf borderId="0" fillId="2" fontId="1" numFmtId="37" xfId="0" applyAlignment="1" applyFont="1" applyNumberFormat="1">
      <alignment horizontal="right" shrinkToFit="0" wrapText="0"/>
    </xf>
    <xf borderId="0" fillId="7" fontId="1" numFmtId="3" xfId="0" applyAlignment="1" applyFont="1" applyNumberFormat="1">
      <alignment horizontal="right" shrinkToFit="0" wrapText="0"/>
    </xf>
    <xf borderId="0" fillId="2" fontId="1" numFmtId="37" xfId="0" applyAlignment="1" applyFont="1" applyNumberFormat="1">
      <alignment horizontal="center" shrinkToFit="0" wrapText="0"/>
    </xf>
    <xf borderId="0" fillId="2" fontId="1" numFmtId="9" xfId="0" applyAlignment="1" applyFont="1" applyNumberFormat="1">
      <alignment shrinkToFit="0" wrapText="0"/>
    </xf>
    <xf borderId="0" fillId="2" fontId="1" numFmtId="166" xfId="0" applyAlignment="1" applyFont="1" applyNumberFormat="1">
      <alignment shrinkToFit="0" wrapText="0"/>
    </xf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40.38"/>
    <col customWidth="1" min="3" max="3" width="17.13"/>
    <col customWidth="1" min="4" max="4" width="8.13"/>
    <col customWidth="1" min="5" max="5" width="12.13"/>
    <col customWidth="1" min="6" max="15" width="8.88"/>
    <col customWidth="1" min="16" max="16" width="15.13"/>
    <col customWidth="1" min="17" max="17" width="15.0"/>
    <col customWidth="1" min="18" max="18" width="12.38"/>
    <col customWidth="1" min="19" max="19" width="11.88"/>
    <col customWidth="1" min="20" max="21" width="12.0"/>
    <col customWidth="1" min="22" max="25" width="10.75"/>
    <col customWidth="1" min="26" max="26" width="7.0"/>
  </cols>
  <sheetData>
    <row r="1" ht="20.25" customHeight="1">
      <c r="A1" s="1"/>
      <c r="B1" s="2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4"/>
      <c r="B4" s="5" t="s">
        <v>2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1"/>
      <c r="O4" s="1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1"/>
      <c r="B5" s="7" t="s">
        <v>3</v>
      </c>
      <c r="C5" s="8">
        <v>115000.0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4"/>
      <c r="S5" s="4"/>
      <c r="T5" s="4"/>
      <c r="U5" s="4"/>
      <c r="V5" s="4"/>
      <c r="W5" s="4"/>
      <c r="X5" s="4"/>
      <c r="Y5" s="4"/>
    </row>
    <row r="6" ht="12.75" customHeight="1">
      <c r="A6" s="1"/>
      <c r="B6" s="7" t="s">
        <v>4</v>
      </c>
      <c r="C6" s="9">
        <v>0.0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4"/>
      <c r="S6" s="4"/>
      <c r="T6" s="4"/>
      <c r="U6" s="4"/>
      <c r="V6" s="4"/>
      <c r="W6" s="4"/>
      <c r="X6" s="4"/>
      <c r="Y6" s="4"/>
    </row>
    <row r="7" ht="12.75" customHeight="1">
      <c r="A7" s="1"/>
      <c r="B7" s="7" t="s">
        <v>5</v>
      </c>
      <c r="C7" s="8">
        <v>100000.0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4"/>
      <c r="S7" s="4"/>
      <c r="T7" s="4"/>
      <c r="U7" s="4"/>
      <c r="V7" s="4"/>
      <c r="W7" s="4"/>
      <c r="X7" s="4"/>
      <c r="Y7" s="4"/>
    </row>
    <row r="8" ht="12.75" customHeight="1">
      <c r="A8" s="1"/>
      <c r="B8" s="7" t="s">
        <v>6</v>
      </c>
      <c r="C8" s="10">
        <v>0.04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4"/>
      <c r="S8" s="4"/>
      <c r="T8" s="4"/>
      <c r="U8" s="4"/>
      <c r="V8" s="4"/>
      <c r="W8" s="4"/>
      <c r="X8" s="4"/>
      <c r="Y8" s="4"/>
    </row>
    <row r="9" ht="12.75" customHeight="1">
      <c r="A9" s="1"/>
      <c r="B9" s="7" t="s">
        <v>7</v>
      </c>
      <c r="C9" s="11">
        <v>0.03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4"/>
      <c r="S9" s="4"/>
      <c r="T9" s="4"/>
      <c r="U9" s="4"/>
      <c r="V9" s="4"/>
      <c r="W9" s="4"/>
      <c r="X9" s="4"/>
      <c r="Y9" s="4"/>
    </row>
    <row r="10" ht="12.75" customHeight="1">
      <c r="A10" s="1"/>
      <c r="B10" s="7" t="s">
        <v>8</v>
      </c>
      <c r="C10" s="10">
        <v>0.66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1"/>
      <c r="B11" s="7" t="s">
        <v>9</v>
      </c>
      <c r="C11" s="10">
        <v>0.045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1"/>
      <c r="B12" s="7" t="s">
        <v>10</v>
      </c>
      <c r="C12" s="12">
        <v>3.0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1"/>
      <c r="B13" s="13" t="s">
        <v>11</v>
      </c>
      <c r="C13" s="11">
        <v>0.85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1"/>
      <c r="B14" s="7" t="s">
        <v>12</v>
      </c>
      <c r="C14" s="11">
        <v>0.03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1"/>
      <c r="B15" s="7" t="s">
        <v>13</v>
      </c>
      <c r="C15" s="11">
        <v>0.08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1"/>
      <c r="B16" s="7" t="s">
        <v>14</v>
      </c>
      <c r="C16" s="10">
        <v>0.07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1"/>
      <c r="B17" s="7" t="s">
        <v>15</v>
      </c>
      <c r="C17" s="11">
        <v>0.09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4"/>
      <c r="S17" s="4"/>
      <c r="T17" s="4"/>
      <c r="U17" s="4"/>
      <c r="V17" s="4"/>
      <c r="W17" s="4"/>
      <c r="X17" s="4"/>
      <c r="Y17" s="4"/>
    </row>
    <row r="18" ht="13.5" customHeight="1">
      <c r="A18" s="1"/>
      <c r="B18" s="7" t="s">
        <v>16</v>
      </c>
      <c r="C18" s="10">
        <v>0.1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4"/>
      <c r="S18" s="4"/>
      <c r="T18" s="4"/>
      <c r="U18" s="4"/>
      <c r="V18" s="4"/>
      <c r="W18" s="4"/>
      <c r="X18" s="4"/>
      <c r="Y18" s="4"/>
    </row>
    <row r="19" ht="13.5" customHeight="1">
      <c r="A19" s="1"/>
      <c r="B19" s="7"/>
      <c r="C19" s="1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1"/>
      <c r="B20" s="5" t="s">
        <v>17</v>
      </c>
      <c r="C20" s="5"/>
      <c r="D20" s="15" t="s">
        <v>18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1"/>
      <c r="B21" s="7" t="s">
        <v>19</v>
      </c>
      <c r="C21" s="16">
        <v>39.0</v>
      </c>
      <c r="D21" s="17" t="s">
        <v>20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1"/>
      <c r="B22" s="7" t="s">
        <v>21</v>
      </c>
      <c r="C22" s="18">
        <v>0.098</v>
      </c>
      <c r="D22" s="17" t="s">
        <v>22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1"/>
      <c r="B23" s="7" t="s">
        <v>23</v>
      </c>
      <c r="C23" s="14">
        <f>IF(C22=9.8%,10.1%,15%)</f>
        <v>0.101</v>
      </c>
      <c r="D23" s="17" t="s">
        <v>24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4"/>
      <c r="S23" s="4"/>
      <c r="T23" s="4"/>
      <c r="U23" s="4"/>
      <c r="V23" s="4"/>
      <c r="W23" s="4"/>
      <c r="X23" s="4"/>
      <c r="Y23" s="4"/>
    </row>
    <row r="24" ht="13.5" customHeight="1">
      <c r="A24" s="1"/>
      <c r="B24" s="19"/>
      <c r="C24" s="2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4"/>
      <c r="S24" s="4"/>
      <c r="T24" s="4"/>
      <c r="U24" s="4"/>
      <c r="V24" s="4"/>
      <c r="W24" s="4"/>
      <c r="X24" s="4"/>
      <c r="Y24" s="4"/>
    </row>
    <row r="25" ht="13.5" customHeight="1">
      <c r="A25" s="1"/>
      <c r="B25" s="7" t="s">
        <v>25</v>
      </c>
      <c r="C25" s="21">
        <f>(E47/(C18*100))*100</f>
        <v>150000</v>
      </c>
      <c r="D25" s="2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4"/>
      <c r="S25" s="4"/>
      <c r="T25" s="4"/>
      <c r="U25" s="4"/>
      <c r="V25" s="4"/>
      <c r="W25" s="4"/>
      <c r="X25" s="4"/>
      <c r="Y25" s="4"/>
    </row>
    <row r="26" ht="13.5" customHeight="1">
      <c r="A26" s="1"/>
      <c r="B26" s="1"/>
      <c r="C26" s="2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1"/>
      <c r="B27" s="5" t="s">
        <v>26</v>
      </c>
      <c r="C27" s="24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1"/>
      <c r="B28" s="7" t="s">
        <v>27</v>
      </c>
      <c r="C28" s="25">
        <f>C10*C25</f>
        <v>99000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1"/>
      <c r="B29" s="7" t="s">
        <v>28</v>
      </c>
      <c r="C29" s="25">
        <f>C25-C28</f>
        <v>51000</v>
      </c>
      <c r="D29" s="1"/>
      <c r="E29" s="1"/>
      <c r="F29" s="2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1"/>
      <c r="B30" s="7" t="s">
        <v>29</v>
      </c>
      <c r="C30" s="22">
        <f>(C11/((1-(1/(1+C11)^C12))))</f>
        <v>0.3637733601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1"/>
      <c r="B33" s="5" t="s">
        <v>30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1"/>
      <c r="B34" s="1"/>
      <c r="C34" s="27" t="s">
        <v>31</v>
      </c>
      <c r="D34" s="28">
        <v>0.0</v>
      </c>
      <c r="E34" s="28">
        <v>1.0</v>
      </c>
      <c r="F34" s="28">
        <v>2.0</v>
      </c>
      <c r="G34" s="28">
        <v>3.0</v>
      </c>
      <c r="H34" s="28">
        <v>4.0</v>
      </c>
      <c r="I34" s="28">
        <v>5.0</v>
      </c>
      <c r="J34" s="28">
        <v>6.0</v>
      </c>
      <c r="K34" s="28">
        <v>7.0</v>
      </c>
      <c r="L34" s="28">
        <v>8.0</v>
      </c>
      <c r="M34" s="28">
        <v>9.0</v>
      </c>
      <c r="N34" s="28">
        <v>10.0</v>
      </c>
      <c r="O34" s="29">
        <v>11.0</v>
      </c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2.75" customHeight="1">
      <c r="A35" s="1"/>
      <c r="B35" s="7" t="s">
        <v>32</v>
      </c>
      <c r="C35" s="1"/>
      <c r="D35" s="25">
        <f t="shared" ref="D35:N35" si="1">D68</f>
        <v>-51000</v>
      </c>
      <c r="E35" s="25">
        <f t="shared" si="1"/>
        <v>22071.27375</v>
      </c>
      <c r="F35" s="25">
        <f t="shared" si="1"/>
        <v>208470.6137</v>
      </c>
      <c r="G35" s="25">
        <f t="shared" si="1"/>
        <v>145391.317</v>
      </c>
      <c r="H35" s="25">
        <f t="shared" si="1"/>
        <v>143715.4851</v>
      </c>
      <c r="I35" s="25">
        <f t="shared" si="1"/>
        <v>142125.2094</v>
      </c>
      <c r="J35" s="25">
        <f t="shared" si="1"/>
        <v>140618.345</v>
      </c>
      <c r="K35" s="25">
        <f t="shared" si="1"/>
        <v>139192.813</v>
      </c>
      <c r="L35" s="25">
        <f t="shared" si="1"/>
        <v>137846.5981</v>
      </c>
      <c r="M35" s="25">
        <f t="shared" si="1"/>
        <v>136577.7471</v>
      </c>
      <c r="N35" s="25">
        <f t="shared" si="1"/>
        <v>670735.3464</v>
      </c>
      <c r="O35" s="31">
        <v>0.0</v>
      </c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2.75" customHeight="1">
      <c r="A36" s="1"/>
      <c r="B36" s="7" t="s">
        <v>33</v>
      </c>
      <c r="C36" s="1"/>
      <c r="D36" s="25">
        <f t="shared" ref="D36:O36" si="2">D35/((1+$C$15)^D34)</f>
        <v>-51000</v>
      </c>
      <c r="E36" s="25">
        <f t="shared" si="2"/>
        <v>20436.36459</v>
      </c>
      <c r="F36" s="25">
        <f t="shared" si="2"/>
        <v>178729.9501</v>
      </c>
      <c r="G36" s="25">
        <f t="shared" si="2"/>
        <v>115416.315</v>
      </c>
      <c r="H36" s="25">
        <f t="shared" si="2"/>
        <v>105635.1719</v>
      </c>
      <c r="I36" s="25">
        <f t="shared" si="2"/>
        <v>96728.0294</v>
      </c>
      <c r="J36" s="25">
        <f t="shared" si="2"/>
        <v>88613.41002</v>
      </c>
      <c r="K36" s="25">
        <f t="shared" si="2"/>
        <v>81217.66947</v>
      </c>
      <c r="L36" s="25">
        <f t="shared" si="2"/>
        <v>74474.22778</v>
      </c>
      <c r="M36" s="25">
        <f t="shared" si="2"/>
        <v>68322.87692</v>
      </c>
      <c r="N36" s="25">
        <f t="shared" si="2"/>
        <v>310680.2447</v>
      </c>
      <c r="O36" s="31">
        <f t="shared" si="2"/>
        <v>0</v>
      </c>
      <c r="P36" s="1"/>
      <c r="Q36" s="1"/>
      <c r="R36" s="4"/>
      <c r="S36" s="4"/>
      <c r="T36" s="4"/>
      <c r="U36" s="4"/>
      <c r="V36" s="4"/>
      <c r="W36" s="4"/>
      <c r="X36" s="4"/>
      <c r="Y36" s="4"/>
    </row>
    <row r="37" ht="13.5" customHeight="1">
      <c r="A37" s="1"/>
      <c r="B37" s="1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1"/>
      <c r="B38" s="7" t="s">
        <v>34</v>
      </c>
      <c r="C38" s="21">
        <f>SUM(D36:N36)</f>
        <v>1089254.26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4"/>
      <c r="S38" s="4"/>
      <c r="T38" s="4"/>
      <c r="U38" s="4"/>
      <c r="V38" s="4"/>
      <c r="W38" s="4"/>
      <c r="X38" s="4"/>
      <c r="Y38" s="4"/>
    </row>
    <row r="39" ht="13.5" customHeight="1">
      <c r="A39" s="1"/>
      <c r="B39" s="7" t="s">
        <v>35</v>
      </c>
      <c r="C39" s="33">
        <f>IRR(D35:N35,C11)</f>
        <v>1.63844156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4"/>
      <c r="S39" s="4"/>
      <c r="T39" s="4"/>
      <c r="U39" s="4"/>
      <c r="V39" s="4"/>
      <c r="W39" s="4"/>
      <c r="X39" s="4"/>
      <c r="Y39" s="4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1"/>
      <c r="B41" s="5" t="s">
        <v>36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1"/>
      <c r="Q41" s="1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1"/>
      <c r="B42" s="1"/>
      <c r="C42" s="27" t="s">
        <v>31</v>
      </c>
      <c r="D42" s="28">
        <v>0.0</v>
      </c>
      <c r="E42" s="28">
        <v>1.0</v>
      </c>
      <c r="F42" s="28">
        <v>2.0</v>
      </c>
      <c r="G42" s="28">
        <v>3.0</v>
      </c>
      <c r="H42" s="28">
        <v>4.0</v>
      </c>
      <c r="I42" s="28">
        <v>5.0</v>
      </c>
      <c r="J42" s="28">
        <v>6.0</v>
      </c>
      <c r="K42" s="28">
        <v>7.0</v>
      </c>
      <c r="L42" s="28">
        <v>8.0</v>
      </c>
      <c r="M42" s="28">
        <v>9.0</v>
      </c>
      <c r="N42" s="28">
        <v>10.0</v>
      </c>
      <c r="O42" s="29">
        <v>11.0</v>
      </c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2.75" customHeight="1">
      <c r="A43" s="1"/>
      <c r="B43" s="7" t="s">
        <v>37</v>
      </c>
      <c r="C43" s="1"/>
      <c r="D43" s="34" t="s">
        <v>38</v>
      </c>
      <c r="E43" s="25">
        <f>C5</f>
        <v>115000</v>
      </c>
      <c r="F43" s="25">
        <f t="shared" ref="F43:O43" si="3">E43*(1+$C$8)</f>
        <v>119600</v>
      </c>
      <c r="G43" s="25">
        <f t="shared" si="3"/>
        <v>124384</v>
      </c>
      <c r="H43" s="25">
        <f t="shared" si="3"/>
        <v>129359.36</v>
      </c>
      <c r="I43" s="25">
        <f t="shared" si="3"/>
        <v>134533.7344</v>
      </c>
      <c r="J43" s="25">
        <f t="shared" si="3"/>
        <v>139915.0838</v>
      </c>
      <c r="K43" s="25">
        <f t="shared" si="3"/>
        <v>145511.6871</v>
      </c>
      <c r="L43" s="25">
        <f t="shared" si="3"/>
        <v>151332.1546</v>
      </c>
      <c r="M43" s="25">
        <f t="shared" si="3"/>
        <v>157385.4408</v>
      </c>
      <c r="N43" s="25">
        <f t="shared" si="3"/>
        <v>163680.8584</v>
      </c>
      <c r="O43" s="35">
        <f t="shared" si="3"/>
        <v>170228.0928</v>
      </c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2.75" customHeight="1">
      <c r="A44" s="1"/>
      <c r="B44" s="7" t="s">
        <v>39</v>
      </c>
      <c r="C44" s="1"/>
      <c r="D44" s="34" t="s">
        <v>38</v>
      </c>
      <c r="E44" s="25">
        <f t="shared" ref="E44:O44" si="4">-(E43*$C$6)</f>
        <v>0</v>
      </c>
      <c r="F44" s="25">
        <f t="shared" si="4"/>
        <v>0</v>
      </c>
      <c r="G44" s="25">
        <f t="shared" si="4"/>
        <v>0</v>
      </c>
      <c r="H44" s="25">
        <f t="shared" si="4"/>
        <v>0</v>
      </c>
      <c r="I44" s="25">
        <f t="shared" si="4"/>
        <v>0</v>
      </c>
      <c r="J44" s="25">
        <f t="shared" si="4"/>
        <v>0</v>
      </c>
      <c r="K44" s="25">
        <f t="shared" si="4"/>
        <v>0</v>
      </c>
      <c r="L44" s="25">
        <f t="shared" si="4"/>
        <v>0</v>
      </c>
      <c r="M44" s="25">
        <f t="shared" si="4"/>
        <v>0</v>
      </c>
      <c r="N44" s="25">
        <f t="shared" si="4"/>
        <v>0</v>
      </c>
      <c r="O44" s="35">
        <f t="shared" si="4"/>
        <v>0</v>
      </c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2.75" customHeight="1">
      <c r="A45" s="1"/>
      <c r="B45" s="7" t="s">
        <v>40</v>
      </c>
      <c r="C45" s="1"/>
      <c r="D45" s="34" t="s">
        <v>38</v>
      </c>
      <c r="E45" s="25">
        <f t="shared" ref="E45:O45" si="5">E43+E44</f>
        <v>115000</v>
      </c>
      <c r="F45" s="25">
        <f t="shared" si="5"/>
        <v>119600</v>
      </c>
      <c r="G45" s="25">
        <f t="shared" si="5"/>
        <v>124384</v>
      </c>
      <c r="H45" s="25">
        <f t="shared" si="5"/>
        <v>129359.36</v>
      </c>
      <c r="I45" s="25">
        <f t="shared" si="5"/>
        <v>134533.7344</v>
      </c>
      <c r="J45" s="25">
        <f t="shared" si="5"/>
        <v>139915.0838</v>
      </c>
      <c r="K45" s="25">
        <f t="shared" si="5"/>
        <v>145511.6871</v>
      </c>
      <c r="L45" s="25">
        <f t="shared" si="5"/>
        <v>151332.1546</v>
      </c>
      <c r="M45" s="25">
        <f t="shared" si="5"/>
        <v>157385.4408</v>
      </c>
      <c r="N45" s="25">
        <f t="shared" si="5"/>
        <v>163680.8584</v>
      </c>
      <c r="O45" s="35">
        <f t="shared" si="5"/>
        <v>170228.0928</v>
      </c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2.75" customHeight="1">
      <c r="A46" s="1"/>
      <c r="B46" s="7" t="s">
        <v>41</v>
      </c>
      <c r="C46" s="1"/>
      <c r="D46" s="34" t="s">
        <v>38</v>
      </c>
      <c r="E46" s="25">
        <f>-C7</f>
        <v>-100000</v>
      </c>
      <c r="F46" s="25">
        <f t="shared" ref="F46:O46" si="6">E46*(1+$C$9)</f>
        <v>-103000</v>
      </c>
      <c r="G46" s="25">
        <f t="shared" si="6"/>
        <v>-106090</v>
      </c>
      <c r="H46" s="25">
        <f t="shared" si="6"/>
        <v>-109272.7</v>
      </c>
      <c r="I46" s="25">
        <f t="shared" si="6"/>
        <v>-112550.881</v>
      </c>
      <c r="J46" s="25">
        <f t="shared" si="6"/>
        <v>-115927.4074</v>
      </c>
      <c r="K46" s="25">
        <f t="shared" si="6"/>
        <v>-119405.2297</v>
      </c>
      <c r="L46" s="25">
        <f t="shared" si="6"/>
        <v>-122987.3865</v>
      </c>
      <c r="M46" s="25">
        <f t="shared" si="6"/>
        <v>-126677.0081</v>
      </c>
      <c r="N46" s="25">
        <f t="shared" si="6"/>
        <v>-130477.3184</v>
      </c>
      <c r="O46" s="35">
        <f t="shared" si="6"/>
        <v>-134391.6379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7" t="s">
        <v>42</v>
      </c>
      <c r="C47" s="1"/>
      <c r="D47" s="34" t="s">
        <v>38</v>
      </c>
      <c r="E47" s="25">
        <f t="shared" ref="E47:O47" si="7">SUM(E45:E46)</f>
        <v>15000</v>
      </c>
      <c r="F47" s="25">
        <f t="shared" si="7"/>
        <v>16600</v>
      </c>
      <c r="G47" s="25">
        <f t="shared" si="7"/>
        <v>18294</v>
      </c>
      <c r="H47" s="25">
        <f t="shared" si="7"/>
        <v>20086.66</v>
      </c>
      <c r="I47" s="25">
        <f t="shared" si="7"/>
        <v>21982.8534</v>
      </c>
      <c r="J47" s="25">
        <f t="shared" si="7"/>
        <v>23987.67635</v>
      </c>
      <c r="K47" s="25">
        <f t="shared" si="7"/>
        <v>26106.45747</v>
      </c>
      <c r="L47" s="25">
        <f t="shared" si="7"/>
        <v>28344.76807</v>
      </c>
      <c r="M47" s="25">
        <f t="shared" si="7"/>
        <v>30708.43266</v>
      </c>
      <c r="N47" s="25">
        <f t="shared" si="7"/>
        <v>33203.54005</v>
      </c>
      <c r="O47" s="35">
        <f t="shared" si="7"/>
        <v>35836.45483</v>
      </c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2.75" customHeight="1">
      <c r="A48" s="1"/>
      <c r="B48" s="7" t="s">
        <v>43</v>
      </c>
      <c r="C48" s="1"/>
      <c r="D48" s="34" t="s">
        <v>38</v>
      </c>
      <c r="E48" s="25">
        <f t="shared" ref="E48:O48" si="8">E75</f>
        <v>-4455</v>
      </c>
      <c r="F48" s="25">
        <f t="shared" si="8"/>
        <v>-3034.864681</v>
      </c>
      <c r="G48" s="25">
        <f t="shared" si="8"/>
        <v>-1550.823272</v>
      </c>
      <c r="H48" s="25">
        <f t="shared" si="8"/>
        <v>0</v>
      </c>
      <c r="I48" s="25">
        <f t="shared" si="8"/>
        <v>1620.610319</v>
      </c>
      <c r="J48" s="25">
        <f t="shared" si="8"/>
        <v>3314.148103</v>
      </c>
      <c r="K48" s="25">
        <f t="shared" si="8"/>
        <v>5083.895087</v>
      </c>
      <c r="L48" s="25">
        <f t="shared" si="8"/>
        <v>6933.280685</v>
      </c>
      <c r="M48" s="25">
        <f t="shared" si="8"/>
        <v>8865.888635</v>
      </c>
      <c r="N48" s="25">
        <f t="shared" si="8"/>
        <v>10885.46394</v>
      </c>
      <c r="O48" s="35">
        <f t="shared" si="8"/>
        <v>12995.92014</v>
      </c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2.75" customHeight="1">
      <c r="A49" s="1"/>
      <c r="B49" s="7" t="s">
        <v>44</v>
      </c>
      <c r="C49" s="1"/>
      <c r="D49" s="34" t="s">
        <v>38</v>
      </c>
      <c r="E49" s="25">
        <f>(C25*C13)/-C21</f>
        <v>-3269.230769</v>
      </c>
      <c r="F49" s="25">
        <f t="shared" ref="F49:O49" si="9">E49</f>
        <v>-3269.230769</v>
      </c>
      <c r="G49" s="25">
        <f t="shared" si="9"/>
        <v>-3269.230769</v>
      </c>
      <c r="H49" s="25">
        <f t="shared" si="9"/>
        <v>-3269.230769</v>
      </c>
      <c r="I49" s="25">
        <f t="shared" si="9"/>
        <v>-3269.230769</v>
      </c>
      <c r="J49" s="25">
        <f t="shared" si="9"/>
        <v>-3269.230769</v>
      </c>
      <c r="K49" s="25">
        <f t="shared" si="9"/>
        <v>-3269.230769</v>
      </c>
      <c r="L49" s="25">
        <f t="shared" si="9"/>
        <v>-3269.230769</v>
      </c>
      <c r="M49" s="25">
        <f t="shared" si="9"/>
        <v>-3269.230769</v>
      </c>
      <c r="N49" s="25">
        <f t="shared" si="9"/>
        <v>-3269.230769</v>
      </c>
      <c r="O49" s="35">
        <f t="shared" si="9"/>
        <v>-3269.230769</v>
      </c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2.75" customHeight="1">
      <c r="A50" s="1"/>
      <c r="B50" s="7" t="s">
        <v>45</v>
      </c>
      <c r="C50" s="1"/>
      <c r="D50" s="34" t="s">
        <v>38</v>
      </c>
      <c r="E50" s="25">
        <f t="shared" ref="E50:O50" si="10">E47+E48+E49</f>
        <v>7275.769231</v>
      </c>
      <c r="F50" s="25">
        <f t="shared" si="10"/>
        <v>10295.90455</v>
      </c>
      <c r="G50" s="25">
        <f t="shared" si="10"/>
        <v>13473.94596</v>
      </c>
      <c r="H50" s="25">
        <f t="shared" si="10"/>
        <v>16817.42923</v>
      </c>
      <c r="I50" s="25">
        <f t="shared" si="10"/>
        <v>20334.23295</v>
      </c>
      <c r="J50" s="25">
        <f t="shared" si="10"/>
        <v>24032.59368</v>
      </c>
      <c r="K50" s="25">
        <f t="shared" si="10"/>
        <v>27921.12179</v>
      </c>
      <c r="L50" s="25">
        <f t="shared" si="10"/>
        <v>32008.81799</v>
      </c>
      <c r="M50" s="25">
        <f t="shared" si="10"/>
        <v>36305.09052</v>
      </c>
      <c r="N50" s="25">
        <f t="shared" si="10"/>
        <v>40819.77322</v>
      </c>
      <c r="O50" s="35">
        <f t="shared" si="10"/>
        <v>45563.1442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2.75" customHeight="1">
      <c r="A51" s="1"/>
      <c r="B51" s="7" t="s">
        <v>46</v>
      </c>
      <c r="C51" s="1"/>
      <c r="D51" s="34" t="s">
        <v>38</v>
      </c>
      <c r="E51" s="25">
        <f t="shared" ref="E51:O51" si="11">($C$22*-E50)</f>
        <v>-713.0253846</v>
      </c>
      <c r="F51" s="25">
        <f t="shared" si="11"/>
        <v>-1008.998646</v>
      </c>
      <c r="G51" s="25">
        <f t="shared" si="11"/>
        <v>-1320.446704</v>
      </c>
      <c r="H51" s="25">
        <f t="shared" si="11"/>
        <v>-1648.108065</v>
      </c>
      <c r="I51" s="25">
        <f t="shared" si="11"/>
        <v>-1992.754829</v>
      </c>
      <c r="J51" s="25">
        <f t="shared" si="11"/>
        <v>-2355.194181</v>
      </c>
      <c r="K51" s="25">
        <f t="shared" si="11"/>
        <v>-2736.269936</v>
      </c>
      <c r="L51" s="25">
        <f t="shared" si="11"/>
        <v>-3136.864163</v>
      </c>
      <c r="M51" s="25">
        <f t="shared" si="11"/>
        <v>-3557.898871</v>
      </c>
      <c r="N51" s="25">
        <f t="shared" si="11"/>
        <v>-4000.337775</v>
      </c>
      <c r="O51" s="35">
        <f t="shared" si="11"/>
        <v>-4465.188132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2.75" customHeight="1">
      <c r="A52" s="1"/>
      <c r="B52" s="7" t="s">
        <v>47</v>
      </c>
      <c r="C52" s="1"/>
      <c r="D52" s="34" t="s">
        <v>38</v>
      </c>
      <c r="E52" s="25">
        <f t="shared" ref="E52:O52" si="12">E50+E51</f>
        <v>6562.743846</v>
      </c>
      <c r="F52" s="25">
        <f t="shared" si="12"/>
        <v>9286.905904</v>
      </c>
      <c r="G52" s="25">
        <f t="shared" si="12"/>
        <v>12153.49925</v>
      </c>
      <c r="H52" s="25">
        <f t="shared" si="12"/>
        <v>15169.32117</v>
      </c>
      <c r="I52" s="25">
        <f t="shared" si="12"/>
        <v>18341.47812</v>
      </c>
      <c r="J52" s="25">
        <f t="shared" si="12"/>
        <v>21677.3995</v>
      </c>
      <c r="K52" s="25">
        <f t="shared" si="12"/>
        <v>25184.85186</v>
      </c>
      <c r="L52" s="25">
        <f t="shared" si="12"/>
        <v>28871.95382</v>
      </c>
      <c r="M52" s="25">
        <f t="shared" si="12"/>
        <v>32747.19165</v>
      </c>
      <c r="N52" s="25">
        <f t="shared" si="12"/>
        <v>36819.43544</v>
      </c>
      <c r="O52" s="35">
        <f t="shared" si="12"/>
        <v>41097.95607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2.75" customHeight="1">
      <c r="A53" s="1"/>
      <c r="B53" s="1"/>
      <c r="C53" s="1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5" t="s">
        <v>48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1"/>
      <c r="Q55" s="1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1"/>
      <c r="B56" s="1"/>
      <c r="C56" s="27" t="s">
        <v>31</v>
      </c>
      <c r="D56" s="28">
        <v>0.0</v>
      </c>
      <c r="E56" s="28">
        <v>1.0</v>
      </c>
      <c r="F56" s="28">
        <v>2.0</v>
      </c>
      <c r="G56" s="28">
        <v>3.0</v>
      </c>
      <c r="H56" s="28">
        <v>4.0</v>
      </c>
      <c r="I56" s="28">
        <v>5.0</v>
      </c>
      <c r="J56" s="28">
        <v>6.0</v>
      </c>
      <c r="K56" s="28">
        <v>7.0</v>
      </c>
      <c r="L56" s="28">
        <v>8.0</v>
      </c>
      <c r="M56" s="28">
        <v>9.0</v>
      </c>
      <c r="N56" s="28">
        <v>10.0</v>
      </c>
      <c r="O56" s="29">
        <v>11.0</v>
      </c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2.75" customHeight="1">
      <c r="A57" s="1"/>
      <c r="B57" s="7" t="s">
        <v>37</v>
      </c>
      <c r="C57" s="1"/>
      <c r="D57" s="34" t="s">
        <v>38</v>
      </c>
      <c r="E57" s="25">
        <f t="shared" ref="E57:O57" si="13">E43</f>
        <v>115000</v>
      </c>
      <c r="F57" s="25">
        <f t="shared" si="13"/>
        <v>119600</v>
      </c>
      <c r="G57" s="25">
        <f t="shared" si="13"/>
        <v>124384</v>
      </c>
      <c r="H57" s="25">
        <f t="shared" si="13"/>
        <v>129359.36</v>
      </c>
      <c r="I57" s="25">
        <f t="shared" si="13"/>
        <v>134533.7344</v>
      </c>
      <c r="J57" s="25">
        <f t="shared" si="13"/>
        <v>139915.0838</v>
      </c>
      <c r="K57" s="25">
        <f t="shared" si="13"/>
        <v>145511.6871</v>
      </c>
      <c r="L57" s="25">
        <f t="shared" si="13"/>
        <v>151332.1546</v>
      </c>
      <c r="M57" s="25">
        <f t="shared" si="13"/>
        <v>157385.4408</v>
      </c>
      <c r="N57" s="25">
        <f t="shared" si="13"/>
        <v>163680.8584</v>
      </c>
      <c r="O57" s="35">
        <f t="shared" si="13"/>
        <v>170228.0928</v>
      </c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2.75" customHeight="1">
      <c r="A58" s="1"/>
      <c r="B58" s="7" t="s">
        <v>49</v>
      </c>
      <c r="C58" s="1"/>
      <c r="D58" s="34" t="s">
        <v>38</v>
      </c>
      <c r="E58" s="25">
        <f t="shared" ref="E58:O58" si="14">E44</f>
        <v>0</v>
      </c>
      <c r="F58" s="25">
        <f t="shared" si="14"/>
        <v>0</v>
      </c>
      <c r="G58" s="25">
        <f t="shared" si="14"/>
        <v>0</v>
      </c>
      <c r="H58" s="25">
        <f t="shared" si="14"/>
        <v>0</v>
      </c>
      <c r="I58" s="25">
        <f t="shared" si="14"/>
        <v>0</v>
      </c>
      <c r="J58" s="25">
        <f t="shared" si="14"/>
        <v>0</v>
      </c>
      <c r="K58" s="25">
        <f t="shared" si="14"/>
        <v>0</v>
      </c>
      <c r="L58" s="25">
        <f t="shared" si="14"/>
        <v>0</v>
      </c>
      <c r="M58" s="25">
        <f t="shared" si="14"/>
        <v>0</v>
      </c>
      <c r="N58" s="25">
        <f t="shared" si="14"/>
        <v>0</v>
      </c>
      <c r="O58" s="35">
        <f t="shared" si="14"/>
        <v>0</v>
      </c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2.75" customHeight="1">
      <c r="A59" s="1"/>
      <c r="B59" s="7" t="s">
        <v>40</v>
      </c>
      <c r="C59" s="1"/>
      <c r="D59" s="34" t="s">
        <v>38</v>
      </c>
      <c r="E59" s="25">
        <f t="shared" ref="E59:O59" si="15">E45</f>
        <v>115000</v>
      </c>
      <c r="F59" s="25">
        <f t="shared" si="15"/>
        <v>119600</v>
      </c>
      <c r="G59" s="25">
        <f t="shared" si="15"/>
        <v>124384</v>
      </c>
      <c r="H59" s="25">
        <f t="shared" si="15"/>
        <v>129359.36</v>
      </c>
      <c r="I59" s="25">
        <f t="shared" si="15"/>
        <v>134533.7344</v>
      </c>
      <c r="J59" s="25">
        <f t="shared" si="15"/>
        <v>139915.0838</v>
      </c>
      <c r="K59" s="25">
        <f t="shared" si="15"/>
        <v>145511.6871</v>
      </c>
      <c r="L59" s="25">
        <f t="shared" si="15"/>
        <v>151332.1546</v>
      </c>
      <c r="M59" s="25">
        <f t="shared" si="15"/>
        <v>157385.4408</v>
      </c>
      <c r="N59" s="25">
        <f t="shared" si="15"/>
        <v>163680.8584</v>
      </c>
      <c r="O59" s="35">
        <f t="shared" si="15"/>
        <v>170228.0928</v>
      </c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2.75" customHeight="1">
      <c r="A60" s="1"/>
      <c r="B60" s="7" t="s">
        <v>41</v>
      </c>
      <c r="C60" s="1"/>
      <c r="D60" s="34" t="s">
        <v>38</v>
      </c>
      <c r="E60" s="25">
        <v>-55540.0</v>
      </c>
      <c r="F60" s="25">
        <f t="shared" ref="F60:O60" si="16">E60*(1+$C$9)</f>
        <v>-57206.2</v>
      </c>
      <c r="G60" s="25">
        <f t="shared" si="16"/>
        <v>-58922.386</v>
      </c>
      <c r="H60" s="25">
        <f t="shared" si="16"/>
        <v>-60690.05758</v>
      </c>
      <c r="I60" s="25">
        <f t="shared" si="16"/>
        <v>-62510.75931</v>
      </c>
      <c r="J60" s="25">
        <f t="shared" si="16"/>
        <v>-64386.08209</v>
      </c>
      <c r="K60" s="25">
        <f t="shared" si="16"/>
        <v>-66317.66455</v>
      </c>
      <c r="L60" s="25">
        <f t="shared" si="16"/>
        <v>-68307.19449</v>
      </c>
      <c r="M60" s="25">
        <f t="shared" si="16"/>
        <v>-70356.41032</v>
      </c>
      <c r="N60" s="25">
        <f t="shared" si="16"/>
        <v>-72467.10263</v>
      </c>
      <c r="O60" s="35">
        <f t="shared" si="16"/>
        <v>-74641.11571</v>
      </c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2.75" customHeight="1">
      <c r="A61" s="1"/>
      <c r="B61" s="7" t="s">
        <v>42</v>
      </c>
      <c r="C61" s="1"/>
      <c r="D61" s="34" t="s">
        <v>38</v>
      </c>
      <c r="E61" s="25">
        <f>SUM(E59:E60)</f>
        <v>59460</v>
      </c>
      <c r="F61" s="25">
        <v>127443.62246419974</v>
      </c>
      <c r="G61" s="25">
        <f t="shared" ref="G61:O61" si="17">SUM(G59:G60)</f>
        <v>65461.614</v>
      </c>
      <c r="H61" s="25">
        <f t="shared" si="17"/>
        <v>68669.30242</v>
      </c>
      <c r="I61" s="25">
        <f t="shared" si="17"/>
        <v>72022.97509</v>
      </c>
      <c r="J61" s="25">
        <f t="shared" si="17"/>
        <v>75529.00169</v>
      </c>
      <c r="K61" s="25">
        <f t="shared" si="17"/>
        <v>79194.02258</v>
      </c>
      <c r="L61" s="25">
        <f t="shared" si="17"/>
        <v>83024.96013</v>
      </c>
      <c r="M61" s="25">
        <f t="shared" si="17"/>
        <v>87029.03048</v>
      </c>
      <c r="N61" s="25">
        <f t="shared" si="17"/>
        <v>91213.7558</v>
      </c>
      <c r="O61" s="35">
        <f t="shared" si="17"/>
        <v>95586.97706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2.75" customHeight="1">
      <c r="A62" s="1"/>
      <c r="B62" s="7" t="s">
        <v>50</v>
      </c>
      <c r="C62" s="1"/>
      <c r="D62" s="34" t="s">
        <v>38</v>
      </c>
      <c r="E62" s="25">
        <f>(-E74)</f>
        <v>-36013.56265</v>
      </c>
      <c r="F62" s="25">
        <v>94731.85030681547</v>
      </c>
      <c r="G62" s="25">
        <f t="shared" ref="G62:N62" si="18">F62</f>
        <v>94731.85031</v>
      </c>
      <c r="H62" s="25">
        <f t="shared" si="18"/>
        <v>94731.85031</v>
      </c>
      <c r="I62" s="25">
        <f t="shared" si="18"/>
        <v>94731.85031</v>
      </c>
      <c r="J62" s="25">
        <f t="shared" si="18"/>
        <v>94731.85031</v>
      </c>
      <c r="K62" s="25">
        <f t="shared" si="18"/>
        <v>94731.85031</v>
      </c>
      <c r="L62" s="25">
        <f t="shared" si="18"/>
        <v>94731.85031</v>
      </c>
      <c r="M62" s="25">
        <f t="shared" si="18"/>
        <v>94731.85031</v>
      </c>
      <c r="N62" s="25">
        <f t="shared" si="18"/>
        <v>94731.85031</v>
      </c>
      <c r="O62" s="37" t="s">
        <v>38</v>
      </c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2.75" customHeight="1">
      <c r="A63" s="1"/>
      <c r="B63" s="7" t="s">
        <v>46</v>
      </c>
      <c r="C63" s="1"/>
      <c r="D63" s="34" t="s">
        <v>38</v>
      </c>
      <c r="E63" s="25">
        <f t="shared" ref="E63:N63" si="19">E51</f>
        <v>-713.0253846</v>
      </c>
      <c r="F63" s="25">
        <f t="shared" si="19"/>
        <v>-1008.998646</v>
      </c>
      <c r="G63" s="25">
        <f t="shared" si="19"/>
        <v>-1320.446704</v>
      </c>
      <c r="H63" s="25">
        <f t="shared" si="19"/>
        <v>-1648.108065</v>
      </c>
      <c r="I63" s="25">
        <f t="shared" si="19"/>
        <v>-1992.754829</v>
      </c>
      <c r="J63" s="25">
        <f t="shared" si="19"/>
        <v>-2355.194181</v>
      </c>
      <c r="K63" s="25">
        <f t="shared" si="19"/>
        <v>-2736.269936</v>
      </c>
      <c r="L63" s="25">
        <f t="shared" si="19"/>
        <v>-3136.864163</v>
      </c>
      <c r="M63" s="25">
        <f t="shared" si="19"/>
        <v>-3557.898871</v>
      </c>
      <c r="N63" s="25">
        <f t="shared" si="19"/>
        <v>-4000.337775</v>
      </c>
      <c r="O63" s="37" t="s">
        <v>38</v>
      </c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2.75" customHeight="1">
      <c r="A64" s="1"/>
      <c r="B64" s="7" t="s">
        <v>51</v>
      </c>
      <c r="C64" s="1"/>
      <c r="D64" s="34" t="s">
        <v>38</v>
      </c>
      <c r="E64" s="25">
        <f t="shared" ref="E64:N64" si="20">E61+E62+E63</f>
        <v>22733.41196</v>
      </c>
      <c r="F64" s="25">
        <f t="shared" si="20"/>
        <v>221166.4741</v>
      </c>
      <c r="G64" s="25">
        <f t="shared" si="20"/>
        <v>158873.0176</v>
      </c>
      <c r="H64" s="25">
        <f t="shared" si="20"/>
        <v>161753.0447</v>
      </c>
      <c r="I64" s="25">
        <f t="shared" si="20"/>
        <v>164762.0706</v>
      </c>
      <c r="J64" s="25">
        <f t="shared" si="20"/>
        <v>167905.6578</v>
      </c>
      <c r="K64" s="25">
        <f t="shared" si="20"/>
        <v>171189.6029</v>
      </c>
      <c r="L64" s="25">
        <f t="shared" si="20"/>
        <v>174619.9463</v>
      </c>
      <c r="M64" s="25">
        <f t="shared" si="20"/>
        <v>178202.9819</v>
      </c>
      <c r="N64" s="25">
        <f t="shared" si="20"/>
        <v>181945.2683</v>
      </c>
      <c r="O64" s="37" t="s">
        <v>38</v>
      </c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2.75" customHeight="1">
      <c r="A65" s="1"/>
      <c r="B65" s="7" t="s">
        <v>52</v>
      </c>
      <c r="C65" s="1"/>
      <c r="D65" s="25">
        <f>-C29</f>
        <v>-51000</v>
      </c>
      <c r="E65" s="34" t="s">
        <v>38</v>
      </c>
      <c r="F65" s="34" t="s">
        <v>38</v>
      </c>
      <c r="G65" s="34" t="s">
        <v>38</v>
      </c>
      <c r="H65" s="34" t="s">
        <v>38</v>
      </c>
      <c r="I65" s="34" t="s">
        <v>38</v>
      </c>
      <c r="J65" s="34" t="s">
        <v>38</v>
      </c>
      <c r="K65" s="34" t="s">
        <v>38</v>
      </c>
      <c r="L65" s="34" t="s">
        <v>38</v>
      </c>
      <c r="M65" s="34" t="s">
        <v>38</v>
      </c>
      <c r="N65" s="38">
        <f>E90</f>
        <v>719466.9499</v>
      </c>
      <c r="O65" s="39" t="s">
        <v>38</v>
      </c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2.75" customHeight="1">
      <c r="A66" s="1"/>
      <c r="B66" s="7" t="s">
        <v>53</v>
      </c>
      <c r="C66" s="1"/>
      <c r="D66" s="25">
        <f>D65</f>
        <v>-51000</v>
      </c>
      <c r="E66" s="25">
        <f t="shared" ref="E66:N66" si="21">SUM(E64:E65)</f>
        <v>22733.41196</v>
      </c>
      <c r="F66" s="25">
        <f t="shared" si="21"/>
        <v>221166.4741</v>
      </c>
      <c r="G66" s="25">
        <f t="shared" si="21"/>
        <v>158873.0176</v>
      </c>
      <c r="H66" s="25">
        <f t="shared" si="21"/>
        <v>161753.0447</v>
      </c>
      <c r="I66" s="25">
        <f t="shared" si="21"/>
        <v>164762.0706</v>
      </c>
      <c r="J66" s="25">
        <f t="shared" si="21"/>
        <v>167905.6578</v>
      </c>
      <c r="K66" s="25">
        <f t="shared" si="21"/>
        <v>171189.6029</v>
      </c>
      <c r="L66" s="25">
        <f t="shared" si="21"/>
        <v>174619.9463</v>
      </c>
      <c r="M66" s="25">
        <f t="shared" si="21"/>
        <v>178202.9819</v>
      </c>
      <c r="N66" s="25">
        <f t="shared" si="21"/>
        <v>901412.2182</v>
      </c>
      <c r="O66" s="39" t="s">
        <v>38</v>
      </c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2.75" customHeight="1">
      <c r="A67" s="1"/>
      <c r="B67" s="7" t="s">
        <v>54</v>
      </c>
      <c r="C67" s="1"/>
      <c r="D67" s="40" t="s">
        <v>38</v>
      </c>
      <c r="E67" s="41">
        <f t="shared" ref="E67:N67" si="22">(1+$C$14)^E56</f>
        <v>1.03</v>
      </c>
      <c r="F67" s="41">
        <f t="shared" si="22"/>
        <v>1.0609</v>
      </c>
      <c r="G67" s="41">
        <f t="shared" si="22"/>
        <v>1.092727</v>
      </c>
      <c r="H67" s="41">
        <f t="shared" si="22"/>
        <v>1.12550881</v>
      </c>
      <c r="I67" s="41">
        <f t="shared" si="22"/>
        <v>1.159274074</v>
      </c>
      <c r="J67" s="41">
        <f t="shared" si="22"/>
        <v>1.194052297</v>
      </c>
      <c r="K67" s="41">
        <f t="shared" si="22"/>
        <v>1.229873865</v>
      </c>
      <c r="L67" s="41">
        <f t="shared" si="22"/>
        <v>1.266770081</v>
      </c>
      <c r="M67" s="41">
        <f t="shared" si="22"/>
        <v>1.304773184</v>
      </c>
      <c r="N67" s="41">
        <f t="shared" si="22"/>
        <v>1.343916379</v>
      </c>
      <c r="O67" s="39" t="s">
        <v>38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2.75" customHeight="1">
      <c r="A68" s="1"/>
      <c r="B68" s="7" t="s">
        <v>32</v>
      </c>
      <c r="C68" s="1"/>
      <c r="D68" s="25">
        <f>D66</f>
        <v>-51000</v>
      </c>
      <c r="E68" s="25">
        <f t="shared" ref="E68:N68" si="23">E66/E67</f>
        <v>22071.27375</v>
      </c>
      <c r="F68" s="25">
        <f t="shared" si="23"/>
        <v>208470.6137</v>
      </c>
      <c r="G68" s="25">
        <f t="shared" si="23"/>
        <v>145391.317</v>
      </c>
      <c r="H68" s="25">
        <f t="shared" si="23"/>
        <v>143715.4851</v>
      </c>
      <c r="I68" s="25">
        <f t="shared" si="23"/>
        <v>142125.2094</v>
      </c>
      <c r="J68" s="25">
        <f t="shared" si="23"/>
        <v>140618.345</v>
      </c>
      <c r="K68" s="25">
        <f t="shared" si="23"/>
        <v>139192.813</v>
      </c>
      <c r="L68" s="25">
        <f t="shared" si="23"/>
        <v>137846.5981</v>
      </c>
      <c r="M68" s="25">
        <f t="shared" si="23"/>
        <v>136577.7471</v>
      </c>
      <c r="N68" s="25">
        <f t="shared" si="23"/>
        <v>670735.3464</v>
      </c>
      <c r="O68" s="39" t="s">
        <v>38</v>
      </c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2.75" customHeight="1">
      <c r="A69" s="1"/>
      <c r="B69" s="1"/>
      <c r="C69" s="1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5" t="s">
        <v>55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1"/>
      <c r="Q71" s="1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1"/>
      <c r="B72" s="1"/>
      <c r="C72" s="27" t="s">
        <v>31</v>
      </c>
      <c r="D72" s="28">
        <v>0.0</v>
      </c>
      <c r="E72" s="28">
        <v>1.0</v>
      </c>
      <c r="F72" s="28">
        <v>2.0</v>
      </c>
      <c r="G72" s="28">
        <v>3.0</v>
      </c>
      <c r="H72" s="28">
        <v>4.0</v>
      </c>
      <c r="I72" s="28">
        <v>5.0</v>
      </c>
      <c r="J72" s="28">
        <v>6.0</v>
      </c>
      <c r="K72" s="28">
        <v>7.0</v>
      </c>
      <c r="L72" s="28">
        <v>8.0</v>
      </c>
      <c r="M72" s="28">
        <v>9.0</v>
      </c>
      <c r="N72" s="28">
        <v>10.0</v>
      </c>
      <c r="O72" s="29">
        <v>11.0</v>
      </c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2.75" customHeight="1">
      <c r="A73" s="1"/>
      <c r="B73" s="7" t="s">
        <v>56</v>
      </c>
      <c r="C73" s="1"/>
      <c r="D73" s="36"/>
      <c r="E73" s="25">
        <f>C25*C10</f>
        <v>99000</v>
      </c>
      <c r="F73" s="25">
        <f t="shared" ref="F73:O73" si="24">E77</f>
        <v>67441.43735</v>
      </c>
      <c r="G73" s="25">
        <f t="shared" si="24"/>
        <v>34462.73938</v>
      </c>
      <c r="H73" s="25">
        <f t="shared" si="24"/>
        <v>0</v>
      </c>
      <c r="I73" s="25">
        <f t="shared" si="24"/>
        <v>-36013.56265</v>
      </c>
      <c r="J73" s="25">
        <f t="shared" si="24"/>
        <v>-73647.73562</v>
      </c>
      <c r="K73" s="25">
        <f t="shared" si="24"/>
        <v>-112975.4464</v>
      </c>
      <c r="L73" s="25">
        <f t="shared" si="24"/>
        <v>-154072.9041</v>
      </c>
      <c r="M73" s="25">
        <f t="shared" si="24"/>
        <v>-197019.7474</v>
      </c>
      <c r="N73" s="25">
        <f t="shared" si="24"/>
        <v>-241899.1987</v>
      </c>
      <c r="O73" s="35">
        <f t="shared" si="24"/>
        <v>-288798.2253</v>
      </c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75" customHeight="1">
      <c r="A74" s="1"/>
      <c r="B74" s="7" t="s">
        <v>57</v>
      </c>
      <c r="C74" s="1"/>
      <c r="D74" s="36"/>
      <c r="E74" s="25">
        <f>E73*C30</f>
        <v>36013.56265</v>
      </c>
      <c r="F74" s="25">
        <f t="shared" ref="F74:O74" si="25">E74</f>
        <v>36013.56265</v>
      </c>
      <c r="G74" s="25">
        <f t="shared" si="25"/>
        <v>36013.56265</v>
      </c>
      <c r="H74" s="25">
        <f t="shared" si="25"/>
        <v>36013.56265</v>
      </c>
      <c r="I74" s="25">
        <f t="shared" si="25"/>
        <v>36013.56265</v>
      </c>
      <c r="J74" s="25">
        <f t="shared" si="25"/>
        <v>36013.56265</v>
      </c>
      <c r="K74" s="25">
        <f t="shared" si="25"/>
        <v>36013.56265</v>
      </c>
      <c r="L74" s="25">
        <f t="shared" si="25"/>
        <v>36013.56265</v>
      </c>
      <c r="M74" s="25">
        <f t="shared" si="25"/>
        <v>36013.56265</v>
      </c>
      <c r="N74" s="25">
        <f t="shared" si="25"/>
        <v>36013.56265</v>
      </c>
      <c r="O74" s="35">
        <f t="shared" si="25"/>
        <v>36013.56265</v>
      </c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2.75" customHeight="1">
      <c r="A75" s="1"/>
      <c r="B75" s="7" t="s">
        <v>58</v>
      </c>
      <c r="C75" s="1"/>
      <c r="D75" s="36"/>
      <c r="E75" s="25">
        <f t="shared" ref="E75:O75" si="26">$C$11*-E73</f>
        <v>-4455</v>
      </c>
      <c r="F75" s="25">
        <f t="shared" si="26"/>
        <v>-3034.864681</v>
      </c>
      <c r="G75" s="25">
        <f t="shared" si="26"/>
        <v>-1550.823272</v>
      </c>
      <c r="H75" s="25">
        <f t="shared" si="26"/>
        <v>0</v>
      </c>
      <c r="I75" s="25">
        <f t="shared" si="26"/>
        <v>1620.610319</v>
      </c>
      <c r="J75" s="25">
        <f t="shared" si="26"/>
        <v>3314.148103</v>
      </c>
      <c r="K75" s="25">
        <f t="shared" si="26"/>
        <v>5083.895087</v>
      </c>
      <c r="L75" s="25">
        <f t="shared" si="26"/>
        <v>6933.280685</v>
      </c>
      <c r="M75" s="25">
        <f t="shared" si="26"/>
        <v>8865.888635</v>
      </c>
      <c r="N75" s="25">
        <f t="shared" si="26"/>
        <v>10885.46394</v>
      </c>
      <c r="O75" s="35">
        <f t="shared" si="26"/>
        <v>12995.92014</v>
      </c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2.75" customHeight="1">
      <c r="A76" s="1"/>
      <c r="B76" s="7" t="s">
        <v>59</v>
      </c>
      <c r="C76" s="1"/>
      <c r="D76" s="36"/>
      <c r="E76" s="25">
        <f t="shared" ref="E76:O76" si="27">E74+E75</f>
        <v>31558.56265</v>
      </c>
      <c r="F76" s="25">
        <f t="shared" si="27"/>
        <v>32978.69797</v>
      </c>
      <c r="G76" s="25">
        <f t="shared" si="27"/>
        <v>34462.73938</v>
      </c>
      <c r="H76" s="25">
        <f t="shared" si="27"/>
        <v>36013.56265</v>
      </c>
      <c r="I76" s="25">
        <f t="shared" si="27"/>
        <v>37634.17297</v>
      </c>
      <c r="J76" s="25">
        <f t="shared" si="27"/>
        <v>39327.71075</v>
      </c>
      <c r="K76" s="25">
        <f t="shared" si="27"/>
        <v>41097.45774</v>
      </c>
      <c r="L76" s="25">
        <f t="shared" si="27"/>
        <v>42946.84334</v>
      </c>
      <c r="M76" s="25">
        <f t="shared" si="27"/>
        <v>44879.45129</v>
      </c>
      <c r="N76" s="25">
        <f t="shared" si="27"/>
        <v>46899.02659</v>
      </c>
      <c r="O76" s="35">
        <f t="shared" si="27"/>
        <v>49009.48279</v>
      </c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2.75" customHeight="1">
      <c r="A77" s="1"/>
      <c r="B77" s="7" t="s">
        <v>60</v>
      </c>
      <c r="C77" s="1"/>
      <c r="D77" s="36"/>
      <c r="E77" s="25">
        <f t="shared" ref="E77:O77" si="28">E73-E76</f>
        <v>67441.43735</v>
      </c>
      <c r="F77" s="25">
        <f t="shared" si="28"/>
        <v>34462.73938</v>
      </c>
      <c r="G77" s="25">
        <f t="shared" si="28"/>
        <v>0</v>
      </c>
      <c r="H77" s="25">
        <f t="shared" si="28"/>
        <v>-36013.56265</v>
      </c>
      <c r="I77" s="25">
        <f t="shared" si="28"/>
        <v>-73647.73562</v>
      </c>
      <c r="J77" s="25">
        <f t="shared" si="28"/>
        <v>-112975.4464</v>
      </c>
      <c r="K77" s="25">
        <f t="shared" si="28"/>
        <v>-154072.9041</v>
      </c>
      <c r="L77" s="25">
        <f t="shared" si="28"/>
        <v>-197019.7474</v>
      </c>
      <c r="M77" s="25">
        <f t="shared" si="28"/>
        <v>-241899.1987</v>
      </c>
      <c r="N77" s="25">
        <f t="shared" si="28"/>
        <v>-288798.2253</v>
      </c>
      <c r="O77" s="35">
        <f t="shared" si="28"/>
        <v>-337807.7081</v>
      </c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5" t="s">
        <v>61</v>
      </c>
      <c r="C80" s="5"/>
      <c r="D80" s="5"/>
      <c r="E80" s="5"/>
      <c r="F80" s="6"/>
      <c r="G80" s="6"/>
      <c r="H80" s="6"/>
      <c r="I80" s="6"/>
      <c r="J80" s="6"/>
      <c r="K80" s="6"/>
      <c r="L80" s="6"/>
      <c r="M80" s="6"/>
      <c r="N80" s="6"/>
      <c r="O80" s="43"/>
      <c r="P80" s="1"/>
      <c r="Q80" s="1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1"/>
      <c r="B81" s="7" t="s">
        <v>62</v>
      </c>
      <c r="C81" s="1"/>
      <c r="D81" s="1"/>
      <c r="E81" s="25">
        <f>O47</f>
        <v>35836.45483</v>
      </c>
      <c r="F81" s="36"/>
      <c r="G81" s="1"/>
      <c r="H81" s="36"/>
      <c r="I81" s="36"/>
      <c r="J81" s="36"/>
      <c r="K81" s="36"/>
      <c r="L81" s="36"/>
      <c r="M81" s="36"/>
      <c r="N81" s="36"/>
      <c r="O81" s="36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7" t="s">
        <v>63</v>
      </c>
      <c r="C82" s="1"/>
      <c r="D82" s="1"/>
      <c r="E82" s="22">
        <f>C16</f>
        <v>0.07</v>
      </c>
      <c r="F82" s="36"/>
      <c r="G82" s="1"/>
      <c r="H82" s="36"/>
      <c r="I82" s="36"/>
      <c r="J82" s="36"/>
      <c r="K82" s="36"/>
      <c r="L82" s="36"/>
      <c r="M82" s="36"/>
      <c r="N82" s="36"/>
      <c r="O82" s="36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7" t="s">
        <v>64</v>
      </c>
      <c r="C83" s="1"/>
      <c r="D83" s="1"/>
      <c r="E83" s="25">
        <f>E81/E82</f>
        <v>511949.3547</v>
      </c>
      <c r="F83" s="36"/>
      <c r="G83" s="1"/>
      <c r="H83" s="36"/>
      <c r="I83" s="36"/>
      <c r="J83" s="36"/>
      <c r="K83" s="36"/>
      <c r="L83" s="36"/>
      <c r="M83" s="36"/>
      <c r="N83" s="36"/>
      <c r="O83" s="36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7" t="s">
        <v>65</v>
      </c>
      <c r="C84" s="1"/>
      <c r="D84" s="1"/>
      <c r="E84" s="25">
        <f>E83*-C17</f>
        <v>-46075.44193</v>
      </c>
      <c r="F84" s="36"/>
      <c r="G84" s="1"/>
      <c r="H84" s="36"/>
      <c r="I84" s="36"/>
      <c r="J84" s="36"/>
      <c r="K84" s="36"/>
      <c r="L84" s="36"/>
      <c r="M84" s="36"/>
      <c r="N84" s="36"/>
      <c r="O84" s="36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7" t="s">
        <v>66</v>
      </c>
      <c r="C85" s="1"/>
      <c r="D85" s="1"/>
      <c r="E85" s="25">
        <f>E83+E84</f>
        <v>465873.9128</v>
      </c>
      <c r="F85" s="36"/>
      <c r="G85" s="1"/>
      <c r="H85" s="36"/>
      <c r="I85" s="36"/>
      <c r="J85" s="36"/>
      <c r="K85" s="36"/>
      <c r="L85" s="36"/>
      <c r="M85" s="36"/>
      <c r="N85" s="36"/>
      <c r="O85" s="36"/>
      <c r="P85" s="1"/>
      <c r="Q85" s="1"/>
      <c r="R85" s="25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7" t="s">
        <v>67</v>
      </c>
      <c r="C86" s="1"/>
      <c r="D86" s="1"/>
      <c r="E86" s="25">
        <f>-(C25+(SUM(E49:N49)))</f>
        <v>-117307.6923</v>
      </c>
      <c r="F86" s="36"/>
      <c r="G86" s="1"/>
      <c r="H86" s="36"/>
      <c r="I86" s="36"/>
      <c r="J86" s="36"/>
      <c r="K86" s="36"/>
      <c r="L86" s="36"/>
      <c r="M86" s="36"/>
      <c r="N86" s="36"/>
      <c r="O86" s="36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7" t="s">
        <v>68</v>
      </c>
      <c r="C87" s="1"/>
      <c r="D87" s="1"/>
      <c r="E87" s="25">
        <f>E85+E86</f>
        <v>348566.2205</v>
      </c>
      <c r="F87" s="36"/>
      <c r="G87" s="1"/>
      <c r="H87" s="36"/>
      <c r="I87" s="36"/>
      <c r="J87" s="36"/>
      <c r="K87" s="36"/>
      <c r="L87" s="36"/>
      <c r="M87" s="36"/>
      <c r="N87" s="36"/>
      <c r="O87" s="36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7" t="s">
        <v>69</v>
      </c>
      <c r="C88" s="1"/>
      <c r="D88" s="1"/>
      <c r="E88" s="25">
        <f>E87*C23</f>
        <v>35205.18827</v>
      </c>
      <c r="F88" s="36"/>
      <c r="G88" s="1"/>
      <c r="H88" s="36"/>
      <c r="I88" s="36"/>
      <c r="J88" s="36"/>
      <c r="K88" s="36"/>
      <c r="L88" s="36"/>
      <c r="M88" s="36"/>
      <c r="N88" s="36"/>
      <c r="O88" s="36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7" t="s">
        <v>70</v>
      </c>
      <c r="C89" s="1"/>
      <c r="D89" s="1"/>
      <c r="E89" s="25">
        <f>N77</f>
        <v>-288798.2253</v>
      </c>
      <c r="F89" s="36"/>
      <c r="G89" s="1"/>
      <c r="H89" s="36"/>
      <c r="I89" s="36"/>
      <c r="J89" s="36"/>
      <c r="K89" s="36"/>
      <c r="L89" s="36"/>
      <c r="M89" s="36"/>
      <c r="N89" s="36"/>
      <c r="O89" s="36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7" t="s">
        <v>71</v>
      </c>
      <c r="C90" s="1"/>
      <c r="D90" s="1"/>
      <c r="E90" s="25">
        <f>E85-E88-E89</f>
        <v>719466.9499</v>
      </c>
      <c r="F90" s="36"/>
      <c r="G90" s="1"/>
      <c r="H90" s="36"/>
      <c r="I90" s="36"/>
      <c r="J90" s="36"/>
      <c r="K90" s="36"/>
      <c r="L90" s="36"/>
      <c r="M90" s="36"/>
      <c r="N90" s="36"/>
      <c r="O90" s="36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>
        <v>42956.20206130605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>
        <v>74533.82305286486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>
        <v>47966.58304251545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4"/>
      <c r="B192" s="4"/>
      <c r="C192" s="4"/>
      <c r="D192" s="4">
        <v>0.012695856023633375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4"/>
      <c r="B267" s="4"/>
      <c r="C267" s="4"/>
      <c r="D267" s="4">
        <v>867.6558175561729</v>
      </c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4"/>
      <c r="B273" s="4"/>
      <c r="C273" s="4"/>
      <c r="D273" s="4">
        <v>253913.00350383046</v>
      </c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4"/>
      <c r="B285" s="4"/>
      <c r="C285" s="4"/>
      <c r="D285" s="4">
        <v>0.7327268653199195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4"/>
      <c r="B376" s="4"/>
      <c r="C376" s="4"/>
      <c r="D376" s="4">
        <v>0.01824003775965188</v>
      </c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4"/>
      <c r="B377" s="4"/>
      <c r="C377" s="4"/>
      <c r="D377" s="4">
        <v>0.015801738601634568</v>
      </c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4"/>
      <c r="B383" s="4"/>
      <c r="C383" s="4"/>
      <c r="D383" s="4">
        <v>0.043247577041947996</v>
      </c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4"/>
      <c r="B388" s="4"/>
      <c r="C388" s="4"/>
      <c r="D388" s="4">
        <v>0.030237590149544892</v>
      </c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4"/>
      <c r="B389" s="4"/>
      <c r="C389" s="4"/>
      <c r="D389" s="4">
        <v>0.09258169380581714</v>
      </c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4"/>
      <c r="B396" s="4"/>
      <c r="C396" s="4"/>
      <c r="D396" s="4">
        <v>0.02333302162592924</v>
      </c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4"/>
      <c r="B398" s="4"/>
      <c r="C398" s="4"/>
      <c r="D398" s="4">
        <v>0.018333918242578046</v>
      </c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4"/>
      <c r="B402" s="4"/>
      <c r="C402" s="4"/>
      <c r="D402" s="4">
        <v>0.009235213447050805</v>
      </c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</sheetData>
  <mergeCells count="1">
    <mergeCell ref="B1:E1"/>
  </mergeCells>
  <drawing r:id="rId2"/>
  <legacyDrawing r:id="rId3"/>
</worksheet>
</file>