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A8C3B220-FAEA-4F6D-8377-AC8F6794987F}" xr6:coauthVersionLast="44" xr6:coauthVersionMax="46" xr10:uidLastSave="{00000000-0000-0000-0000-000000000000}"/>
  <bookViews>
    <workbookView xWindow="-108" yWindow="-108" windowWidth="23256" windowHeight="12576"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1" i="2" l="1"/>
  <c r="H11" i="2"/>
  <c r="G11" i="2"/>
  <c r="F11" i="2"/>
  <c r="E11" i="2"/>
  <c r="D11" i="2"/>
  <c r="C11" i="2"/>
  <c r="C22" i="5"/>
  <c r="C21" i="5"/>
  <c r="J17" i="1" l="1"/>
  <c r="J10" i="1"/>
  <c r="I14" i="1" l="1"/>
  <c r="J14" i="1" s="1"/>
  <c r="G12" i="1"/>
  <c r="G13" i="1" s="1"/>
  <c r="H12" i="1"/>
  <c r="H13" i="1" s="1"/>
  <c r="I15" i="1"/>
  <c r="D22" i="1"/>
  <c r="D24" i="1" s="1"/>
  <c r="C22" i="1"/>
  <c r="C24" i="1" s="1"/>
  <c r="D21" i="1"/>
  <c r="C21" i="1"/>
  <c r="H19" i="1"/>
  <c r="H21" i="1" s="1"/>
  <c r="G19" i="1"/>
  <c r="G21" i="1" s="1"/>
  <c r="F19" i="1"/>
  <c r="F21" i="1" s="1"/>
  <c r="E19" i="1"/>
  <c r="E21" i="1" s="1"/>
  <c r="D19" i="1"/>
  <c r="C19" i="1"/>
  <c r="H16" i="1"/>
  <c r="G16" i="1"/>
  <c r="F16" i="1"/>
  <c r="E16" i="1"/>
  <c r="D16" i="1"/>
  <c r="C16" i="1"/>
  <c r="F13" i="1"/>
  <c r="E13" i="1"/>
  <c r="D13" i="1"/>
  <c r="C13" i="1"/>
  <c r="F12" i="1"/>
  <c r="E12" i="1"/>
  <c r="D12" i="1"/>
  <c r="C12" i="1"/>
  <c r="H11" i="1"/>
  <c r="G11" i="1"/>
  <c r="F11" i="1"/>
  <c r="E11" i="1"/>
  <c r="D11" i="1"/>
  <c r="C11" i="1"/>
  <c r="E22" i="1" l="1"/>
  <c r="E24" i="1" s="1"/>
  <c r="E25" i="1" s="1"/>
  <c r="C26" i="1"/>
  <c r="C25" i="1"/>
  <c r="D25" i="1"/>
  <c r="D26" i="1"/>
  <c r="F22" i="1"/>
  <c r="F24" i="1" s="1"/>
  <c r="G22" i="1"/>
  <c r="G24" i="1" s="1"/>
  <c r="E26" i="1"/>
  <c r="H22" i="1"/>
  <c r="H24" i="1" s="1"/>
  <c r="H26" i="1" l="1"/>
  <c r="H25" i="1"/>
  <c r="G26" i="1"/>
  <c r="G25" i="1"/>
  <c r="F25" i="1"/>
  <c r="F26" i="1"/>
  <c r="I10" i="3"/>
  <c r="I11" i="3"/>
  <c r="I12" i="3"/>
  <c r="I18" i="3"/>
  <c r="I19" i="3"/>
  <c r="I10" i="5"/>
  <c r="I11" i="5"/>
  <c r="I19" i="5" s="1"/>
  <c r="I15" i="5"/>
  <c r="I18" i="5"/>
  <c r="I22" i="5" s="1"/>
  <c r="I14" i="2"/>
  <c r="I13" i="2"/>
  <c r="I12" i="2"/>
  <c r="I23" i="3" l="1"/>
  <c r="I13" i="5"/>
  <c r="I22" i="3"/>
  <c r="J23" i="1" l="1"/>
  <c r="I19" i="1"/>
  <c r="I21" i="1" s="1"/>
  <c r="I16" i="1"/>
  <c r="I12" i="1"/>
  <c r="I13" i="1" s="1"/>
  <c r="I11" i="1"/>
  <c r="J21" i="1"/>
  <c r="I14" i="5" l="1"/>
  <c r="I10" i="2"/>
  <c r="I15" i="2" s="1"/>
  <c r="I12" i="5"/>
  <c r="J15" i="1"/>
  <c r="J16" i="1" s="1"/>
  <c r="J12" i="2"/>
  <c r="I22" i="1"/>
  <c r="I24" i="1" s="1"/>
  <c r="J12" i="1" l="1"/>
  <c r="J13" i="1" s="1"/>
  <c r="J19" i="1"/>
  <c r="J20" i="1" s="1"/>
  <c r="J22" i="1" s="1"/>
  <c r="J24" i="1" s="1"/>
  <c r="J25" i="1" s="1"/>
  <c r="I13" i="3"/>
  <c r="I21" i="3" s="1"/>
  <c r="I16" i="5"/>
  <c r="I21" i="5" s="1"/>
  <c r="I16" i="2"/>
  <c r="I17" i="5"/>
  <c r="I26" i="1"/>
  <c r="I25" i="1"/>
  <c r="C18" i="5"/>
  <c r="D18" i="5"/>
  <c r="E18" i="5"/>
  <c r="F18" i="5"/>
  <c r="G18" i="5"/>
  <c r="H18" i="5"/>
  <c r="J26" i="1" l="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H19" i="5" s="1"/>
  <c r="P10" i="3"/>
  <c r="J15" i="3" l="1"/>
  <c r="J17" i="3"/>
  <c r="J14" i="3"/>
  <c r="J16"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C14" i="5"/>
  <c r="D14" i="5"/>
  <c r="E14" i="5"/>
  <c r="F14" i="5"/>
  <c r="G14" i="5"/>
  <c r="H14" i="5" l="1"/>
  <c r="H12" i="5"/>
  <c r="K15" i="3"/>
  <c r="K14" i="3"/>
  <c r="L14" i="3" s="1"/>
  <c r="M14" i="3" s="1"/>
  <c r="N14" i="3" s="1"/>
  <c r="K16" i="3"/>
  <c r="L16" i="3" s="1"/>
  <c r="M16" i="3" s="1"/>
  <c r="N16" i="3" s="1"/>
  <c r="J18" i="5" l="1"/>
  <c r="J22" i="5" s="1"/>
  <c r="J19" i="5"/>
  <c r="J19" i="3"/>
  <c r="J18" i="3"/>
  <c r="K17" i="3"/>
  <c r="K19" i="5" s="1"/>
  <c r="L15" i="3"/>
  <c r="K11" i="2"/>
  <c r="L11" i="2" s="1"/>
  <c r="M11" i="2" s="1"/>
  <c r="N11" i="2" s="1"/>
  <c r="C13" i="2"/>
  <c r="D13" i="2"/>
  <c r="E13" i="2"/>
  <c r="F13" i="2"/>
  <c r="G13" i="2"/>
  <c r="H13" i="2"/>
  <c r="C12" i="2"/>
  <c r="D12" i="2"/>
  <c r="E12" i="2"/>
  <c r="F12" i="2"/>
  <c r="G12" i="2"/>
  <c r="H12" i="2"/>
  <c r="C10" i="2"/>
  <c r="D10" i="2"/>
  <c r="E10" i="2"/>
  <c r="F10" i="2"/>
  <c r="G10" i="2"/>
  <c r="H10" i="2"/>
  <c r="K21" i="1"/>
  <c r="L21" i="1"/>
  <c r="M21" i="1"/>
  <c r="N21" i="1"/>
  <c r="K11" i="1"/>
  <c r="L11" i="1"/>
  <c r="M11" i="1"/>
  <c r="N11" i="1"/>
  <c r="D15" i="2" l="1"/>
  <c r="D17" i="5" s="1"/>
  <c r="G15" i="2"/>
  <c r="G17" i="5" s="1"/>
  <c r="F15" i="2"/>
  <c r="F17" i="5" s="1"/>
  <c r="H15" i="2"/>
  <c r="H17" i="5" s="1"/>
  <c r="C15" i="2"/>
  <c r="C17" i="5" s="1"/>
  <c r="E15" i="2"/>
  <c r="E17" i="5" s="1"/>
  <c r="K18" i="3"/>
  <c r="K18" i="5"/>
  <c r="K22" i="5" s="1"/>
  <c r="K19" i="3"/>
  <c r="J15" i="5"/>
  <c r="J10" i="3"/>
  <c r="J23" i="3" s="1"/>
  <c r="J11" i="3"/>
  <c r="L17" i="3"/>
  <c r="L19" i="5" s="1"/>
  <c r="M15" i="3"/>
  <c r="K17" i="1"/>
  <c r="K10" i="1"/>
  <c r="K15" i="1" s="1"/>
  <c r="L18" i="3" l="1"/>
  <c r="L18" i="5"/>
  <c r="L22" i="5" s="1"/>
  <c r="L19" i="3"/>
  <c r="J22" i="3"/>
  <c r="K15" i="5"/>
  <c r="K10" i="3"/>
  <c r="J12" i="5"/>
  <c r="J14" i="5"/>
  <c r="L17" i="1"/>
  <c r="L12" i="2" s="1"/>
  <c r="K11" i="3"/>
  <c r="M17" i="3"/>
  <c r="M19" i="5" s="1"/>
  <c r="N15" i="3"/>
  <c r="K12" i="2"/>
  <c r="K12" i="1"/>
  <c r="K16" i="1"/>
  <c r="L10" i="1"/>
  <c r="L15" i="1" s="1"/>
  <c r="D16" i="2"/>
  <c r="C16" i="2"/>
  <c r="H16" i="2"/>
  <c r="G16" i="2"/>
  <c r="F16" i="2"/>
  <c r="E16" i="2"/>
  <c r="M18" i="3" l="1"/>
  <c r="M18" i="5"/>
  <c r="M22" i="5" s="1"/>
  <c r="M19" i="3"/>
  <c r="C16" i="5"/>
  <c r="G16" i="5"/>
  <c r="F16" i="5"/>
  <c r="L15" i="5"/>
  <c r="L10" i="3"/>
  <c r="L23" i="3" s="1"/>
  <c r="M17" i="1"/>
  <c r="M12" i="2" s="1"/>
  <c r="L11" i="3"/>
  <c r="K14" i="5"/>
  <c r="K12" i="5"/>
  <c r="K13" i="1"/>
  <c r="H16" i="5"/>
  <c r="H13" i="3"/>
  <c r="H21" i="3" s="1"/>
  <c r="K22" i="3"/>
  <c r="K23" i="3"/>
  <c r="N17" i="3"/>
  <c r="N19" i="5" s="1"/>
  <c r="M10" i="1"/>
  <c r="M15" i="1" s="1"/>
  <c r="L12" i="1"/>
  <c r="L16" i="1"/>
  <c r="N18" i="3" l="1"/>
  <c r="N18" i="5"/>
  <c r="N22" i="5" s="1"/>
  <c r="N19" i="3"/>
  <c r="L22" i="3"/>
  <c r="D16" i="5"/>
  <c r="N17" i="1"/>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l="1"/>
  <c r="J17" i="5"/>
  <c r="L17" i="5"/>
  <c r="N21" i="5"/>
  <c r="D21" i="5" s="1"/>
  <c r="L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0" authorId="0" shapeId="0" xr:uid="{298B29C1-D3AA-43C2-B2A5-BD223116CB8C}">
      <text>
        <r>
          <rPr>
            <b/>
            <sz val="9"/>
            <color indexed="81"/>
            <rFont val="Tahoma"/>
            <charset val="1"/>
          </rPr>
          <t>Autor:</t>
        </r>
        <r>
          <rPr>
            <sz val="9"/>
            <color indexed="81"/>
            <rFont val="Tahoma"/>
            <charset val="1"/>
          </rPr>
          <t xml:space="preserve">
adquisición de gecas</t>
        </r>
      </text>
    </comment>
    <comment ref="J14" authorId="0" shapeId="0" xr:uid="{AEE5E95E-71D5-4CA8-8EE0-590D8E94D620}">
      <text>
        <r>
          <rPr>
            <b/>
            <sz val="9"/>
            <color indexed="81"/>
            <rFont val="Tahoma"/>
            <charset val="1"/>
          </rPr>
          <t>Autor:</t>
        </r>
        <r>
          <rPr>
            <sz val="9"/>
            <color indexed="81"/>
            <rFont val="Tahoma"/>
            <charset val="1"/>
          </rPr>
          <t xml:space="preserve">
adquisición de gecas</t>
        </r>
      </text>
    </commen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3C843C92-25CF-4026-BA6E-D202515D51E9}">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9FC165DA-5A62-40E8-9555-925460A39C78}">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 ref="J17" authorId="0" shapeId="0" xr:uid="{6CDEBA01-3642-4371-9420-869A99019215}">
      <text>
        <r>
          <rPr>
            <b/>
            <sz val="9"/>
            <color indexed="81"/>
            <rFont val="Tahoma"/>
            <charset val="1"/>
          </rPr>
          <t>Autor:</t>
        </r>
        <r>
          <rPr>
            <sz val="9"/>
            <color indexed="81"/>
            <rFont val="Tahoma"/>
            <charset val="1"/>
          </rPr>
          <t xml:space="preserve">
gecas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973400DE-EBFE-4A11-A7B7-13EF76B33B3C}">
      <text>
        <r>
          <rPr>
            <b/>
            <sz val="9"/>
            <color indexed="81"/>
            <rFont val="Tahoma"/>
            <family val="2"/>
          </rPr>
          <t>Autor:</t>
        </r>
        <r>
          <rPr>
            <sz val="9"/>
            <color indexed="81"/>
            <rFont val="Tahoma"/>
            <family val="2"/>
          </rPr>
          <t xml:space="preserve">
Si la empresa posee caja neta introducir con signo negativo</t>
        </r>
      </text>
    </comment>
    <comment ref="K11" authorId="0" shapeId="0" xr:uid="{281CB043-95F8-4C71-9340-F4EF60E8A95F}">
      <text>
        <r>
          <rPr>
            <b/>
            <sz val="9"/>
            <color indexed="81"/>
            <rFont val="Tahoma"/>
            <family val="2"/>
          </rPr>
          <t>Autor:</t>
        </r>
        <r>
          <rPr>
            <sz val="9"/>
            <color indexed="81"/>
            <rFont val="Tahoma"/>
            <family val="2"/>
          </rPr>
          <t xml:space="preserve">
Si la empresa posee caja neta introducir con signo negativo</t>
        </r>
      </text>
    </comment>
    <comment ref="N11" authorId="0" shapeId="0" xr:uid="{DBA83C0B-41E5-4363-B71C-3928B78A9642}">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<sst xmlns="http://schemas.openxmlformats.org/spreadsheetml/2006/main" count="85" uniqueCount="79">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</sst>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Red]\-#,##0.0"/>
    <numFmt numFmtId="165" formatCode="0.0"/>
    <numFmt numFmtId="166" formatCode="0.0%"/>
    <numFmt numFmtId="167" formatCode="_-[$€-2]\ * #,##0_-;\-[$€-2]\ * #,##0_-;_-[$€-2]\ * &quot;-&quot;??_-;_-@_-"/>
    <numFmt numFmtId="168" formatCode="_ [$$-340A]* #,##0.0_ ;_ [$$-340A]* \-#,##0.0_ ;_ [$$-340A]* &quot;-&quot;??_ ;_ @_ "/>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315">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9" xfId="0" applyNumberFormat="1" applyFont="1" applyFill="1" applyBorder="1" applyAlignment="1">
      <alignment horizontal="center" vertical="center" wrapText="1"/>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7" xfId="0" applyNumberFormat="1" applyFont="1" applyFill="1" applyBorder="1" applyAlignment="1" applyProtection="1">
      <alignment horizontal="center" vertical="center"/>
    </xf>
    <xf numFmtId="1" fontId="15"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2" xfId="0" applyNumberFormat="1" applyFont="1" applyFill="1" applyBorder="1" applyAlignment="1" applyProtection="1">
      <alignment horizontal="center"/>
    </xf>
    <xf numFmtId="2" fontId="10" fillId="4" borderId="13" xfId="0" applyNumberFormat="1" applyFont="1" applyFill="1" applyBorder="1" applyAlignment="1" applyProtection="1">
      <alignment horizontal="center"/>
    </xf>
    <xf numFmtId="2" fontId="19" fillId="4" borderId="6" xfId="0" applyNumberFormat="1" applyFont="1" applyFill="1" applyBorder="1" applyAlignment="1" applyProtection="1">
      <alignment horizontal="left" vertical="center"/>
    </xf>
    <xf numFmtId="2" fontId="19" fillId="4" borderId="12"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2" xfId="0" applyNumberFormat="1" applyFont="1" applyFill="1" applyBorder="1" applyAlignment="1" applyProtection="1">
      <alignment horizontal="center" vertical="center"/>
    </xf>
    <xf numFmtId="2" fontId="15"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1"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9" fontId="23" fillId="4" borderId="6" xfId="1" applyFont="1" applyFill="1" applyBorder="1" applyAlignment="1" applyProtection="1">
      <alignment horizontal="center" vertical="center"/>
    </xf>
    <xf numFmtId="9" fontId="23" fillId="4" borderId="11"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1"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1" xfId="0" applyNumberFormat="1" applyFont="1" applyFill="1" applyBorder="1" applyAlignment="1" applyProtection="1">
      <alignment horizontal="center" vertical="center"/>
    </xf>
    <xf numFmtId="38" fontId="17" fillId="5" borderId="15"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6"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8"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5"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167" fontId="13"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7" xfId="0" applyNumberFormat="1" applyFont="1" applyFill="1" applyBorder="1" applyAlignment="1">
      <alignment horizontal="left" vertical="center" wrapText="1"/>
    </xf>
    <xf numFmtId="167" fontId="13"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1" xfId="0" applyNumberFormat="1" applyFont="1" applyFill="1" applyBorder="1" applyAlignment="1" applyProtection="1">
      <alignment horizontal="center" vertical="center"/>
    </xf>
    <xf numFmtId="167" fontId="13" fillId="4" borderId="0" xfId="0" applyNumberFormat="1" applyFont="1" applyFill="1" applyBorder="1" applyAlignment="1">
      <alignment horizontal="center" vertical="center" wrapText="1"/>
    </xf>
    <xf numFmtId="0" fontId="24" fillId="5" borderId="20"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9" xfId="0" applyNumberFormat="1" applyFont="1" applyFill="1" applyBorder="1" applyAlignment="1" applyProtection="1">
      <alignment horizontal="center" vertical="center"/>
    </xf>
    <xf numFmtId="0" fontId="24" fillId="5" borderId="34" xfId="0" applyFont="1" applyFill="1" applyBorder="1" applyAlignment="1">
      <alignment horizontal="center" vertical="center" wrapText="1"/>
    </xf>
    <xf numFmtId="164" fontId="15" fillId="4" borderId="6" xfId="0" applyNumberFormat="1" applyFont="1" applyFill="1" applyBorder="1" applyAlignment="1" applyProtection="1">
      <alignment horizontal="center" vertical="center"/>
    </xf>
    <xf numFmtId="0" fontId="14" fillId="4" borderId="28"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165" fontId="0" fillId="4" borderId="29" xfId="0" applyNumberFormat="1" applyFont="1" applyFill="1" applyBorder="1" applyAlignment="1">
      <alignment horizontal="center" vertical="center" wrapText="1"/>
    </xf>
    <xf numFmtId="40" fontId="17" fillId="4" borderId="11" xfId="0" applyNumberFormat="1" applyFont="1" applyFill="1" applyBorder="1" applyAlignment="1" applyProtection="1">
      <alignment horizontal="center" vertical="center"/>
    </xf>
    <xf numFmtId="2" fontId="19" fillId="4" borderId="24" xfId="0" applyNumberFormat="1" applyFont="1" applyFill="1" applyBorder="1" applyAlignment="1" applyProtection="1">
      <alignment vertical="center"/>
    </xf>
    <xf numFmtId="0" fontId="14" fillId="0" borderId="6" xfId="0" applyFont="1" applyBorder="1"/>
    <xf numFmtId="2" fontId="19"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5" fillId="3" borderId="17" xfId="0" applyNumberFormat="1" applyFont="1" applyFill="1" applyBorder="1" applyAlignment="1" applyProtection="1">
      <alignment horizontal="center" vertical="center"/>
    </xf>
    <xf numFmtId="0" fontId="9" fillId="4" borderId="6" xfId="0" applyFont="1" applyFill="1" applyBorder="1" applyAlignment="1">
      <alignment vertical="center"/>
    </xf>
    <xf numFmtId="0" fontId="9"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6" xfId="0" applyFont="1" applyFill="1" applyBorder="1" applyAlignment="1">
      <alignment horizontal="center" vertical="center" wrapText="1"/>
    </xf>
    <xf numFmtId="0" fontId="0" fillId="4" borderId="14" xfId="0" applyFont="1" applyFill="1" applyBorder="1" applyAlignment="1">
      <alignment horizontal="center" vertical="center" wrapText="1"/>
    </xf>
    <xf numFmtId="9" fontId="2" fillId="4" borderId="6" xfId="1" applyFont="1" applyFill="1" applyBorder="1" applyAlignment="1">
      <alignment horizontal="center" vertical="center" wrapText="1"/>
    </xf>
    <xf numFmtId="9" fontId="2" fillId="4" borderId="15" xfId="1" applyFont="1" applyFill="1" applyBorder="1" applyAlignment="1">
      <alignment horizontal="center" vertical="center" wrapText="1"/>
    </xf>
    <xf numFmtId="1" fontId="15" fillId="4" borderId="26" xfId="0" applyNumberFormat="1" applyFont="1" applyFill="1" applyBorder="1" applyAlignment="1" applyProtection="1">
      <alignment horizontal="center" vertical="center"/>
    </xf>
    <xf numFmtId="38" fontId="17"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7" fillId="0" borderId="0" xfId="0" applyNumberFormat="1" applyFont="1" applyFill="1" applyBorder="1" applyAlignment="1" applyProtection="1">
      <alignment horizontal="center" vertical="center"/>
    </xf>
    <xf numFmtId="2" fontId="17" fillId="0" borderId="11" xfId="0" applyNumberFormat="1" applyFont="1" applyFill="1" applyBorder="1" applyAlignment="1" applyProtection="1">
      <alignment horizontal="center" vertical="center"/>
    </xf>
    <xf numFmtId="2" fontId="19" fillId="4" borderId="6" xfId="0" applyNumberFormat="1" applyFont="1" applyFill="1" applyBorder="1" applyAlignment="1">
      <alignment horizontal="left" vertical="center"/>
    </xf>
    <xf numFmtId="2" fontId="15" fillId="4" borderId="15" xfId="0" applyNumberFormat="1" applyFont="1" applyFill="1" applyBorder="1" applyAlignment="1">
      <alignment horizontal="center" vertical="center"/>
    </xf>
    <xf numFmtId="2" fontId="15" fillId="4" borderId="16" xfId="0" applyNumberFormat="1" applyFont="1" applyFill="1" applyBorder="1" applyAlignment="1">
      <alignment horizontal="center" vertical="center"/>
    </xf>
    <xf numFmtId="2" fontId="15" fillId="4" borderId="7" xfId="0" applyNumberFormat="1" applyFont="1" applyFill="1" applyBorder="1" applyAlignment="1">
      <alignment horizontal="center" vertical="center"/>
    </xf>
    <xf numFmtId="0" fontId="0" fillId="0" borderId="0" xfId="0" applyBorder="1"/>
    <xf numFmtId="2" fontId="17" fillId="0" borderId="38" xfId="0" applyNumberFormat="1" applyFont="1" applyFill="1" applyBorder="1" applyAlignment="1" applyProtection="1">
      <alignment horizontal="center" vertical="center"/>
    </xf>
    <xf numFmtId="38" fontId="17" fillId="5" borderId="11" xfId="0" applyNumberFormat="1" applyFont="1" applyFill="1" applyBorder="1" applyAlignment="1">
      <alignment horizontal="center" vertical="center"/>
    </xf>
    <xf numFmtId="164" fontId="15" fillId="4" borderId="29" xfId="0" applyNumberFormat="1" applyFont="1" applyFill="1" applyBorder="1" applyAlignment="1">
      <alignment horizontal="center" vertical="center"/>
    </xf>
    <xf numFmtId="9" fontId="23" fillId="4" borderId="21" xfId="1" applyFont="1" applyFill="1" applyBorder="1" applyAlignment="1">
      <alignment horizontal="center" vertical="center"/>
    </xf>
    <xf numFmtId="38" fontId="17" fillId="5" borderId="35" xfId="0" applyNumberFormat="1" applyFont="1" applyFill="1" applyBorder="1" applyAlignment="1">
      <alignment horizontal="center" vertical="center"/>
    </xf>
    <xf numFmtId="166" fontId="23" fillId="4" borderId="21" xfId="1"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40" fontId="17" fillId="4" borderId="16"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11" xfId="1" applyFont="1" applyFill="1" applyBorder="1" applyAlignment="1">
      <alignment horizontal="center" vertical="center"/>
    </xf>
    <xf numFmtId="40" fontId="15" fillId="4" borderId="11"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4" borderId="38" xfId="0" applyNumberFormat="1" applyFont="1" applyFill="1" applyBorder="1" applyAlignment="1" applyProtection="1">
      <alignment horizontal="center" vertical="center"/>
    </xf>
    <xf numFmtId="0" fontId="0" fillId="4" borderId="29" xfId="0"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4" borderId="29" xfId="0" applyNumberFormat="1" applyFont="1" applyFill="1" applyBorder="1" applyAlignment="1" applyProtection="1">
      <alignment horizontal="center" vertical="center"/>
    </xf>
    <xf numFmtId="1" fontId="15" fillId="2" borderId="40"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vertical="center"/>
    </xf>
    <xf numFmtId="1" fontId="15" fillId="4" borderId="9" xfId="0" applyNumberFormat="1" applyFont="1" applyFill="1" applyBorder="1" applyAlignment="1" applyProtection="1">
      <alignment horizontal="center" vertical="center"/>
    </xf>
    <xf numFmtId="2" fontId="15" fillId="4" borderId="22" xfId="0" applyNumberFormat="1" applyFont="1" applyFill="1" applyBorder="1" applyAlignment="1">
      <alignment horizontal="center" vertical="center"/>
    </xf>
    <xf numFmtId="167" fontId="13" fillId="4" borderId="31"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 fontId="15" fillId="4" borderId="39"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11" fillId="4" borderId="3" xfId="0" applyNumberFormat="1" applyFont="1" applyFill="1" applyBorder="1" applyAlignment="1" applyProtection="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8" xfId="0" applyFont="1" applyFill="1" applyBorder="1"/>
    <xf numFmtId="0" fontId="2" fillId="4" borderId="25" xfId="0" applyFont="1" applyFill="1" applyBorder="1"/>
    <xf numFmtId="0" fontId="0" fillId="4" borderId="5" xfId="0" applyFont="1" applyFill="1" applyBorder="1"/>
    <xf numFmtId="1" fontId="15" fillId="5" borderId="0" xfId="0" applyNumberFormat="1" applyFont="1" applyFill="1" applyAlignment="1">
      <alignment horizontal="center" vertical="center"/>
    </xf>
    <xf numFmtId="1" fontId="15" fillId="5" borderId="11" xfId="0" applyNumberFormat="1" applyFont="1" applyFill="1" applyBorder="1" applyAlignment="1">
      <alignment horizontal="center" vertical="center"/>
    </xf>
    <xf numFmtId="38" fontId="17" fillId="5" borderId="0" xfId="0" applyNumberFormat="1" applyFont="1" applyFill="1" applyAlignment="1">
      <alignment horizontal="center" vertical="center"/>
    </xf>
    <xf numFmtId="9" fontId="23" fillId="4" borderId="8" xfId="1" applyFont="1" applyFill="1" applyBorder="1" applyAlignment="1">
      <alignment horizontal="center" vertical="center"/>
    </xf>
    <xf numFmtId="164" fontId="15" fillId="4"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1" fontId="15" fillId="4" borderId="18" xfId="0" applyNumberFormat="1" applyFont="1" applyFill="1" applyBorder="1" applyAlignment="1">
      <alignment horizontal="center" vertical="center"/>
    </xf>
    <xf numFmtId="9" fontId="23" fillId="4" borderId="18"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5" fillId="4" borderId="13"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4" fontId="17" fillId="5" borderId="29" xfId="0" applyNumberFormat="1" applyFont="1" applyFill="1" applyBorder="1" applyAlignment="1">
      <alignment horizontal="center" vertical="center"/>
    </xf>
    <xf numFmtId="164" fontId="17" fillId="5" borderId="18" xfId="0" applyNumberFormat="1" applyFont="1" applyFill="1" applyBorder="1" applyAlignment="1">
      <alignment horizontal="center" vertical="center"/>
    </xf>
    <xf numFmtId="38" fontId="17" fillId="4" borderId="18" xfId="0" applyNumberFormat="1" applyFont="1" applyFill="1" applyBorder="1" applyAlignment="1">
      <alignment horizontal="center" vertical="center"/>
    </xf>
    <xf numFmtId="40" fontId="17" fillId="5" borderId="18"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21" fillId="4" borderId="4"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vertical="center" wrapText="1"/>
    </xf>
    <xf numFmtId="2" fontId="20" fillId="4" borderId="25" xfId="0" applyNumberFormat="1" applyFont="1" applyFill="1" applyBorder="1" applyAlignment="1" applyProtection="1">
      <alignment vertical="center" wrapText="1"/>
    </xf>
    <xf numFmtId="2" fontId="19" fillId="4" borderId="28"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0" applyNumberFormat="1" applyFont="1" applyFill="1" applyBorder="1" applyAlignment="1">
      <alignment horizontal="center" vertical="center" wrapText="1"/>
    </xf>
    <xf numFmtId="168" fontId="13" fillId="4" borderId="0" xfId="0" applyNumberFormat="1" applyFont="1" applyFill="1" applyBorder="1" applyAlignment="1">
      <alignment horizontal="center" vertical="center" wrapText="1"/>
    </xf>
    <xf numFmtId="168" fontId="13" fillId="4" borderId="1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2" fontId="3" fillId="0" borderId="6"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1" xfId="0" applyFont="1" applyFill="1" applyBorder="1" applyAlignment="1">
      <alignment horizontal="left" vertical="center"/>
    </xf>
    <xf numFmtId="0" fontId="0" fillId="4" borderId="0" xfId="0" applyFill="1" applyAlignment="1">
      <alignment horizontal="center" vertical="center"/>
    </xf>
    <xf numFmtId="0" fontId="0" fillId="0" borderId="0" xfId="0" applyFont="1" applyAlignment="1">
      <alignment horizontal="left"/>
    </xf>
    <xf numFmtId="0" fontId="0" fillId="0" borderId="32"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1" fontId="8" fillId="4" borderId="0" xfId="0" applyNumberFormat="1" applyFont="1" applyFill="1" applyBorder="1" applyAlignment="1">
      <alignment horizontal="center" vertical="center" wrapText="1"/>
    </xf>
    <xf numFmtId="1" fontId="0" fillId="5" borderId="29" xfId="0" applyNumberFormat="1" applyFill="1" applyBorder="1" applyAlignment="1">
      <alignment horizontal="center" vertical="center" wrapText="1"/>
    </xf>
    <xf numFmtId="1" fontId="0" fillId="5" borderId="30" xfId="0" applyNumberFormat="1" applyFill="1" applyBorder="1" applyAlignment="1">
      <alignment horizontal="center" vertical="center" wrapText="1"/>
    </xf>
    <xf numFmtId="1" fontId="0" fillId="4" borderId="0" xfId="0" applyNumberFormat="1" applyFill="1" applyBorder="1" applyAlignment="1">
      <alignment horizontal="center" vertical="center" wrapText="1"/>
    </xf>
    <xf numFmtId="1" fontId="0" fillId="4" borderId="11" xfId="0" applyNumberFormat="1" applyFill="1" applyBorder="1" applyAlignment="1">
      <alignment horizontal="center" vertical="center" wrapText="1"/>
    </xf>
    <xf numFmtId="1" fontId="0" fillId="5" borderId="8" xfId="0" applyNumberFormat="1" applyFont="1" applyFill="1" applyBorder="1" applyAlignment="1">
      <alignment horizontal="center" vertical="center" wrapText="1"/>
    </xf>
    <xf numFmtId="1" fontId="0" fillId="5" borderId="21" xfId="0" applyNumberFormat="1" applyFont="1" applyFill="1" applyBorder="1" applyAlignment="1">
      <alignment horizontal="center" vertical="center" wrapText="1"/>
    </xf>
    <xf numFmtId="1" fontId="8" fillId="4" borderId="29" xfId="0" applyNumberFormat="1" applyFont="1" applyFill="1" applyBorder="1" applyAlignment="1">
      <alignment horizontal="center" vertical="center" wrapText="1"/>
    </xf>
    <xf numFmtId="1" fontId="8" fillId="4" borderId="30" xfId="0" applyNumberFormat="1" applyFont="1" applyFill="1" applyBorder="1" applyAlignment="1">
      <alignment horizontal="center" vertical="center" wrapText="1"/>
    </xf>
    <xf numFmtId="1" fontId="8" fillId="4" borderId="23" xfId="0" applyNumberFormat="1" applyFont="1" applyFill="1" applyBorder="1" applyAlignment="1">
      <alignment horizontal="center" vertical="center" wrapText="1"/>
    </xf>
    <xf numFmtId="1" fontId="8" fillId="4" borderId="11" xfId="0" applyNumberFormat="1" applyFont="1" applyFill="1" applyBorder="1" applyAlignment="1">
      <alignment horizontal="center" vertical="center" wrapText="1"/>
    </xf>
    <xf numFmtId="1" fontId="0" fillId="4" borderId="29" xfId="0" applyNumberFormat="1" applyFill="1" applyBorder="1" applyAlignment="1">
      <alignment horizontal="center" vertical="center" wrapText="1"/>
    </xf>
    <xf numFmtId="1" fontId="0" fillId="4" borderId="30" xfId="0" applyNumberFormat="1" applyFill="1" applyBorder="1" applyAlignment="1">
      <alignment horizontal="center" vertical="center" wrapText="1"/>
    </xf>
    <xf numFmtId="1" fontId="0" fillId="4" borderId="21" xfId="0" applyNumberFormat="1"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val>
            <c:numRef>
              <c:f>'4. Valoración'!$H$22:$N$22</c:f>
              <c:numCache>
                <c:formatCode>_ [$$-340A]* #,##0.0_ ;_ [$$-340A]* \-#,##0.0_ ;_ [$$-340A]* "-"??_ ;_ @_ </c:formatCode>
                <c:ptCount val="7"/>
                <c:pt idx="1">
                  <c:v>69.795275590551185</c:v>
                </c:pt>
                <c:pt idx="2">
                  <c:v>73.62838709677419</c:v>
                </c:pt>
                <c:pt idx="3">
                  <c:v>85.489250909090913</c:v>
                </c:pt>
                <c:pt idx="4">
                  <c:v>101.95718029473684</c:v>
                </c:pt>
                <c:pt idx="5">
                  <c:v>124.706376148</c:v>
                </c:pt>
                <c:pt idx="6">
                  <c:v>158.08931376300308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_-;\-[$€-2]\ * #,##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194733</xdr:colOff>
      <xdr:row>1</xdr:row>
      <xdr:rowOff>186267</xdr:rowOff>
    </xdr:from>
    <xdr:to>
      <xdr:col>10</xdr:col>
      <xdr:colOff>289169</xdr:colOff>
      <xdr:row>5</xdr:row>
      <xdr:rowOff>60960</xdr:rowOff>
    </xdr:to>
    <xdr:pic>
      <xdr:nvPicPr>
        <xdr:cNvPr id="3" name="Picture 2" descr="Resultado de imagen de aercap logo">
          <a:extLst>
            <a:ext uri="{FF2B5EF4-FFF2-40B4-BE49-F238E27FC236}">
              <a16:creationId xmlns:a16="http://schemas.microsoft.com/office/drawing/2014/main" id="{07A3C1F1-1682-4751-9169-A2519CBBF3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88000" y="389467"/>
          <a:ext cx="3828236" cy="83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289560</xdr:colOff>
      <xdr:row>2</xdr:row>
      <xdr:rowOff>60960</xdr:rowOff>
    </xdr:from>
    <xdr:to>
      <xdr:col>10</xdr:col>
      <xdr:colOff>498296</xdr:colOff>
      <xdr:row>6</xdr:row>
      <xdr:rowOff>138853</xdr:rowOff>
    </xdr:to>
    <xdr:pic>
      <xdr:nvPicPr>
        <xdr:cNvPr id="3" name="Picture 2" descr="Resultado de imagen de aercap logo">
          <a:extLst>
            <a:ext uri="{FF2B5EF4-FFF2-40B4-BE49-F238E27FC236}">
              <a16:creationId xmlns:a16="http://schemas.microsoft.com/office/drawing/2014/main" id="{3B1E7A83-B643-4F4E-926B-97CAEDAAD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5480" y="457200"/>
          <a:ext cx="3828236" cy="83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213360</xdr:colOff>
      <xdr:row>2</xdr:row>
      <xdr:rowOff>91440</xdr:rowOff>
    </xdr:from>
    <xdr:to>
      <xdr:col>11</xdr:col>
      <xdr:colOff>292556</xdr:colOff>
      <xdr:row>6</xdr:row>
      <xdr:rowOff>169333</xdr:rowOff>
    </xdr:to>
    <xdr:pic>
      <xdr:nvPicPr>
        <xdr:cNvPr id="3" name="Picture 2" descr="Resultado de imagen de aercap logo">
          <a:extLst>
            <a:ext uri="{FF2B5EF4-FFF2-40B4-BE49-F238E27FC236}">
              <a16:creationId xmlns:a16="http://schemas.microsoft.com/office/drawing/2014/main" id="{8C9CB764-2920-4F2C-A600-AFA520BAD7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94020" y="472440"/>
          <a:ext cx="3828236" cy="83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25</xdr:row>
      <xdr:rowOff>61912</xdr:rowOff>
    </xdr:from>
    <xdr:to>
      <xdr:col>10</xdr:col>
      <xdr:colOff>348615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60960</xdr:colOff>
      <xdr:row>2</xdr:row>
      <xdr:rowOff>106680</xdr:rowOff>
    </xdr:from>
    <xdr:to>
      <xdr:col>11</xdr:col>
      <xdr:colOff>254456</xdr:colOff>
      <xdr:row>6</xdr:row>
      <xdr:rowOff>184573</xdr:rowOff>
    </xdr:to>
    <xdr:pic>
      <xdr:nvPicPr>
        <xdr:cNvPr id="4" name="Picture 2" descr="Resultado de imagen de aercap logo">
          <a:extLst>
            <a:ext uri="{FF2B5EF4-FFF2-40B4-BE49-F238E27FC236}">
              <a16:creationId xmlns:a16="http://schemas.microsoft.com/office/drawing/2014/main" id="{418644E4-FD1C-406C-9793-86CCE59AE0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040" y="487680"/>
          <a:ext cx="3828236" cy="83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90" zoomScaleNormal="90" workbookViewId="0">
      <selection activeCell="P19" sqref="P19"/>
    </sheetView>
  </sheetViews>
  <sheetFormatPr baseColWidth="10" defaultColWidth="11.44140625" defaultRowHeight="15.6" outlineLevelRow="1" x14ac:dyDescent="0.3"/>
  <cols>
    <col min="1" max="1" width="3.33203125" style="39" customWidth="1"/>
    <col min="2" max="2" width="42.33203125" style="31" customWidth="1"/>
    <col min="3" max="8" width="11" style="70" customWidth="1"/>
    <col min="9" max="9" width="10.44140625" style="70" customWidth="1"/>
    <col min="10" max="14" width="11" style="70" customWidth="1"/>
    <col min="15" max="15" width="14.5546875" style="39" customWidth="1"/>
    <col min="16" max="16384" width="11.44140625" style="39"/>
  </cols>
  <sheetData>
    <row r="1" spans="2:19" ht="16.2" thickBot="1" x14ac:dyDescent="0.35"/>
    <row r="2" spans="2:19" ht="30" customHeight="1" x14ac:dyDescent="0.3">
      <c r="B2" s="265"/>
      <c r="C2" s="268"/>
      <c r="D2" s="268"/>
      <c r="E2" s="268"/>
      <c r="F2" s="268"/>
      <c r="G2" s="268"/>
      <c r="H2" s="268"/>
      <c r="I2" s="268"/>
      <c r="J2" s="268"/>
      <c r="K2" s="268"/>
      <c r="L2" s="268"/>
      <c r="M2" s="268"/>
      <c r="N2" s="269"/>
      <c r="O2" s="26"/>
      <c r="P2" s="26"/>
      <c r="Q2" s="14"/>
      <c r="R2" s="14"/>
    </row>
    <row r="3" spans="2:19" ht="15.9" customHeight="1" x14ac:dyDescent="0.3">
      <c r="B3" s="266"/>
      <c r="C3" s="270"/>
      <c r="D3" s="270"/>
      <c r="E3" s="270"/>
      <c r="F3" s="270"/>
      <c r="G3" s="270"/>
      <c r="H3" s="270"/>
      <c r="I3" s="270"/>
      <c r="J3" s="270"/>
      <c r="K3" s="270"/>
      <c r="L3" s="270"/>
      <c r="M3" s="270"/>
      <c r="N3" s="271"/>
      <c r="O3" s="26"/>
      <c r="P3" s="26"/>
      <c r="Q3" s="14"/>
      <c r="R3" s="14"/>
    </row>
    <row r="4" spans="2:19" ht="15.9" customHeight="1" x14ac:dyDescent="0.3">
      <c r="B4" s="266"/>
      <c r="C4" s="270"/>
      <c r="D4" s="270"/>
      <c r="E4" s="270"/>
      <c r="F4" s="270"/>
      <c r="G4" s="270"/>
      <c r="H4" s="270"/>
      <c r="I4" s="270"/>
      <c r="J4" s="270"/>
      <c r="K4" s="270"/>
      <c r="L4" s="270"/>
      <c r="M4" s="270"/>
      <c r="N4" s="271"/>
      <c r="O4" s="26"/>
      <c r="P4" s="26"/>
      <c r="Q4" s="14"/>
      <c r="R4" s="14"/>
    </row>
    <row r="5" spans="2:19" ht="15.9" customHeight="1" x14ac:dyDescent="0.3">
      <c r="B5" s="266"/>
      <c r="C5" s="270"/>
      <c r="D5" s="270"/>
      <c r="E5" s="270"/>
      <c r="F5" s="270"/>
      <c r="G5" s="270"/>
      <c r="H5" s="270"/>
      <c r="I5" s="270"/>
      <c r="J5" s="270"/>
      <c r="K5" s="270"/>
      <c r="L5" s="270"/>
      <c r="M5" s="270"/>
      <c r="N5" s="271"/>
      <c r="O5" s="26"/>
      <c r="P5" s="26"/>
      <c r="Q5" s="14"/>
      <c r="R5" s="14"/>
    </row>
    <row r="6" spans="2:19" ht="15.9" customHeight="1" x14ac:dyDescent="0.3">
      <c r="B6" s="266"/>
      <c r="C6" s="270"/>
      <c r="D6" s="270"/>
      <c r="E6" s="270"/>
      <c r="F6" s="270"/>
      <c r="G6" s="270"/>
      <c r="H6" s="270"/>
      <c r="I6" s="270"/>
      <c r="J6" s="270"/>
      <c r="K6" s="270"/>
      <c r="L6" s="270"/>
      <c r="M6" s="270"/>
      <c r="N6" s="271"/>
      <c r="O6" s="26"/>
      <c r="P6" s="26"/>
      <c r="Q6" s="14"/>
    </row>
    <row r="7" spans="2:19" ht="15.9" customHeight="1" thickBot="1" x14ac:dyDescent="0.35">
      <c r="B7" s="266"/>
      <c r="C7" s="272"/>
      <c r="D7" s="272"/>
      <c r="E7" s="272"/>
      <c r="F7" s="272"/>
      <c r="G7" s="272"/>
      <c r="H7" s="272"/>
      <c r="I7" s="272"/>
      <c r="J7" s="272"/>
      <c r="K7" s="272"/>
      <c r="L7" s="272"/>
      <c r="M7" s="272"/>
      <c r="N7" s="273"/>
      <c r="O7" s="26"/>
      <c r="P7" s="26"/>
      <c r="Q7" s="14"/>
    </row>
    <row r="8" spans="2:19" ht="15.9" customHeight="1" thickBot="1" x14ac:dyDescent="0.35">
      <c r="B8" s="267"/>
      <c r="C8" s="32">
        <v>2014</v>
      </c>
      <c r="D8" s="33">
        <v>2015</v>
      </c>
      <c r="E8" s="33">
        <v>2016</v>
      </c>
      <c r="F8" s="33">
        <v>2017</v>
      </c>
      <c r="G8" s="33">
        <v>2018</v>
      </c>
      <c r="H8" s="33">
        <v>2019</v>
      </c>
      <c r="I8" s="33">
        <v>2020</v>
      </c>
      <c r="J8" s="166">
        <v>2021</v>
      </c>
      <c r="K8" s="103">
        <v>2022</v>
      </c>
      <c r="L8" s="103">
        <v>2023</v>
      </c>
      <c r="M8" s="103">
        <v>2024</v>
      </c>
      <c r="N8" s="104">
        <v>2025</v>
      </c>
      <c r="O8" s="14"/>
      <c r="P8" s="14"/>
      <c r="Q8" s="14"/>
    </row>
    <row r="9" spans="2:19" ht="15.9" customHeight="1" x14ac:dyDescent="0.3">
      <c r="B9" s="67" t="s">
        <v>28</v>
      </c>
      <c r="C9" s="71"/>
      <c r="D9" s="72"/>
      <c r="E9" s="72"/>
      <c r="F9" s="72"/>
      <c r="G9" s="72"/>
      <c r="H9" s="72"/>
      <c r="I9" s="72"/>
      <c r="J9" s="71"/>
      <c r="K9" s="72"/>
      <c r="L9" s="72"/>
      <c r="M9" s="73"/>
      <c r="N9" s="74"/>
      <c r="O9" s="14"/>
      <c r="P9" s="14"/>
      <c r="Q9" s="14"/>
    </row>
    <row r="10" spans="2:19" ht="15.9" customHeight="1" thickBot="1" x14ac:dyDescent="0.35">
      <c r="B10" s="61" t="s">
        <v>15</v>
      </c>
      <c r="C10" s="228">
        <v>3591</v>
      </c>
      <c r="D10" s="228">
        <v>5287</v>
      </c>
      <c r="E10" s="228">
        <v>5152</v>
      </c>
      <c r="F10" s="228">
        <v>5037</v>
      </c>
      <c r="G10" s="228">
        <v>4799</v>
      </c>
      <c r="H10" s="240">
        <v>4937</v>
      </c>
      <c r="I10" s="186">
        <v>4493</v>
      </c>
      <c r="J10" s="75">
        <f>(I10*$P$11)+I10</f>
        <v>4627.79</v>
      </c>
      <c r="K10" s="75">
        <f>(J10*$P$11)+J10</f>
        <v>4766.6237000000001</v>
      </c>
      <c r="L10" s="75">
        <f>(K10*$P$11)+K10</f>
        <v>4909.6224110000003</v>
      </c>
      <c r="M10" s="75">
        <f>(L10*$P$11)+L10</f>
        <v>5056.9110833300001</v>
      </c>
      <c r="N10" s="76">
        <f>(M10*$P$11)+M10</f>
        <v>5208.6184158299002</v>
      </c>
      <c r="O10" s="14"/>
      <c r="P10" s="14"/>
      <c r="Q10" s="14"/>
    </row>
    <row r="11" spans="2:19" ht="15.75" customHeight="1" thickBot="1" x14ac:dyDescent="0.35">
      <c r="B11" s="248" t="s">
        <v>27</v>
      </c>
      <c r="C11" s="229" t="e">
        <f t="shared" ref="C11:H11" si="0">(C10-B10)/B10</f>
        <v>#VALUE!</v>
      </c>
      <c r="D11" s="229">
        <f t="shared" si="0"/>
        <v>0.47229184071289332</v>
      </c>
      <c r="E11" s="229">
        <f t="shared" si="0"/>
        <v>-2.5534329487421979E-2</v>
      </c>
      <c r="F11" s="229">
        <f t="shared" si="0"/>
        <v>-2.2321428571428572E-2</v>
      </c>
      <c r="G11" s="229">
        <f t="shared" si="0"/>
        <v>-4.7250347429025216E-2</v>
      </c>
      <c r="H11" s="229">
        <f t="shared" si="0"/>
        <v>2.8755990831423214E-2</v>
      </c>
      <c r="I11" s="188">
        <f t="shared" ref="I11" si="1">(I10-H10)/H10</f>
        <v>-8.9933157788130449E-2</v>
      </c>
      <c r="J11" s="78">
        <v>0.03</v>
      </c>
      <c r="K11" s="78">
        <f>$P$11</f>
        <v>0.03</v>
      </c>
      <c r="L11" s="78">
        <f>$P$11</f>
        <v>0.03</v>
      </c>
      <c r="M11" s="78">
        <f>$P$11</f>
        <v>0.03</v>
      </c>
      <c r="N11" s="79">
        <f>$P$11</f>
        <v>0.03</v>
      </c>
      <c r="O11" s="40" t="s">
        <v>25</v>
      </c>
      <c r="P11" s="10">
        <v>0.03</v>
      </c>
      <c r="Q11" s="14"/>
      <c r="S11"/>
    </row>
    <row r="12" spans="2:19" ht="15.9" customHeight="1" x14ac:dyDescent="0.3">
      <c r="B12" s="249" t="s">
        <v>6</v>
      </c>
      <c r="C12" s="230">
        <f t="shared" ref="C12:E12" si="2">C15+C14</f>
        <v>2978</v>
      </c>
      <c r="D12" s="230">
        <f t="shared" si="2"/>
        <v>4307</v>
      </c>
      <c r="E12" s="230">
        <f t="shared" si="2"/>
        <v>4082</v>
      </c>
      <c r="F12" s="230">
        <f>F15+F14</f>
        <v>4074</v>
      </c>
      <c r="G12" s="230">
        <f>G15+G14</f>
        <v>4003</v>
      </c>
      <c r="H12" s="187">
        <f>H15+H14</f>
        <v>4311</v>
      </c>
      <c r="I12" s="187">
        <f t="shared" ref="I12" si="3">I15+I14</f>
        <v>3665</v>
      </c>
      <c r="J12" s="156">
        <f t="shared" ref="J12:N12" si="4">J15+J14</f>
        <v>4008.2449999999999</v>
      </c>
      <c r="K12" s="82">
        <f t="shared" si="4"/>
        <v>4128.4923500000004</v>
      </c>
      <c r="L12" s="82">
        <f t="shared" si="4"/>
        <v>4252.3471205000005</v>
      </c>
      <c r="M12" s="82">
        <f t="shared" si="4"/>
        <v>4379.9175341150003</v>
      </c>
      <c r="N12" s="83">
        <f t="shared" si="4"/>
        <v>4511.3150601384496</v>
      </c>
      <c r="O12" s="14"/>
      <c r="P12" s="20"/>
      <c r="Q12" s="14"/>
    </row>
    <row r="13" spans="2:19" ht="15.9" customHeight="1" x14ac:dyDescent="0.3">
      <c r="B13" s="248" t="s">
        <v>16</v>
      </c>
      <c r="C13" s="229">
        <f t="shared" ref="C13:H13" si="5">(C12/C10)</f>
        <v>0.8292954608744082</v>
      </c>
      <c r="D13" s="229">
        <f t="shared" si="5"/>
        <v>0.81463968223945527</v>
      </c>
      <c r="E13" s="229">
        <f t="shared" si="5"/>
        <v>0.79231366459627328</v>
      </c>
      <c r="F13" s="229">
        <f t="shared" si="5"/>
        <v>0.80881477069684338</v>
      </c>
      <c r="G13" s="229">
        <f t="shared" si="5"/>
        <v>0.83413211085642847</v>
      </c>
      <c r="H13" s="229">
        <f t="shared" si="5"/>
        <v>0.8732023496050233</v>
      </c>
      <c r="I13" s="188">
        <f t="shared" ref="I13" si="6">(I12/I10)</f>
        <v>0.81571333184954375</v>
      </c>
      <c r="J13" s="84">
        <f>J12/J10</f>
        <v>0.86612508346316486</v>
      </c>
      <c r="K13" s="77">
        <f>K12/K10</f>
        <v>0.86612508346316497</v>
      </c>
      <c r="L13" s="77">
        <f>L12/L10</f>
        <v>0.86612508346316497</v>
      </c>
      <c r="M13" s="77">
        <f>M12/M10</f>
        <v>0.86612508346316497</v>
      </c>
      <c r="N13" s="85">
        <f>N12/N10</f>
        <v>0.86612508346316486</v>
      </c>
      <c r="O13" s="14"/>
      <c r="P13" s="14"/>
      <c r="Q13" s="14"/>
    </row>
    <row r="14" spans="2:19" ht="15.9" customHeight="1" thickBot="1" x14ac:dyDescent="0.35">
      <c r="B14" s="250" t="s">
        <v>0</v>
      </c>
      <c r="C14" s="228">
        <v>1282</v>
      </c>
      <c r="D14" s="228">
        <v>1843</v>
      </c>
      <c r="E14" s="228">
        <v>1791</v>
      </c>
      <c r="F14" s="228">
        <v>1727</v>
      </c>
      <c r="G14" s="228">
        <v>1679</v>
      </c>
      <c r="H14" s="241">
        <v>1676</v>
      </c>
      <c r="I14" s="189">
        <f>1645</f>
        <v>1645</v>
      </c>
      <c r="J14" s="86">
        <f>(I14*$P$11)+I14</f>
        <v>1694.35</v>
      </c>
      <c r="K14" s="86">
        <f>(J14*$P$11)+J14</f>
        <v>1745.1804999999999</v>
      </c>
      <c r="L14" s="86">
        <f>(K14*$P$11)+K14</f>
        <v>1797.5359149999999</v>
      </c>
      <c r="M14" s="86">
        <f>(L14*$P$11)+L14</f>
        <v>1851.46199245</v>
      </c>
      <c r="N14" s="87">
        <f>(M14*$P$11)+M14</f>
        <v>1907.0058522234999</v>
      </c>
      <c r="O14" s="14"/>
      <c r="P14" s="14"/>
      <c r="Q14" s="14"/>
    </row>
    <row r="15" spans="2:19" ht="15.9" customHeight="1" outlineLevel="1" thickBot="1" x14ac:dyDescent="0.35">
      <c r="B15" s="61" t="s">
        <v>7</v>
      </c>
      <c r="C15" s="131">
        <v>1696</v>
      </c>
      <c r="D15" s="131">
        <v>2464</v>
      </c>
      <c r="E15" s="131">
        <v>2291</v>
      </c>
      <c r="F15" s="131">
        <v>2347</v>
      </c>
      <c r="G15" s="131">
        <v>2324</v>
      </c>
      <c r="H15" s="131">
        <v>2635</v>
      </c>
      <c r="I15" s="155">
        <f>-314+1086+1248</f>
        <v>2020</v>
      </c>
      <c r="J15" s="75">
        <f>J10*$P$16</f>
        <v>2313.895</v>
      </c>
      <c r="K15" s="75">
        <f>K10*$P$16</f>
        <v>2383.31185</v>
      </c>
      <c r="L15" s="75">
        <f>L10*$P$16</f>
        <v>2454.8112055000001</v>
      </c>
      <c r="M15" s="75">
        <f>M10*$P$16</f>
        <v>2528.4555416650001</v>
      </c>
      <c r="N15" s="76">
        <f>N10*$P$16</f>
        <v>2604.3092079149501</v>
      </c>
      <c r="O15" s="14"/>
      <c r="P15" s="14"/>
      <c r="Q15" s="14"/>
    </row>
    <row r="16" spans="2:19" ht="15.9" customHeight="1" outlineLevel="1" thickBot="1" x14ac:dyDescent="0.35">
      <c r="B16" s="248" t="s">
        <v>17</v>
      </c>
      <c r="C16" s="229">
        <f t="shared" ref="C16:E16" si="7">(C15/C10)</f>
        <v>0.47229184071289332</v>
      </c>
      <c r="D16" s="229">
        <f t="shared" si="7"/>
        <v>0.4660487989407982</v>
      </c>
      <c r="E16" s="229">
        <f t="shared" si="7"/>
        <v>0.44468167701863354</v>
      </c>
      <c r="F16" s="229">
        <f>(F15/F10)</f>
        <v>0.46595195552908475</v>
      </c>
      <c r="G16" s="229">
        <f>(G15/G10)</f>
        <v>0.48426755574077934</v>
      </c>
      <c r="H16" s="229">
        <f>(H15/H10)</f>
        <v>0.53372493417054889</v>
      </c>
      <c r="I16" s="190">
        <f t="shared" ref="I16" si="8">(I15/I10)</f>
        <v>0.44958824838637879</v>
      </c>
      <c r="J16" s="84">
        <f t="shared" ref="J16:N16" si="9">(J15/J10)</f>
        <v>0.5</v>
      </c>
      <c r="K16" s="77">
        <f t="shared" si="9"/>
        <v>0.5</v>
      </c>
      <c r="L16" s="77">
        <f t="shared" si="9"/>
        <v>0.5</v>
      </c>
      <c r="M16" s="77">
        <f t="shared" si="9"/>
        <v>0.5</v>
      </c>
      <c r="N16" s="85">
        <f t="shared" si="9"/>
        <v>0.5</v>
      </c>
      <c r="O16" s="40" t="s">
        <v>24</v>
      </c>
      <c r="P16" s="17">
        <v>0.5</v>
      </c>
      <c r="Q16" s="14"/>
    </row>
    <row r="17" spans="2:17" ht="15.9" customHeight="1" outlineLevel="1" x14ac:dyDescent="0.3">
      <c r="B17" s="251" t="s">
        <v>46</v>
      </c>
      <c r="C17" s="231">
        <v>780</v>
      </c>
      <c r="D17" s="231">
        <v>1099</v>
      </c>
      <c r="E17" s="231">
        <v>1091</v>
      </c>
      <c r="F17" s="231">
        <v>1112</v>
      </c>
      <c r="G17" s="231">
        <v>1174</v>
      </c>
      <c r="H17" s="242">
        <v>1295</v>
      </c>
      <c r="I17" s="191">
        <v>1248</v>
      </c>
      <c r="J17" s="128">
        <f>(I17*$P$11)+I17</f>
        <v>1285.44</v>
      </c>
      <c r="K17" s="128">
        <f>(J17*$P$11)+J17</f>
        <v>1324.0032000000001</v>
      </c>
      <c r="L17" s="128">
        <f>(K17*$P$11)+K17</f>
        <v>1363.7232960000001</v>
      </c>
      <c r="M17" s="128">
        <f>(L17*$P$11)+L17</f>
        <v>1404.63499488</v>
      </c>
      <c r="N17" s="129">
        <f>(M17*$P$11)+M17</f>
        <v>1446.7740447264</v>
      </c>
      <c r="O17" s="14"/>
      <c r="P17" s="14"/>
      <c r="Q17" s="14"/>
    </row>
    <row r="18" spans="2:17" ht="15.9" customHeight="1" outlineLevel="1" thickBot="1" x14ac:dyDescent="0.35">
      <c r="B18" s="252" t="s">
        <v>70</v>
      </c>
      <c r="C18" s="232"/>
      <c r="D18" s="232"/>
      <c r="E18" s="232"/>
      <c r="F18" s="232"/>
      <c r="G18" s="232"/>
      <c r="H18" s="232"/>
      <c r="I18" s="192"/>
      <c r="J18" s="185"/>
      <c r="K18" s="128"/>
      <c r="L18" s="178"/>
      <c r="M18" s="128"/>
      <c r="N18" s="179"/>
      <c r="O18" s="14"/>
      <c r="P18" s="14"/>
      <c r="Q18" s="14"/>
    </row>
    <row r="19" spans="2:17" ht="15.9" customHeight="1" thickBot="1" x14ac:dyDescent="0.35">
      <c r="B19" s="253" t="s">
        <v>1</v>
      </c>
      <c r="C19" s="233">
        <f>C15-C17-C18</f>
        <v>916</v>
      </c>
      <c r="D19" s="233">
        <f t="shared" ref="D19:H19" si="10">D15-D17-D18</f>
        <v>1365</v>
      </c>
      <c r="E19" s="233">
        <f t="shared" si="10"/>
        <v>1200</v>
      </c>
      <c r="F19" s="233">
        <f t="shared" si="10"/>
        <v>1235</v>
      </c>
      <c r="G19" s="233">
        <f t="shared" si="10"/>
        <v>1150</v>
      </c>
      <c r="H19" s="233">
        <f t="shared" si="10"/>
        <v>1340</v>
      </c>
      <c r="I19" s="193">
        <f t="shared" ref="I19" si="11">I15-I17</f>
        <v>772</v>
      </c>
      <c r="J19" s="174">
        <f t="shared" ref="J19:N19" si="12">J15-J17-J18</f>
        <v>1028.4549999999999</v>
      </c>
      <c r="K19" s="88">
        <f t="shared" si="12"/>
        <v>1059.3086499999999</v>
      </c>
      <c r="L19" s="88">
        <f t="shared" si="12"/>
        <v>1091.0879095</v>
      </c>
      <c r="M19" s="88">
        <f t="shared" si="12"/>
        <v>1123.820546785</v>
      </c>
      <c r="N19" s="89">
        <f t="shared" si="12"/>
        <v>1157.5351631885501</v>
      </c>
      <c r="O19" s="14"/>
      <c r="P19" s="14"/>
      <c r="Q19" s="14"/>
    </row>
    <row r="20" spans="2:17" ht="15.9" customHeight="1" collapsed="1" thickBot="1" x14ac:dyDescent="0.35">
      <c r="B20" s="250" t="s">
        <v>2</v>
      </c>
      <c r="C20" s="231">
        <v>137</v>
      </c>
      <c r="D20" s="231">
        <v>189</v>
      </c>
      <c r="E20" s="231">
        <v>173</v>
      </c>
      <c r="F20" s="231">
        <v>164</v>
      </c>
      <c r="G20" s="231">
        <v>144</v>
      </c>
      <c r="H20" s="243">
        <v>167</v>
      </c>
      <c r="I20" s="194">
        <v>92</v>
      </c>
      <c r="J20" s="86">
        <f t="shared" ref="J20:N20" si="13">J19*J21</f>
        <v>123.41459999999999</v>
      </c>
      <c r="K20" s="86">
        <f t="shared" si="13"/>
        <v>127.11703799999999</v>
      </c>
      <c r="L20" s="86">
        <f t="shared" si="13"/>
        <v>130.93054914000001</v>
      </c>
      <c r="M20" s="86">
        <f t="shared" si="13"/>
        <v>134.85846561419999</v>
      </c>
      <c r="N20" s="87">
        <f t="shared" si="13"/>
        <v>138.90421958262601</v>
      </c>
      <c r="O20" s="14"/>
      <c r="P20" s="14"/>
      <c r="Q20" s="14"/>
    </row>
    <row r="21" spans="2:17" ht="15.9" customHeight="1" thickBot="1" x14ac:dyDescent="0.35">
      <c r="B21" s="248" t="s">
        <v>10</v>
      </c>
      <c r="C21" s="234">
        <f t="shared" ref="C21:H21" si="14">(C20/C19)</f>
        <v>0.14956331877729256</v>
      </c>
      <c r="D21" s="234">
        <f t="shared" si="14"/>
        <v>0.13846153846153847</v>
      </c>
      <c r="E21" s="234">
        <f t="shared" si="14"/>
        <v>0.14416666666666667</v>
      </c>
      <c r="F21" s="234">
        <f t="shared" si="14"/>
        <v>0.13279352226720648</v>
      </c>
      <c r="G21" s="234">
        <f t="shared" si="14"/>
        <v>0.12521739130434784</v>
      </c>
      <c r="H21" s="234">
        <f t="shared" si="14"/>
        <v>0.12462686567164179</v>
      </c>
      <c r="I21" s="195">
        <f t="shared" ref="I21" si="15">(I20/I19)</f>
        <v>0.11917098445595854</v>
      </c>
      <c r="J21" s="84">
        <f>$P$21</f>
        <v>0.12</v>
      </c>
      <c r="K21" s="77">
        <f>$P$21</f>
        <v>0.12</v>
      </c>
      <c r="L21" s="77">
        <f>$P$21</f>
        <v>0.12</v>
      </c>
      <c r="M21" s="77">
        <f>$P$21</f>
        <v>0.12</v>
      </c>
      <c r="N21" s="85">
        <f>$P$21</f>
        <v>0.12</v>
      </c>
      <c r="O21" s="40" t="s">
        <v>26</v>
      </c>
      <c r="P21" s="11">
        <v>0.12</v>
      </c>
      <c r="Q21" s="14"/>
    </row>
    <row r="22" spans="2:17" ht="15.9" customHeight="1" thickBot="1" x14ac:dyDescent="0.35">
      <c r="B22" s="254" t="s">
        <v>3</v>
      </c>
      <c r="C22" s="235">
        <f t="shared" ref="C22:H22" si="16">C19-C20</f>
        <v>779</v>
      </c>
      <c r="D22" s="235">
        <f t="shared" si="16"/>
        <v>1176</v>
      </c>
      <c r="E22" s="235">
        <f t="shared" si="16"/>
        <v>1027</v>
      </c>
      <c r="F22" s="235">
        <f t="shared" si="16"/>
        <v>1071</v>
      </c>
      <c r="G22" s="235">
        <f t="shared" si="16"/>
        <v>1006</v>
      </c>
      <c r="H22" s="244">
        <f t="shared" si="16"/>
        <v>1173</v>
      </c>
      <c r="I22" s="196">
        <f t="shared" ref="I22" si="17">I19-I20</f>
        <v>680</v>
      </c>
      <c r="J22" s="175">
        <f t="shared" ref="J22:N22" si="18">J19-J20</f>
        <v>905.04039999999998</v>
      </c>
      <c r="K22" s="90">
        <f t="shared" si="18"/>
        <v>932.19161199999996</v>
      </c>
      <c r="L22" s="90">
        <f t="shared" si="18"/>
        <v>960.15736035999998</v>
      </c>
      <c r="M22" s="90">
        <f t="shared" si="18"/>
        <v>988.96208117080005</v>
      </c>
      <c r="N22" s="91">
        <f t="shared" si="18"/>
        <v>1018.6309436059241</v>
      </c>
      <c r="O22" s="14"/>
      <c r="P22" s="14"/>
      <c r="Q22" s="14"/>
    </row>
    <row r="23" spans="2:17" ht="15.9" customHeight="1" thickBot="1" x14ac:dyDescent="0.35">
      <c r="B23" s="250" t="s">
        <v>4</v>
      </c>
      <c r="C23" s="197">
        <v>-2</v>
      </c>
      <c r="D23" s="197">
        <v>-1.5</v>
      </c>
      <c r="E23" s="197">
        <v>-7</v>
      </c>
      <c r="F23" s="197">
        <v>4</v>
      </c>
      <c r="G23" s="197">
        <v>2</v>
      </c>
      <c r="H23" s="245">
        <v>21</v>
      </c>
      <c r="I23" s="197">
        <v>3</v>
      </c>
      <c r="J23" s="202">
        <f>I23*(1+$P$11)</f>
        <v>3.09</v>
      </c>
      <c r="K23" s="80">
        <f>J23*(1+$P$11)</f>
        <v>3.1827000000000001</v>
      </c>
      <c r="L23" s="80">
        <f>K23*(1+$P$11)</f>
        <v>3.278181</v>
      </c>
      <c r="M23" s="80">
        <f>L23*(1+$P$11)</f>
        <v>3.3765264300000002</v>
      </c>
      <c r="N23" s="161">
        <f>M23*(1+$P$11)</f>
        <v>3.4778222229000004</v>
      </c>
      <c r="O23" s="14"/>
      <c r="P23" s="14"/>
      <c r="Q23" s="14"/>
    </row>
    <row r="24" spans="2:17" ht="15.9" customHeight="1" x14ac:dyDescent="0.3">
      <c r="B24" s="249" t="s">
        <v>5</v>
      </c>
      <c r="C24" s="236">
        <f t="shared" ref="C24:H24" si="19">C22-C23</f>
        <v>781</v>
      </c>
      <c r="D24" s="236">
        <f t="shared" si="19"/>
        <v>1177.5</v>
      </c>
      <c r="E24" s="236">
        <f t="shared" si="19"/>
        <v>1034</v>
      </c>
      <c r="F24" s="236">
        <f t="shared" si="19"/>
        <v>1067</v>
      </c>
      <c r="G24" s="236">
        <f t="shared" si="19"/>
        <v>1004</v>
      </c>
      <c r="H24" s="236">
        <f t="shared" si="19"/>
        <v>1152</v>
      </c>
      <c r="I24" s="198">
        <f t="shared" ref="I24" si="20">I22-I23</f>
        <v>677</v>
      </c>
      <c r="J24" s="176">
        <f t="shared" ref="J24:N24" si="21">J22-J23</f>
        <v>901.95039999999995</v>
      </c>
      <c r="K24" s="92">
        <f t="shared" si="21"/>
        <v>929.00891200000001</v>
      </c>
      <c r="L24" s="92">
        <f t="shared" si="21"/>
        <v>956.87917935999997</v>
      </c>
      <c r="M24" s="92">
        <f t="shared" si="21"/>
        <v>985.58555474080003</v>
      </c>
      <c r="N24" s="93">
        <f t="shared" si="21"/>
        <v>1015.1531213830241</v>
      </c>
      <c r="O24" s="14"/>
      <c r="P24" s="14"/>
      <c r="Q24" s="14"/>
    </row>
    <row r="25" spans="2:17" ht="15.9" customHeight="1" x14ac:dyDescent="0.3">
      <c r="B25" s="248" t="s">
        <v>29</v>
      </c>
      <c r="C25" s="237">
        <f t="shared" ref="C25:H25" si="22">C24/C10</f>
        <v>0.2174881648565859</v>
      </c>
      <c r="D25" s="237">
        <f t="shared" si="22"/>
        <v>0.22271609608473614</v>
      </c>
      <c r="E25" s="237">
        <f t="shared" si="22"/>
        <v>0.20069875776397517</v>
      </c>
      <c r="F25" s="237">
        <f t="shared" si="22"/>
        <v>0.21183243994441137</v>
      </c>
      <c r="G25" s="237">
        <f t="shared" si="22"/>
        <v>0.20921025213586164</v>
      </c>
      <c r="H25" s="246">
        <f t="shared" si="22"/>
        <v>0.23334008507190601</v>
      </c>
      <c r="I25" s="199">
        <f t="shared" ref="I25:N25" si="23">I24/I10</f>
        <v>0.15067883374137547</v>
      </c>
      <c r="J25" s="84">
        <f t="shared" si="23"/>
        <v>0.19489873135989316</v>
      </c>
      <c r="K25" s="77">
        <f t="shared" si="23"/>
        <v>0.19489873135989316</v>
      </c>
      <c r="L25" s="77">
        <f t="shared" si="23"/>
        <v>0.19489873135989316</v>
      </c>
      <c r="M25" s="77">
        <f t="shared" si="23"/>
        <v>0.19489873135989316</v>
      </c>
      <c r="N25" s="85">
        <f t="shared" si="23"/>
        <v>0.19489873135989319</v>
      </c>
      <c r="O25" s="14"/>
      <c r="P25" s="14"/>
      <c r="Q25" s="14"/>
    </row>
    <row r="26" spans="2:17" ht="15.9" customHeight="1" x14ac:dyDescent="0.3">
      <c r="B26" s="61" t="s">
        <v>18</v>
      </c>
      <c r="C26" s="238">
        <f t="shared" ref="C26:H26" si="24">C24/C27</f>
        <v>4.3631284916201114</v>
      </c>
      <c r="D26" s="238">
        <f t="shared" si="24"/>
        <v>5.7160194174757279</v>
      </c>
      <c r="E26" s="238">
        <f t="shared" si="24"/>
        <v>5.4421052631578943</v>
      </c>
      <c r="F26" s="238">
        <f t="shared" si="24"/>
        <v>6.3892215568862278</v>
      </c>
      <c r="G26" s="238">
        <f t="shared" si="24"/>
        <v>6.7382550335570466</v>
      </c>
      <c r="H26" s="247">
        <f t="shared" si="24"/>
        <v>8.4705882352941178</v>
      </c>
      <c r="I26" s="200">
        <f t="shared" ref="I26" si="25">I24/I27</f>
        <v>5.3307086614173231</v>
      </c>
      <c r="J26" s="94">
        <f t="shared" ref="J26:N26" si="26">J24/J27</f>
        <v>7.2737935483870961</v>
      </c>
      <c r="K26" s="95">
        <f t="shared" si="26"/>
        <v>8.4455355636363638</v>
      </c>
      <c r="L26" s="95">
        <f t="shared" si="26"/>
        <v>10.072412414315789</v>
      </c>
      <c r="M26" s="95">
        <f t="shared" si="26"/>
        <v>12.319819434260001</v>
      </c>
      <c r="N26" s="96">
        <f t="shared" si="26"/>
        <v>15.617740328969601</v>
      </c>
      <c r="O26" s="14"/>
      <c r="P26" s="14"/>
      <c r="Q26" s="14"/>
    </row>
    <row r="27" spans="2:17" ht="15.9" customHeight="1" thickBot="1" x14ac:dyDescent="0.35">
      <c r="B27" s="255" t="s">
        <v>47</v>
      </c>
      <c r="C27" s="239">
        <v>179</v>
      </c>
      <c r="D27" s="239">
        <v>206</v>
      </c>
      <c r="E27" s="239">
        <v>190</v>
      </c>
      <c r="F27" s="239">
        <v>167</v>
      </c>
      <c r="G27" s="239">
        <v>149</v>
      </c>
      <c r="H27" s="239">
        <v>136</v>
      </c>
      <c r="I27" s="201">
        <v>127</v>
      </c>
      <c r="J27" s="97">
        <v>124</v>
      </c>
      <c r="K27" s="98">
        <v>110</v>
      </c>
      <c r="L27" s="98">
        <v>95</v>
      </c>
      <c r="M27" s="98">
        <v>80</v>
      </c>
      <c r="N27" s="99">
        <v>65</v>
      </c>
      <c r="O27" s="14"/>
      <c r="P27" s="14"/>
      <c r="Q27" s="14"/>
    </row>
    <row r="28" spans="2:17" ht="15.9" customHeight="1" x14ac:dyDescent="0.3">
      <c r="B28" s="68"/>
      <c r="C28" s="80"/>
      <c r="D28" s="80"/>
      <c r="E28" s="80"/>
      <c r="F28" s="80"/>
      <c r="G28" s="80"/>
      <c r="H28" s="80"/>
      <c r="I28" s="80"/>
      <c r="J28" s="80"/>
      <c r="K28" s="80"/>
      <c r="L28" s="81"/>
      <c r="M28" s="100"/>
      <c r="N28" s="100"/>
      <c r="O28" s="14"/>
      <c r="P28" s="14"/>
      <c r="Q28" s="14"/>
    </row>
    <row r="29" spans="2:17" ht="15.9" customHeight="1" x14ac:dyDescent="0.3">
      <c r="B29" s="68"/>
      <c r="C29" s="81"/>
      <c r="D29" s="81"/>
      <c r="E29" s="81"/>
      <c r="F29" s="81"/>
      <c r="G29" s="81"/>
      <c r="H29" s="81"/>
      <c r="I29" s="81"/>
      <c r="J29" s="80"/>
      <c r="K29" s="80"/>
      <c r="L29" s="81"/>
      <c r="M29" s="100"/>
      <c r="N29" s="100"/>
      <c r="O29" s="14"/>
      <c r="P29" s="14"/>
      <c r="Q29" s="14"/>
    </row>
    <row r="30" spans="2:17" ht="15.9" customHeight="1" x14ac:dyDescent="0.3">
      <c r="B30" s="68"/>
      <c r="C30" s="80"/>
      <c r="D30" s="80"/>
      <c r="E30" s="80"/>
      <c r="F30" s="80"/>
      <c r="G30" s="80"/>
      <c r="H30" s="80"/>
      <c r="I30" s="80"/>
      <c r="J30" s="80"/>
      <c r="K30" s="80"/>
      <c r="L30" s="80"/>
      <c r="M30" s="100"/>
      <c r="N30" s="100"/>
      <c r="O30" s="14"/>
      <c r="P30" s="14"/>
      <c r="Q30" s="14"/>
    </row>
    <row r="31" spans="2:17" ht="15.9" customHeight="1" x14ac:dyDescent="0.3">
      <c r="B31" s="263"/>
      <c r="C31" s="263"/>
      <c r="D31" s="263"/>
      <c r="E31" s="263"/>
      <c r="F31" s="263"/>
      <c r="G31" s="263"/>
      <c r="H31" s="263"/>
      <c r="I31" s="263"/>
      <c r="J31" s="263"/>
      <c r="K31" s="263"/>
      <c r="L31" s="263"/>
      <c r="M31" s="101"/>
      <c r="N31" s="100"/>
      <c r="O31" s="14"/>
      <c r="P31" s="14"/>
      <c r="Q31" s="14"/>
    </row>
    <row r="32" spans="2:17" ht="15.9" customHeight="1" x14ac:dyDescent="0.3">
      <c r="B32" s="68"/>
      <c r="C32" s="80"/>
      <c r="D32" s="80"/>
      <c r="E32" s="80"/>
      <c r="F32" s="80"/>
      <c r="G32" s="80"/>
      <c r="H32" s="80"/>
      <c r="I32" s="80"/>
      <c r="J32" s="80"/>
      <c r="K32" s="80"/>
      <c r="L32" s="80"/>
      <c r="M32" s="101"/>
      <c r="N32" s="100"/>
    </row>
    <row r="33" spans="2:14" ht="15.9" customHeight="1" x14ac:dyDescent="0.3">
      <c r="B33" s="68"/>
      <c r="C33" s="75"/>
      <c r="D33" s="75"/>
      <c r="E33" s="75"/>
      <c r="F33" s="75"/>
      <c r="G33" s="75"/>
      <c r="H33" s="75"/>
      <c r="I33" s="75"/>
      <c r="J33" s="80"/>
      <c r="K33" s="80"/>
      <c r="L33" s="80"/>
      <c r="M33" s="101"/>
      <c r="N33" s="100"/>
    </row>
    <row r="34" spans="2:14" ht="15.9" customHeight="1" x14ac:dyDescent="0.3">
      <c r="B34" s="69"/>
      <c r="C34" s="95"/>
      <c r="D34" s="95"/>
      <c r="E34" s="95"/>
      <c r="F34" s="95"/>
      <c r="G34" s="95"/>
      <c r="H34" s="95"/>
      <c r="I34" s="95"/>
      <c r="J34" s="95"/>
      <c r="K34" s="95"/>
      <c r="L34" s="95"/>
      <c r="M34" s="101"/>
      <c r="N34" s="100"/>
    </row>
    <row r="35" spans="2:14" ht="15.9" customHeight="1" x14ac:dyDescent="0.3">
      <c r="B35" s="68"/>
      <c r="C35" s="80"/>
      <c r="D35" s="80"/>
      <c r="E35" s="80"/>
      <c r="F35" s="80"/>
      <c r="G35" s="81"/>
      <c r="H35" s="80"/>
      <c r="I35" s="80"/>
      <c r="J35" s="80"/>
      <c r="K35" s="80"/>
      <c r="L35" s="80"/>
      <c r="M35" s="101"/>
      <c r="N35" s="100"/>
    </row>
    <row r="36" spans="2:14" ht="15.9" customHeight="1" x14ac:dyDescent="0.3">
      <c r="B36" s="68"/>
      <c r="C36" s="81"/>
      <c r="D36" s="81"/>
      <c r="E36" s="80"/>
      <c r="F36" s="80"/>
      <c r="G36" s="80"/>
      <c r="H36" s="80"/>
      <c r="I36" s="80"/>
      <c r="J36" s="80"/>
      <c r="K36" s="80"/>
      <c r="L36" s="80"/>
      <c r="M36" s="101"/>
      <c r="N36" s="100"/>
    </row>
    <row r="37" spans="2:14" ht="15.9" customHeight="1" x14ac:dyDescent="0.3">
      <c r="B37" s="69"/>
      <c r="C37" s="95"/>
      <c r="D37" s="95"/>
      <c r="E37" s="95"/>
      <c r="F37" s="95"/>
      <c r="G37" s="95"/>
      <c r="H37" s="95"/>
      <c r="I37" s="95"/>
      <c r="J37" s="95"/>
      <c r="K37" s="95"/>
      <c r="L37" s="95"/>
      <c r="M37" s="101"/>
      <c r="N37" s="100"/>
    </row>
    <row r="38" spans="2:14" ht="15.9" customHeight="1" x14ac:dyDescent="0.3">
      <c r="B38" s="68"/>
      <c r="C38" s="80"/>
      <c r="D38" s="80"/>
      <c r="E38" s="80"/>
      <c r="F38" s="80"/>
      <c r="G38" s="80"/>
      <c r="H38" s="80"/>
      <c r="I38" s="80"/>
      <c r="J38" s="80"/>
      <c r="K38" s="80"/>
      <c r="L38" s="80"/>
      <c r="M38" s="101"/>
      <c r="N38" s="100"/>
    </row>
    <row r="39" spans="2:14" ht="15.9" customHeight="1" x14ac:dyDescent="0.3">
      <c r="B39" s="68"/>
      <c r="C39" s="80"/>
      <c r="D39" s="80"/>
      <c r="E39" s="80"/>
      <c r="F39" s="80"/>
      <c r="G39" s="80"/>
      <c r="H39" s="80"/>
      <c r="I39" s="80"/>
      <c r="J39" s="80"/>
      <c r="K39" s="80"/>
      <c r="L39" s="80"/>
      <c r="M39" s="101"/>
      <c r="N39" s="100"/>
    </row>
    <row r="40" spans="2:14" ht="15.9" customHeight="1" x14ac:dyDescent="0.3">
      <c r="B40" s="68"/>
      <c r="C40" s="80"/>
      <c r="D40" s="80"/>
      <c r="E40" s="80"/>
      <c r="F40" s="81"/>
      <c r="G40" s="80"/>
      <c r="H40" s="80"/>
      <c r="I40" s="80"/>
      <c r="J40" s="80"/>
      <c r="K40" s="80"/>
      <c r="L40" s="80"/>
      <c r="M40" s="101"/>
      <c r="N40" s="100"/>
    </row>
    <row r="41" spans="2:14" ht="15.9" customHeight="1" x14ac:dyDescent="0.3">
      <c r="B41" s="68"/>
      <c r="C41" s="81"/>
      <c r="D41" s="80"/>
      <c r="E41" s="80"/>
      <c r="F41" s="80"/>
      <c r="G41" s="80"/>
      <c r="H41" s="80"/>
      <c r="I41" s="80"/>
      <c r="J41" s="80"/>
      <c r="K41" s="80"/>
      <c r="L41" s="80"/>
      <c r="M41" s="101"/>
      <c r="N41" s="100"/>
    </row>
    <row r="42" spans="2:14" ht="15.9" customHeight="1" x14ac:dyDescent="0.3">
      <c r="B42" s="69"/>
      <c r="C42" s="95"/>
      <c r="D42" s="95"/>
      <c r="E42" s="95"/>
      <c r="F42" s="102"/>
      <c r="G42" s="95"/>
      <c r="H42" s="95"/>
      <c r="I42" s="95"/>
      <c r="J42" s="95"/>
      <c r="K42" s="95"/>
      <c r="L42" s="95"/>
      <c r="M42" s="101"/>
      <c r="N42" s="100"/>
    </row>
    <row r="43" spans="2:14" ht="15.9" customHeight="1" x14ac:dyDescent="0.3">
      <c r="B43" s="264"/>
      <c r="C43" s="264"/>
      <c r="D43" s="264"/>
      <c r="E43" s="264"/>
      <c r="F43" s="264"/>
      <c r="G43" s="264"/>
      <c r="H43" s="264"/>
      <c r="I43" s="264"/>
      <c r="J43" s="264"/>
      <c r="K43" s="264"/>
      <c r="L43" s="264"/>
      <c r="M43" s="100"/>
      <c r="N43" s="100"/>
    </row>
    <row r="44" spans="2:14" ht="15.9" customHeight="1" x14ac:dyDescent="0.3">
      <c r="B44" s="68"/>
      <c r="C44" s="80"/>
      <c r="D44" s="80"/>
      <c r="E44" s="80"/>
      <c r="F44" s="80"/>
      <c r="G44" s="80"/>
      <c r="H44" s="80"/>
      <c r="I44" s="80"/>
      <c r="J44" s="80"/>
      <c r="K44" s="80"/>
      <c r="L44" s="80"/>
      <c r="M44" s="100"/>
      <c r="N44" s="100"/>
    </row>
    <row r="45" spans="2:14" ht="15.9" customHeight="1" x14ac:dyDescent="0.3">
      <c r="B45" s="68"/>
      <c r="C45" s="80"/>
      <c r="D45" s="80"/>
      <c r="E45" s="80"/>
      <c r="F45" s="81"/>
      <c r="G45" s="80"/>
      <c r="H45" s="80"/>
      <c r="I45" s="80"/>
      <c r="J45" s="80"/>
      <c r="K45" s="80"/>
      <c r="L45" s="80"/>
      <c r="M45" s="100"/>
      <c r="N45" s="100"/>
    </row>
    <row r="46" spans="2:14" ht="15.9" customHeight="1" x14ac:dyDescent="0.3">
      <c r="B46" s="68"/>
      <c r="C46" s="80"/>
      <c r="D46" s="80"/>
      <c r="E46" s="80"/>
      <c r="F46" s="80"/>
      <c r="G46" s="80"/>
      <c r="H46" s="80"/>
      <c r="I46" s="80"/>
      <c r="J46" s="80"/>
      <c r="K46" s="80"/>
      <c r="L46" s="80"/>
      <c r="M46" s="100"/>
      <c r="N46" s="100"/>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0"/>
  <sheetViews>
    <sheetView zoomScaleNormal="100" workbookViewId="0">
      <selection activeCell="G22" sqref="G22"/>
    </sheetView>
  </sheetViews>
  <sheetFormatPr baseColWidth="10" defaultColWidth="9.109375" defaultRowHeight="15.6" x14ac:dyDescent="0.3"/>
  <cols>
    <col min="1" max="1" width="3.44140625" customWidth="1"/>
    <col min="2" max="2" width="46.44140625" style="29" customWidth="1"/>
    <col min="3" max="4" width="9.5546875" bestFit="1" customWidth="1"/>
    <col min="5" max="8" width="10.5546875" bestFit="1" customWidth="1"/>
    <col min="9" max="9" width="10.5546875" customWidth="1"/>
    <col min="10" max="14" width="10.5546875" bestFit="1" customWidth="1"/>
  </cols>
  <sheetData>
    <row r="1" spans="2:14" ht="16.2" thickBot="1" x14ac:dyDescent="0.35"/>
    <row r="2" spans="2:14" ht="15" customHeight="1" x14ac:dyDescent="0.3">
      <c r="B2" s="265"/>
      <c r="C2" s="275"/>
      <c r="D2" s="275"/>
      <c r="E2" s="275"/>
      <c r="F2" s="275"/>
      <c r="G2" s="275"/>
      <c r="H2" s="275"/>
      <c r="I2" s="275"/>
      <c r="J2" s="275"/>
      <c r="K2" s="275"/>
      <c r="L2" s="275"/>
      <c r="M2" s="275"/>
      <c r="N2" s="276"/>
    </row>
    <row r="3" spans="2:14" ht="15" customHeight="1" x14ac:dyDescent="0.3">
      <c r="B3" s="266"/>
      <c r="C3" s="277"/>
      <c r="D3" s="277"/>
      <c r="E3" s="277"/>
      <c r="F3" s="277"/>
      <c r="G3" s="277"/>
      <c r="H3" s="277"/>
      <c r="I3" s="277"/>
      <c r="J3" s="277"/>
      <c r="K3" s="277"/>
      <c r="L3" s="277"/>
      <c r="M3" s="277"/>
      <c r="N3" s="278"/>
    </row>
    <row r="4" spans="2:14" ht="15" customHeight="1" x14ac:dyDescent="0.3">
      <c r="B4" s="266"/>
      <c r="C4" s="277"/>
      <c r="D4" s="277"/>
      <c r="E4" s="277"/>
      <c r="F4" s="277"/>
      <c r="G4" s="277"/>
      <c r="H4" s="277"/>
      <c r="I4" s="277"/>
      <c r="J4" s="277"/>
      <c r="K4" s="277"/>
      <c r="L4" s="277"/>
      <c r="M4" s="277"/>
      <c r="N4" s="278"/>
    </row>
    <row r="5" spans="2:14" ht="15" customHeight="1" x14ac:dyDescent="0.3">
      <c r="B5" s="266"/>
      <c r="C5" s="277"/>
      <c r="D5" s="277"/>
      <c r="E5" s="277"/>
      <c r="F5" s="277"/>
      <c r="G5" s="277"/>
      <c r="H5" s="277"/>
      <c r="I5" s="277"/>
      <c r="J5" s="277"/>
      <c r="K5" s="277"/>
      <c r="L5" s="277"/>
      <c r="M5" s="277"/>
      <c r="N5" s="278"/>
    </row>
    <row r="6" spans="2:14" ht="15" customHeight="1" x14ac:dyDescent="0.3">
      <c r="B6" s="266"/>
      <c r="C6" s="277"/>
      <c r="D6" s="277"/>
      <c r="E6" s="277"/>
      <c r="F6" s="277"/>
      <c r="G6" s="277"/>
      <c r="H6" s="277"/>
      <c r="I6" s="277"/>
      <c r="J6" s="277"/>
      <c r="K6" s="277"/>
      <c r="L6" s="277"/>
      <c r="M6" s="277"/>
      <c r="N6" s="278"/>
    </row>
    <row r="7" spans="2:14" ht="48.75" customHeight="1" thickBot="1" x14ac:dyDescent="0.35">
      <c r="B7" s="266"/>
      <c r="C7" s="277"/>
      <c r="D7" s="277"/>
      <c r="E7" s="277"/>
      <c r="F7" s="277"/>
      <c r="G7" s="277"/>
      <c r="H7" s="277"/>
      <c r="I7" s="277"/>
      <c r="J7" s="277"/>
      <c r="K7" s="277"/>
      <c r="L7" s="277"/>
      <c r="M7" s="277"/>
      <c r="N7" s="278"/>
    </row>
    <row r="8" spans="2:14" ht="18.75" customHeight="1" thickBot="1" x14ac:dyDescent="0.35">
      <c r="B8" s="274"/>
      <c r="C8" s="33">
        <v>2014</v>
      </c>
      <c r="D8" s="33">
        <v>2015</v>
      </c>
      <c r="E8" s="33">
        <v>2016</v>
      </c>
      <c r="F8" s="33">
        <v>2017</v>
      </c>
      <c r="G8" s="33">
        <v>2018</v>
      </c>
      <c r="H8" s="33">
        <v>2019</v>
      </c>
      <c r="I8" s="154">
        <v>2020</v>
      </c>
      <c r="J8" s="166">
        <v>2021</v>
      </c>
      <c r="K8" s="103">
        <v>2022</v>
      </c>
      <c r="L8" s="103">
        <v>2023</v>
      </c>
      <c r="M8" s="103">
        <v>2024</v>
      </c>
      <c r="N8" s="104">
        <v>2025</v>
      </c>
    </row>
    <row r="9" spans="2:14" x14ac:dyDescent="0.3">
      <c r="B9" s="60" t="s">
        <v>30</v>
      </c>
      <c r="C9" s="34"/>
      <c r="D9" s="34"/>
      <c r="E9" s="34"/>
      <c r="F9" s="34"/>
      <c r="G9" s="34"/>
      <c r="H9" s="34"/>
      <c r="I9" s="211"/>
      <c r="J9" s="34"/>
      <c r="K9" s="34"/>
      <c r="L9" s="34"/>
      <c r="M9" s="35"/>
      <c r="N9" s="36"/>
    </row>
    <row r="10" spans="2:14" x14ac:dyDescent="0.3">
      <c r="B10" s="61" t="s">
        <v>6</v>
      </c>
      <c r="C10" s="301">
        <f>'1.Income statement'!C12</f>
        <v>2978</v>
      </c>
      <c r="D10" s="301">
        <f>'1.Income statement'!D12</f>
        <v>4307</v>
      </c>
      <c r="E10" s="301">
        <f>'1.Income statement'!E12</f>
        <v>4082</v>
      </c>
      <c r="F10" s="301">
        <f>'1.Income statement'!F12</f>
        <v>4074</v>
      </c>
      <c r="G10" s="301">
        <f>'1.Income statement'!G12</f>
        <v>4003</v>
      </c>
      <c r="H10" s="301">
        <f>'1.Income statement'!H12</f>
        <v>4311</v>
      </c>
      <c r="I10" s="301">
        <f>'1.Income statement'!I12</f>
        <v>3665</v>
      </c>
      <c r="J10" s="310">
        <f>'1.Income statement'!J12</f>
        <v>4008.2449999999999</v>
      </c>
      <c r="K10" s="301">
        <f>'1.Income statement'!K12</f>
        <v>4128.4923500000004</v>
      </c>
      <c r="L10" s="301">
        <f>'1.Income statement'!L12</f>
        <v>4252.3471205000005</v>
      </c>
      <c r="M10" s="301">
        <f>'1.Income statement'!M12</f>
        <v>4379.9175341150003</v>
      </c>
      <c r="N10" s="311">
        <f>'1.Income statement'!N12</f>
        <v>4511.3150601384496</v>
      </c>
    </row>
    <row r="11" spans="2:14" x14ac:dyDescent="0.3">
      <c r="B11" s="157" t="s">
        <v>32</v>
      </c>
      <c r="C11" s="302">
        <f>2088+458-569</f>
        <v>1977</v>
      </c>
      <c r="D11" s="302">
        <f>2722+791-1568</f>
        <v>1945</v>
      </c>
      <c r="E11" s="302">
        <f>2892+947-2366</f>
        <v>1473</v>
      </c>
      <c r="F11" s="302">
        <f>3956+1268-1779</f>
        <v>3445</v>
      </c>
      <c r="G11" s="302">
        <f>4036+1912-1822</f>
        <v>4126</v>
      </c>
      <c r="H11" s="302">
        <f>3359+1369-1773</f>
        <v>2955</v>
      </c>
      <c r="I11" s="303">
        <f>778+405-471</f>
        <v>712</v>
      </c>
      <c r="J11" s="312">
        <v>4000</v>
      </c>
      <c r="K11" s="312">
        <f>(J11*'1.Income statement'!$P$11)+'2.Flujos de caja'!J11</f>
        <v>4120</v>
      </c>
      <c r="L11" s="312">
        <f>(K11*'1.Income statement'!$P$11)+'2.Flujos de caja'!K11</f>
        <v>4243.6000000000004</v>
      </c>
      <c r="M11" s="312">
        <f>(L11*'1.Income statement'!$P$11)+'2.Flujos de caja'!L11</f>
        <v>4370.9080000000004</v>
      </c>
      <c r="N11" s="313">
        <f>(M11*'1.Income statement'!$P$11)+'2.Flujos de caja'!M11</f>
        <v>4502.0352400000002</v>
      </c>
    </row>
    <row r="12" spans="2:14" x14ac:dyDescent="0.3">
      <c r="B12" s="158" t="s">
        <v>31</v>
      </c>
      <c r="C12" s="304">
        <f>'1.Income statement'!C17</f>
        <v>780</v>
      </c>
      <c r="D12" s="304">
        <f>'1.Income statement'!D17</f>
        <v>1099</v>
      </c>
      <c r="E12" s="304">
        <f>'1.Income statement'!E17</f>
        <v>1091</v>
      </c>
      <c r="F12" s="304">
        <f>'1.Income statement'!F17</f>
        <v>1112</v>
      </c>
      <c r="G12" s="304">
        <f>'1.Income statement'!G17</f>
        <v>1174</v>
      </c>
      <c r="H12" s="304">
        <f>'1.Income statement'!H17</f>
        <v>1295</v>
      </c>
      <c r="I12" s="305">
        <f>'1.Income statement'!I17</f>
        <v>1248</v>
      </c>
      <c r="J12" s="304">
        <f>'1.Income statement'!J17</f>
        <v>1285.44</v>
      </c>
      <c r="K12" s="304">
        <f>'1.Income statement'!K17</f>
        <v>1324.0032000000001</v>
      </c>
      <c r="L12" s="304">
        <f>'1.Income statement'!L17</f>
        <v>1363.7232960000001</v>
      </c>
      <c r="M12" s="304">
        <f>'1.Income statement'!M17</f>
        <v>1404.63499488</v>
      </c>
      <c r="N12" s="305">
        <f>'1.Income statement'!N17</f>
        <v>1446.7740447264</v>
      </c>
    </row>
    <row r="13" spans="2:14" x14ac:dyDescent="0.3">
      <c r="B13" s="158" t="s">
        <v>33</v>
      </c>
      <c r="C13" s="304">
        <f>'1.Income statement'!C20</f>
        <v>137</v>
      </c>
      <c r="D13" s="304">
        <f>'1.Income statement'!D20</f>
        <v>189</v>
      </c>
      <c r="E13" s="304">
        <f>'1.Income statement'!E20</f>
        <v>173</v>
      </c>
      <c r="F13" s="304">
        <f>'1.Income statement'!F20</f>
        <v>164</v>
      </c>
      <c r="G13" s="304">
        <f>'1.Income statement'!G20</f>
        <v>144</v>
      </c>
      <c r="H13" s="304">
        <f>'1.Income statement'!H20</f>
        <v>167</v>
      </c>
      <c r="I13" s="305">
        <f>'1.Income statement'!I20</f>
        <v>92</v>
      </c>
      <c r="J13" s="304">
        <f>'1.Income statement'!J20</f>
        <v>123.41459999999999</v>
      </c>
      <c r="K13" s="304">
        <f>'1.Income statement'!K20</f>
        <v>127.11703799999999</v>
      </c>
      <c r="L13" s="304">
        <f>'1.Income statement'!L20</f>
        <v>130.93054914000001</v>
      </c>
      <c r="M13" s="304">
        <f>'1.Income statement'!M20</f>
        <v>134.85846561419999</v>
      </c>
      <c r="N13" s="305">
        <f>'1.Income statement'!N20</f>
        <v>138.90421958262601</v>
      </c>
    </row>
    <row r="14" spans="2:14" x14ac:dyDescent="0.3">
      <c r="B14" s="159" t="s">
        <v>77</v>
      </c>
      <c r="C14" s="306">
        <f>'1.Income statement'!C23</f>
        <v>-2</v>
      </c>
      <c r="D14" s="306">
        <f>'1.Income statement'!D23</f>
        <v>-1.5</v>
      </c>
      <c r="E14" s="306">
        <f>'1.Income statement'!E23</f>
        <v>-7</v>
      </c>
      <c r="F14" s="306">
        <f>'1.Income statement'!F23</f>
        <v>4</v>
      </c>
      <c r="G14" s="306">
        <f>'1.Income statement'!G23</f>
        <v>2</v>
      </c>
      <c r="H14" s="306">
        <f>'1.Income statement'!H23</f>
        <v>21</v>
      </c>
      <c r="I14" s="307">
        <f>'1.Income statement'!I23</f>
        <v>3</v>
      </c>
      <c r="J14" s="132">
        <f>'1.Income statement'!J23</f>
        <v>3.09</v>
      </c>
      <c r="K14" s="132">
        <f>'1.Income statement'!K23</f>
        <v>3.1827000000000001</v>
      </c>
      <c r="L14" s="132">
        <f>'1.Income statement'!L23</f>
        <v>3.278181</v>
      </c>
      <c r="M14" s="132">
        <f>'1.Income statement'!M23</f>
        <v>3.3765264300000002</v>
      </c>
      <c r="N14" s="314">
        <f>'1.Income statement'!N23</f>
        <v>3.4778222229000004</v>
      </c>
    </row>
    <row r="15" spans="2:14" x14ac:dyDescent="0.3">
      <c r="B15" s="62" t="s">
        <v>8</v>
      </c>
      <c r="C15" s="308">
        <f t="shared" ref="C15:N15" si="0">C10-C11-C12-C13-C14</f>
        <v>86</v>
      </c>
      <c r="D15" s="308">
        <f t="shared" si="0"/>
        <v>1075.5</v>
      </c>
      <c r="E15" s="308">
        <f t="shared" si="0"/>
        <v>1352</v>
      </c>
      <c r="F15" s="308">
        <f t="shared" si="0"/>
        <v>-651</v>
      </c>
      <c r="G15" s="308">
        <f t="shared" si="0"/>
        <v>-1443</v>
      </c>
      <c r="H15" s="308">
        <f t="shared" si="0"/>
        <v>-127</v>
      </c>
      <c r="I15" s="309">
        <f t="shared" ref="I15" si="1">I10-I11-I12-I13-I14</f>
        <v>1610</v>
      </c>
      <c r="J15" s="308">
        <f t="shared" si="0"/>
        <v>-1403.6996000000001</v>
      </c>
      <c r="K15" s="308">
        <f t="shared" si="0"/>
        <v>-1445.8105879999998</v>
      </c>
      <c r="L15" s="308">
        <f t="shared" si="0"/>
        <v>-1489.1849056399999</v>
      </c>
      <c r="M15" s="308">
        <f t="shared" si="0"/>
        <v>-1533.8604528092001</v>
      </c>
      <c r="N15" s="309">
        <f t="shared" si="0"/>
        <v>-1579.8762663934765</v>
      </c>
    </row>
    <row r="16" spans="2:14" ht="16.2" thickBot="1" x14ac:dyDescent="0.35">
      <c r="B16" s="63" t="s">
        <v>9</v>
      </c>
      <c r="C16" s="37">
        <f>C15/'1.Income statement'!C27</f>
        <v>0.48044692737430167</v>
      </c>
      <c r="D16" s="37">
        <f>D15/'1.Income statement'!D27</f>
        <v>5.2208737864077666</v>
      </c>
      <c r="E16" s="37">
        <f>E15/'1.Income statement'!E27</f>
        <v>7.1157894736842104</v>
      </c>
      <c r="F16" s="37">
        <f>F15/'1.Income statement'!F27</f>
        <v>-3.8982035928143715</v>
      </c>
      <c r="G16" s="37">
        <f>G15/'1.Income statement'!G27</f>
        <v>-9.6845637583892614</v>
      </c>
      <c r="H16" s="37">
        <f>H15/'1.Income statement'!H27</f>
        <v>-0.93382352941176472</v>
      </c>
      <c r="I16" s="38">
        <f>I15/'1.Income statement'!I27</f>
        <v>12.677165354330709</v>
      </c>
      <c r="J16" s="37">
        <f>J15/'1.Income statement'!J27</f>
        <v>-11.32015806451613</v>
      </c>
      <c r="K16" s="37">
        <f>K15/'1.Income statement'!K27</f>
        <v>-13.143732618181817</v>
      </c>
      <c r="L16" s="37">
        <f>L15/'1.Income statement'!L27</f>
        <v>-15.675630585684209</v>
      </c>
      <c r="M16" s="37">
        <f>M15/'1.Income statement'!M27</f>
        <v>-19.173255660115</v>
      </c>
      <c r="N16" s="38">
        <f>N15/'1.Income statement'!N27</f>
        <v>-24.305788713745791</v>
      </c>
    </row>
    <row r="17" spans="2:14" x14ac:dyDescent="0.3">
      <c r="B17" s="28"/>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8"/>
      <c r="C19" s="3"/>
      <c r="D19" s="3"/>
      <c r="E19" s="3"/>
      <c r="F19" s="3"/>
      <c r="G19" s="3"/>
      <c r="H19" s="3"/>
      <c r="I19" s="3"/>
      <c r="J19" s="3"/>
      <c r="K19" s="3"/>
      <c r="L19" s="3"/>
      <c r="M19" s="3"/>
      <c r="N19" s="3"/>
    </row>
    <row r="20" spans="2:14" x14ac:dyDescent="0.3">
      <c r="B20" s="28"/>
      <c r="C20" s="3"/>
      <c r="D20" s="3"/>
      <c r="E20" s="3"/>
      <c r="F20" s="3"/>
      <c r="G20" s="3"/>
      <c r="H20" s="3"/>
      <c r="I20" s="3"/>
      <c r="J20" s="3"/>
      <c r="K20" s="3"/>
      <c r="L20" s="3"/>
      <c r="M20" s="3"/>
      <c r="N20" s="3"/>
    </row>
    <row r="21" spans="2:14" x14ac:dyDescent="0.3">
      <c r="B21" s="28"/>
      <c r="C21" s="3"/>
      <c r="D21" s="3"/>
      <c r="E21" s="3"/>
      <c r="F21" s="3"/>
      <c r="G21" s="3"/>
      <c r="H21" s="3"/>
      <c r="I21" s="3"/>
      <c r="J21" s="3"/>
      <c r="K21" s="3"/>
      <c r="L21" s="3"/>
      <c r="M21" s="3"/>
      <c r="N21" s="3"/>
    </row>
    <row r="22" spans="2:14" x14ac:dyDescent="0.3">
      <c r="B22" s="28"/>
      <c r="C22" s="3"/>
      <c r="D22" s="3"/>
      <c r="E22" s="3"/>
      <c r="F22" s="3"/>
      <c r="G22" s="3"/>
      <c r="H22" s="3"/>
      <c r="I22" s="3"/>
      <c r="J22" s="3"/>
      <c r="K22" s="3"/>
      <c r="L22" s="3"/>
      <c r="M22" s="3"/>
      <c r="N22" s="3"/>
    </row>
    <row r="23" spans="2:14" x14ac:dyDescent="0.3">
      <c r="B23" s="28"/>
      <c r="C23" s="3"/>
      <c r="D23" s="3"/>
      <c r="E23" s="3"/>
      <c r="F23" s="3"/>
      <c r="G23" s="3"/>
      <c r="H23" s="3"/>
      <c r="I23" s="3"/>
      <c r="J23" s="3"/>
      <c r="K23" s="3"/>
      <c r="L23" s="3"/>
      <c r="M23" s="3"/>
      <c r="N23" s="3"/>
    </row>
    <row r="24" spans="2:14" x14ac:dyDescent="0.3">
      <c r="B24" s="28"/>
      <c r="C24" s="2"/>
      <c r="D24" s="2"/>
      <c r="E24" s="2"/>
      <c r="F24" s="2"/>
      <c r="G24" s="2"/>
      <c r="H24" s="2"/>
      <c r="I24" s="2"/>
      <c r="J24" s="2"/>
      <c r="K24" s="2"/>
      <c r="L24" s="2"/>
      <c r="M24" s="2"/>
      <c r="N24" s="2"/>
    </row>
    <row r="25" spans="2:14" x14ac:dyDescent="0.3">
      <c r="B25" s="27"/>
      <c r="C25" s="1"/>
      <c r="D25" s="1"/>
      <c r="E25" s="1"/>
      <c r="F25" s="1"/>
      <c r="G25" s="1"/>
      <c r="H25" s="1"/>
      <c r="I25" s="1"/>
      <c r="J25" s="1"/>
      <c r="K25" s="1"/>
      <c r="L25" s="1"/>
      <c r="M25" s="1"/>
      <c r="N25" s="1"/>
    </row>
    <row r="26" spans="2:14" x14ac:dyDescent="0.3">
      <c r="B26" s="27"/>
      <c r="C26" s="1"/>
      <c r="D26" s="1"/>
      <c r="E26" s="1"/>
      <c r="F26" s="1"/>
      <c r="G26" s="1"/>
      <c r="H26" s="1"/>
      <c r="I26" s="1"/>
      <c r="J26" s="1"/>
      <c r="K26" s="1"/>
      <c r="L26" s="1"/>
      <c r="M26" s="1"/>
      <c r="N26" s="1"/>
    </row>
    <row r="27" spans="2:14" x14ac:dyDescent="0.3">
      <c r="B27" s="27"/>
      <c r="C27" s="1"/>
      <c r="D27" s="1"/>
      <c r="E27" s="1"/>
      <c r="F27" s="1"/>
      <c r="G27" s="1"/>
      <c r="H27" s="1"/>
      <c r="I27" s="1"/>
      <c r="J27" s="1"/>
      <c r="K27" s="1"/>
      <c r="L27" s="1"/>
      <c r="M27" s="1"/>
      <c r="N27" s="1"/>
    </row>
    <row r="28" spans="2:14" x14ac:dyDescent="0.3">
      <c r="B28" s="27"/>
      <c r="C28" s="1"/>
      <c r="D28" s="1"/>
      <c r="E28" s="1"/>
      <c r="F28" s="1"/>
      <c r="G28" s="1"/>
      <c r="H28" s="1"/>
      <c r="I28" s="1"/>
      <c r="J28" s="1"/>
      <c r="K28" s="1"/>
      <c r="L28" s="1"/>
      <c r="M28" s="1"/>
      <c r="N28" s="1"/>
    </row>
    <row r="29" spans="2:14" x14ac:dyDescent="0.3">
      <c r="B29" s="27"/>
      <c r="C29" s="1"/>
      <c r="D29" s="1"/>
      <c r="E29" s="1"/>
      <c r="F29" s="1"/>
      <c r="G29" s="1"/>
      <c r="H29" s="1"/>
      <c r="I29" s="1"/>
      <c r="J29" s="1"/>
      <c r="K29" s="1"/>
      <c r="L29" s="1"/>
      <c r="M29" s="1"/>
      <c r="N29" s="1"/>
    </row>
    <row r="30" spans="2:14" x14ac:dyDescent="0.3">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workbookViewId="0">
      <selection activeCell="J17" sqref="J17"/>
    </sheetView>
  </sheetViews>
  <sheetFormatPr baseColWidth="10" defaultColWidth="9.109375" defaultRowHeight="14.4" x14ac:dyDescent="0.3"/>
  <cols>
    <col min="1" max="1" width="4.109375" customWidth="1"/>
    <col min="2" max="2" width="45.6640625" customWidth="1"/>
    <col min="3" max="3" width="9" customWidth="1"/>
    <col min="15" max="15" width="13.88671875" customWidth="1"/>
  </cols>
  <sheetData>
    <row r="1" spans="2:16" ht="15" thickBot="1" x14ac:dyDescent="0.35"/>
    <row r="2" spans="2:16" ht="15" customHeight="1" x14ac:dyDescent="0.3">
      <c r="B2" s="279"/>
      <c r="C2" s="275"/>
      <c r="D2" s="275"/>
      <c r="E2" s="275"/>
      <c r="F2" s="275"/>
      <c r="G2" s="275"/>
      <c r="H2" s="275"/>
      <c r="I2" s="275"/>
      <c r="J2" s="275"/>
      <c r="K2" s="275"/>
      <c r="L2" s="275"/>
      <c r="M2" s="275"/>
      <c r="N2" s="276"/>
    </row>
    <row r="3" spans="2:16" ht="15" customHeight="1" x14ac:dyDescent="0.3">
      <c r="B3" s="280"/>
      <c r="C3" s="277"/>
      <c r="D3" s="277"/>
      <c r="E3" s="277"/>
      <c r="F3" s="277"/>
      <c r="G3" s="277"/>
      <c r="H3" s="277"/>
      <c r="I3" s="277"/>
      <c r="J3" s="277"/>
      <c r="K3" s="277"/>
      <c r="L3" s="277"/>
      <c r="M3" s="277"/>
      <c r="N3" s="278"/>
    </row>
    <row r="4" spans="2:16" ht="15" customHeight="1" x14ac:dyDescent="0.3">
      <c r="B4" s="280"/>
      <c r="C4" s="277"/>
      <c r="D4" s="277"/>
      <c r="E4" s="277"/>
      <c r="F4" s="277"/>
      <c r="G4" s="277"/>
      <c r="H4" s="277"/>
      <c r="I4" s="277"/>
      <c r="J4" s="277"/>
      <c r="K4" s="277"/>
      <c r="L4" s="277"/>
      <c r="M4" s="277"/>
      <c r="N4" s="278"/>
    </row>
    <row r="5" spans="2:16" ht="15" customHeight="1" x14ac:dyDescent="0.3">
      <c r="B5" s="280"/>
      <c r="C5" s="277"/>
      <c r="D5" s="277"/>
      <c r="E5" s="277"/>
      <c r="F5" s="277"/>
      <c r="G5" s="277"/>
      <c r="H5" s="277"/>
      <c r="I5" s="277"/>
      <c r="J5" s="277"/>
      <c r="K5" s="277"/>
      <c r="L5" s="277"/>
      <c r="M5" s="277"/>
      <c r="N5" s="278"/>
    </row>
    <row r="6" spans="2:16" ht="15" customHeight="1" x14ac:dyDescent="0.3">
      <c r="B6" s="280"/>
      <c r="C6" s="277"/>
      <c r="D6" s="277"/>
      <c r="E6" s="277"/>
      <c r="F6" s="277"/>
      <c r="G6" s="277"/>
      <c r="H6" s="277"/>
      <c r="I6" s="277"/>
      <c r="J6" s="277"/>
      <c r="K6" s="277"/>
      <c r="L6" s="277"/>
      <c r="M6" s="277"/>
      <c r="N6" s="278"/>
    </row>
    <row r="7" spans="2:16" ht="48.75" customHeight="1" thickBot="1" x14ac:dyDescent="0.35">
      <c r="B7" s="280"/>
      <c r="C7" s="277"/>
      <c r="D7" s="277"/>
      <c r="E7" s="277"/>
      <c r="F7" s="277"/>
      <c r="G7" s="277"/>
      <c r="H7" s="277"/>
      <c r="I7" s="277"/>
      <c r="J7" s="277"/>
      <c r="K7" s="277"/>
      <c r="L7" s="277"/>
      <c r="M7" s="277"/>
      <c r="N7" s="278"/>
    </row>
    <row r="8" spans="2:16" ht="18.75" customHeight="1" thickBot="1" x14ac:dyDescent="0.35">
      <c r="B8" s="280"/>
      <c r="C8" s="33">
        <v>2014</v>
      </c>
      <c r="D8" s="33">
        <v>2015</v>
      </c>
      <c r="E8" s="33">
        <v>2016</v>
      </c>
      <c r="F8" s="33">
        <v>2017</v>
      </c>
      <c r="G8" s="33">
        <v>2018</v>
      </c>
      <c r="H8" s="33">
        <v>2019</v>
      </c>
      <c r="I8" s="33">
        <v>2020</v>
      </c>
      <c r="J8" s="166">
        <v>2021</v>
      </c>
      <c r="K8" s="103">
        <v>2022</v>
      </c>
      <c r="L8" s="103">
        <v>2023</v>
      </c>
      <c r="M8" s="103">
        <v>2024</v>
      </c>
      <c r="N8" s="104">
        <v>2025</v>
      </c>
    </row>
    <row r="9" spans="2:16" ht="16.8" thickBot="1" x14ac:dyDescent="0.4">
      <c r="B9" s="216" t="s">
        <v>34</v>
      </c>
      <c r="C9" s="65"/>
      <c r="D9" s="65"/>
      <c r="E9" s="65"/>
      <c r="F9" s="65"/>
      <c r="G9" s="65"/>
      <c r="H9" s="65"/>
      <c r="I9" s="65"/>
      <c r="J9" s="64"/>
      <c r="K9" s="65"/>
      <c r="L9" s="65"/>
      <c r="M9" s="46"/>
      <c r="N9" s="47"/>
    </row>
    <row r="10" spans="2:16" ht="15" thickBot="1" x14ac:dyDescent="0.35">
      <c r="B10" s="217" t="s">
        <v>11</v>
      </c>
      <c r="C10" s="42">
        <f>'1.Income statement'!C15</f>
        <v>1696</v>
      </c>
      <c r="D10" s="42">
        <f>'1.Income statement'!D15</f>
        <v>2464</v>
      </c>
      <c r="E10" s="42">
        <f>'1.Income statement'!E15</f>
        <v>2291</v>
      </c>
      <c r="F10" s="42">
        <f>'1.Income statement'!F15</f>
        <v>2347</v>
      </c>
      <c r="G10" s="42">
        <f>'1.Income statement'!G15</f>
        <v>2324</v>
      </c>
      <c r="H10" s="42">
        <f>'1.Income statement'!H15</f>
        <v>2635</v>
      </c>
      <c r="I10" s="42">
        <f>'1.Income statement'!I15</f>
        <v>2020</v>
      </c>
      <c r="J10" s="41">
        <f>'1.Income statement'!J15</f>
        <v>2313.895</v>
      </c>
      <c r="K10" s="42">
        <f>'1.Income statement'!K15</f>
        <v>2383.31185</v>
      </c>
      <c r="L10" s="42">
        <f>'1.Income statement'!L15</f>
        <v>2454.8112055000001</v>
      </c>
      <c r="M10" s="42">
        <f>'1.Income statement'!M15</f>
        <v>2528.4555416650001</v>
      </c>
      <c r="N10" s="43">
        <f>'1.Income statement'!N15</f>
        <v>2604.3092079149501</v>
      </c>
      <c r="O10" s="16" t="s">
        <v>25</v>
      </c>
      <c r="P10" s="10">
        <f>'1.Income statement'!$P$11</f>
        <v>0.03</v>
      </c>
    </row>
    <row r="11" spans="2:16" x14ac:dyDescent="0.3">
      <c r="B11" s="218" t="s">
        <v>35</v>
      </c>
      <c r="C11" s="49">
        <f>'1.Income statement'!C17</f>
        <v>780</v>
      </c>
      <c r="D11" s="49">
        <f>'1.Income statement'!D17</f>
        <v>1099</v>
      </c>
      <c r="E11" s="49">
        <f>'1.Income statement'!E17</f>
        <v>1091</v>
      </c>
      <c r="F11" s="49">
        <f>'1.Income statement'!F17</f>
        <v>1112</v>
      </c>
      <c r="G11" s="49">
        <f>'1.Income statement'!G17</f>
        <v>1174</v>
      </c>
      <c r="H11" s="49">
        <f>'1.Income statement'!H17</f>
        <v>1295</v>
      </c>
      <c r="I11" s="49">
        <f>'1.Income statement'!I17</f>
        <v>1248</v>
      </c>
      <c r="J11" s="48">
        <f>'1.Income statement'!J17</f>
        <v>1285.44</v>
      </c>
      <c r="K11" s="49">
        <f>'1.Income statement'!K17</f>
        <v>1324.0032000000001</v>
      </c>
      <c r="L11" s="49">
        <f>'1.Income statement'!L17</f>
        <v>1363.7232960000001</v>
      </c>
      <c r="M11" s="49">
        <f>'1.Income statement'!M17</f>
        <v>1404.63499488</v>
      </c>
      <c r="N11" s="50">
        <f>'1.Income statement'!N17</f>
        <v>1446.7740447264</v>
      </c>
    </row>
    <row r="12" spans="2:16" x14ac:dyDescent="0.3">
      <c r="B12" s="219" t="s">
        <v>33</v>
      </c>
      <c r="C12" s="52">
        <f>'1.Income statement'!C20</f>
        <v>137</v>
      </c>
      <c r="D12" s="52">
        <f>'1.Income statement'!D20</f>
        <v>189</v>
      </c>
      <c r="E12" s="52">
        <f>'1.Income statement'!E20</f>
        <v>173</v>
      </c>
      <c r="F12" s="52">
        <f>'1.Income statement'!F20</f>
        <v>164</v>
      </c>
      <c r="G12" s="52">
        <f>'1.Income statement'!G20</f>
        <v>144</v>
      </c>
      <c r="H12" s="52">
        <f>'1.Income statement'!H20</f>
        <v>167</v>
      </c>
      <c r="I12" s="52">
        <f>'1.Income statement'!I20</f>
        <v>92</v>
      </c>
      <c r="J12" s="51">
        <f>'1.Income statement'!J20</f>
        <v>123.41459999999999</v>
      </c>
      <c r="K12" s="52">
        <f>'1.Income statement'!K20</f>
        <v>127.11703799999999</v>
      </c>
      <c r="L12" s="52">
        <f>'1.Income statement'!L20</f>
        <v>130.93054914000001</v>
      </c>
      <c r="M12" s="52">
        <f>'1.Income statement'!M20</f>
        <v>134.85846561419999</v>
      </c>
      <c r="N12" s="53">
        <f>'1.Income statement'!N20</f>
        <v>138.90421958262601</v>
      </c>
    </row>
    <row r="13" spans="2:16" x14ac:dyDescent="0.3">
      <c r="B13" s="220" t="s">
        <v>12</v>
      </c>
      <c r="C13" s="42">
        <f>'1.Income statement'!C24</f>
        <v>781</v>
      </c>
      <c r="D13" s="42">
        <f>'1.Income statement'!D24</f>
        <v>1177.5</v>
      </c>
      <c r="E13" s="42">
        <f>'1.Income statement'!E24</f>
        <v>1034</v>
      </c>
      <c r="F13" s="42">
        <f>'1.Income statement'!F24</f>
        <v>1067</v>
      </c>
      <c r="G13" s="42">
        <f>'1.Income statement'!G24</f>
        <v>1004</v>
      </c>
      <c r="H13" s="42">
        <f>'1.Income statement'!H24</f>
        <v>1152</v>
      </c>
      <c r="I13" s="42">
        <f>'1.Income statement'!I24</f>
        <v>677</v>
      </c>
      <c r="J13" s="41">
        <f>'1.Income statement'!J24</f>
        <v>901.95039999999995</v>
      </c>
      <c r="K13" s="42">
        <f>'1.Income statement'!K24</f>
        <v>929.00891200000001</v>
      </c>
      <c r="L13" s="42">
        <f>'1.Income statement'!L24</f>
        <v>956.87917935999997</v>
      </c>
      <c r="M13" s="42">
        <f>'1.Income statement'!M24</f>
        <v>985.58555474080003</v>
      </c>
      <c r="N13" s="43">
        <f>'1.Income statement'!N24</f>
        <v>1015.1531213830241</v>
      </c>
    </row>
    <row r="14" spans="2:16" x14ac:dyDescent="0.3">
      <c r="B14" s="221" t="s">
        <v>39</v>
      </c>
      <c r="C14" s="256">
        <v>1490</v>
      </c>
      <c r="D14" s="256">
        <v>2403</v>
      </c>
      <c r="E14" s="256">
        <v>2035</v>
      </c>
      <c r="F14" s="256">
        <v>1659</v>
      </c>
      <c r="G14" s="256">
        <v>1204</v>
      </c>
      <c r="H14" s="258">
        <v>1121</v>
      </c>
      <c r="I14" s="213">
        <v>1248</v>
      </c>
      <c r="J14" s="52">
        <f t="shared" ref="J14:N14" si="0">I14*$P$10+I14</f>
        <v>1285.44</v>
      </c>
      <c r="K14" s="52">
        <f t="shared" si="0"/>
        <v>1324.0032000000001</v>
      </c>
      <c r="L14" s="52">
        <f t="shared" si="0"/>
        <v>1363.7232960000001</v>
      </c>
      <c r="M14" s="52">
        <f t="shared" si="0"/>
        <v>1404.63499488</v>
      </c>
      <c r="N14" s="53">
        <f t="shared" si="0"/>
        <v>1446.7740447264</v>
      </c>
    </row>
    <row r="15" spans="2:16" x14ac:dyDescent="0.3">
      <c r="B15" s="222" t="s">
        <v>36</v>
      </c>
      <c r="C15" s="256">
        <v>30402</v>
      </c>
      <c r="D15" s="256">
        <v>29806</v>
      </c>
      <c r="E15" s="256">
        <v>27716</v>
      </c>
      <c r="F15" s="256">
        <v>28420</v>
      </c>
      <c r="G15" s="256">
        <v>29507</v>
      </c>
      <c r="H15" s="259">
        <v>29486</v>
      </c>
      <c r="I15" s="214">
        <v>28742</v>
      </c>
      <c r="J15" s="52">
        <f t="shared" ref="J15:N17" si="1">I15*$P$10+I15</f>
        <v>29604.26</v>
      </c>
      <c r="K15" s="52">
        <f t="shared" si="1"/>
        <v>30492.387799999997</v>
      </c>
      <c r="L15" s="52">
        <f t="shared" si="1"/>
        <v>31407.159433999997</v>
      </c>
      <c r="M15" s="52">
        <f t="shared" si="1"/>
        <v>32349.374217019998</v>
      </c>
      <c r="N15" s="53">
        <f t="shared" si="1"/>
        <v>33319.8554435306</v>
      </c>
    </row>
    <row r="16" spans="2:16" x14ac:dyDescent="0.3">
      <c r="B16" s="221" t="s">
        <v>37</v>
      </c>
      <c r="C16" s="256">
        <v>58</v>
      </c>
      <c r="D16" s="256">
        <v>58</v>
      </c>
      <c r="E16" s="256">
        <v>58</v>
      </c>
      <c r="F16" s="256">
        <v>58</v>
      </c>
      <c r="G16" s="256">
        <v>58</v>
      </c>
      <c r="H16" s="259">
        <v>58</v>
      </c>
      <c r="I16" s="214">
        <v>0</v>
      </c>
      <c r="J16" s="52">
        <f t="shared" si="1"/>
        <v>0</v>
      </c>
      <c r="K16" s="52">
        <f t="shared" si="1"/>
        <v>0</v>
      </c>
      <c r="L16" s="52">
        <f t="shared" si="1"/>
        <v>0</v>
      </c>
      <c r="M16" s="52">
        <f t="shared" si="1"/>
        <v>0</v>
      </c>
      <c r="N16" s="53">
        <f t="shared" si="1"/>
        <v>0</v>
      </c>
    </row>
    <row r="17" spans="2:18" x14ac:dyDescent="0.3">
      <c r="B17" s="221" t="s">
        <v>38</v>
      </c>
      <c r="C17" s="257">
        <v>7863</v>
      </c>
      <c r="D17" s="257">
        <v>8348</v>
      </c>
      <c r="E17" s="257">
        <v>8524</v>
      </c>
      <c r="F17" s="257">
        <v>8579</v>
      </c>
      <c r="G17" s="256">
        <v>8828</v>
      </c>
      <c r="H17" s="257">
        <v>9314</v>
      </c>
      <c r="I17" s="215">
        <v>8864</v>
      </c>
      <c r="J17" s="132">
        <f t="shared" si="1"/>
        <v>9129.92</v>
      </c>
      <c r="K17" s="132">
        <f t="shared" si="1"/>
        <v>9403.8176000000003</v>
      </c>
      <c r="L17" s="132">
        <f t="shared" si="1"/>
        <v>9685.9321280000004</v>
      </c>
      <c r="M17" s="132">
        <f t="shared" si="1"/>
        <v>9976.5100918400003</v>
      </c>
      <c r="N17" s="53">
        <f t="shared" si="1"/>
        <v>10275.8053945952</v>
      </c>
    </row>
    <row r="18" spans="2:18" x14ac:dyDescent="0.3">
      <c r="B18" s="223" t="s">
        <v>42</v>
      </c>
      <c r="C18" s="58">
        <f t="shared" ref="C18:F18" si="2">C17+C15-C14</f>
        <v>36775</v>
      </c>
      <c r="D18" s="58">
        <f t="shared" si="2"/>
        <v>35751</v>
      </c>
      <c r="E18" s="58">
        <f t="shared" si="2"/>
        <v>34205</v>
      </c>
      <c r="F18" s="58">
        <f t="shared" si="2"/>
        <v>35340</v>
      </c>
      <c r="G18" s="160">
        <f>G17+G15-G14</f>
        <v>37131</v>
      </c>
      <c r="H18" s="160">
        <f>H17+H15-H14</f>
        <v>37679</v>
      </c>
      <c r="I18" s="54">
        <f>I17+I15-I14</f>
        <v>36358</v>
      </c>
      <c r="J18" s="160">
        <f t="shared" ref="J18:N18" si="3">J17+J15-J14</f>
        <v>37448.74</v>
      </c>
      <c r="K18" s="58">
        <f t="shared" si="3"/>
        <v>38572.2022</v>
      </c>
      <c r="L18" s="58">
        <f t="shared" si="3"/>
        <v>39729.368266000005</v>
      </c>
      <c r="M18" s="58">
        <f t="shared" si="3"/>
        <v>40921.249313979999</v>
      </c>
      <c r="N18" s="54">
        <f t="shared" si="3"/>
        <v>42148.886793399397</v>
      </c>
      <c r="R18" s="184"/>
    </row>
    <row r="19" spans="2:18" x14ac:dyDescent="0.3">
      <c r="B19" s="224" t="s">
        <v>43</v>
      </c>
      <c r="C19" s="55">
        <f t="shared" ref="C19:F19" si="4">C15-C14+C17-C16</f>
        <v>36717</v>
      </c>
      <c r="D19" s="55">
        <f t="shared" si="4"/>
        <v>35693</v>
      </c>
      <c r="E19" s="55">
        <f t="shared" si="4"/>
        <v>34147</v>
      </c>
      <c r="F19" s="55">
        <f t="shared" si="4"/>
        <v>35282</v>
      </c>
      <c r="G19" s="55">
        <f>G15-G14+G17-G16</f>
        <v>37073</v>
      </c>
      <c r="H19" s="55">
        <f>H15-H14+H17-H16</f>
        <v>37621</v>
      </c>
      <c r="I19" s="55">
        <f>I15-I14+I17-I16</f>
        <v>36358</v>
      </c>
      <c r="J19" s="122">
        <f t="shared" ref="J19:N19" si="5">J15-J14+J17-J16</f>
        <v>37448.74</v>
      </c>
      <c r="K19" s="55">
        <f t="shared" si="5"/>
        <v>38572.2022</v>
      </c>
      <c r="L19" s="55">
        <f t="shared" si="5"/>
        <v>39729.368265999998</v>
      </c>
      <c r="M19" s="55">
        <f t="shared" si="5"/>
        <v>40921.249313979999</v>
      </c>
      <c r="N19" s="56">
        <f t="shared" si="5"/>
        <v>42148.886793399397</v>
      </c>
    </row>
    <row r="20" spans="2:18" x14ac:dyDescent="0.3">
      <c r="B20" s="222"/>
      <c r="C20" s="57"/>
      <c r="D20" s="57"/>
      <c r="E20" s="57"/>
      <c r="F20" s="57"/>
      <c r="G20" s="57"/>
      <c r="H20" s="203"/>
      <c r="I20" s="203"/>
      <c r="J20" s="123"/>
      <c r="K20" s="58"/>
      <c r="L20" s="58"/>
      <c r="M20" s="58"/>
      <c r="N20" s="59"/>
    </row>
    <row r="21" spans="2:18" x14ac:dyDescent="0.3">
      <c r="B21" s="221" t="s">
        <v>40</v>
      </c>
      <c r="C21" s="44">
        <f t="shared" ref="C21:G21" si="6">C13/C17</f>
        <v>9.932595701386239E-2</v>
      </c>
      <c r="D21" s="44">
        <f t="shared" si="6"/>
        <v>0.14105174892189745</v>
      </c>
      <c r="E21" s="44">
        <f t="shared" si="6"/>
        <v>0.12130455185358986</v>
      </c>
      <c r="F21" s="44">
        <f t="shared" si="6"/>
        <v>0.12437347010141042</v>
      </c>
      <c r="G21" s="44">
        <f t="shared" si="6"/>
        <v>0.1137290439510648</v>
      </c>
      <c r="H21" s="44">
        <f t="shared" ref="H21:N21" si="7">H13/H17</f>
        <v>0.1236847756066137</v>
      </c>
      <c r="I21" s="44">
        <f t="shared" ref="I21" si="8">I13/I17</f>
        <v>7.6376353790613721E-2</v>
      </c>
      <c r="J21" s="124">
        <f t="shared" si="7"/>
        <v>9.8790613718411552E-2</v>
      </c>
      <c r="K21" s="44">
        <f t="shared" si="7"/>
        <v>9.8790613718411552E-2</v>
      </c>
      <c r="L21" s="44">
        <f t="shared" si="7"/>
        <v>9.8790613718411552E-2</v>
      </c>
      <c r="M21" s="44">
        <f t="shared" si="7"/>
        <v>9.8790613718411552E-2</v>
      </c>
      <c r="N21" s="45">
        <f t="shared" si="7"/>
        <v>9.8790613718411566E-2</v>
      </c>
    </row>
    <row r="22" spans="2:18" x14ac:dyDescent="0.3">
      <c r="B22" s="221" t="s">
        <v>45</v>
      </c>
      <c r="C22" s="22">
        <f t="shared" ref="C22:G22" si="9">C10/C19</f>
        <v>4.6191137620175939E-2</v>
      </c>
      <c r="D22" s="22">
        <f t="shared" si="9"/>
        <v>6.9033143753677195E-2</v>
      </c>
      <c r="E22" s="22">
        <f t="shared" si="9"/>
        <v>6.7092277506076672E-2</v>
      </c>
      <c r="F22" s="22">
        <f t="shared" si="9"/>
        <v>6.6521172269145737E-2</v>
      </c>
      <c r="G22" s="22">
        <f t="shared" si="9"/>
        <v>6.2687130795997081E-2</v>
      </c>
      <c r="H22" s="22">
        <f t="shared" ref="H22:N22" si="10">H10/H19</f>
        <v>7.004066877541798E-2</v>
      </c>
      <c r="I22" s="22">
        <f t="shared" ref="I22" si="11">I10/I19</f>
        <v>5.5558611584795643E-2</v>
      </c>
      <c r="J22" s="125">
        <f t="shared" si="10"/>
        <v>6.1788327190714566E-2</v>
      </c>
      <c r="K22" s="22">
        <f t="shared" si="10"/>
        <v>6.1788327190714559E-2</v>
      </c>
      <c r="L22" s="22">
        <f t="shared" si="10"/>
        <v>6.1788327190714566E-2</v>
      </c>
      <c r="M22" s="22">
        <f t="shared" si="10"/>
        <v>6.1788327190714566E-2</v>
      </c>
      <c r="N22" s="24">
        <f t="shared" si="10"/>
        <v>6.1788327190714566E-2</v>
      </c>
    </row>
    <row r="23" spans="2:18" ht="15" thickBot="1" x14ac:dyDescent="0.35">
      <c r="B23" s="225" t="s">
        <v>44</v>
      </c>
      <c r="C23" s="23">
        <f t="shared" ref="C23:G23" si="12">C10/C18</f>
        <v>4.6118286879673689E-2</v>
      </c>
      <c r="D23" s="23">
        <f t="shared" si="12"/>
        <v>6.8921149058767589E-2</v>
      </c>
      <c r="E23" s="23">
        <f t="shared" si="12"/>
        <v>6.6978511913462949E-2</v>
      </c>
      <c r="F23" s="23">
        <f t="shared" si="12"/>
        <v>6.6411997736276179E-2</v>
      </c>
      <c r="G23" s="23">
        <f t="shared" si="12"/>
        <v>6.2589211171258513E-2</v>
      </c>
      <c r="H23" s="23">
        <f t="shared" ref="H23:N23" si="13">H10/H18</f>
        <v>6.9932853844316467E-2</v>
      </c>
      <c r="I23" s="23">
        <f t="shared" ref="I23" si="14">I10/I18</f>
        <v>5.5558611584795643E-2</v>
      </c>
      <c r="J23" s="126">
        <f t="shared" si="13"/>
        <v>6.1788327190714566E-2</v>
      </c>
      <c r="K23" s="23">
        <f t="shared" si="13"/>
        <v>6.1788327190714559E-2</v>
      </c>
      <c r="L23" s="23">
        <f t="shared" si="13"/>
        <v>6.1788327190714559E-2</v>
      </c>
      <c r="M23" s="23">
        <f t="shared" si="13"/>
        <v>6.1788327190714566E-2</v>
      </c>
      <c r="N23" s="25">
        <f t="shared" si="13"/>
        <v>6.1788327190714566E-2</v>
      </c>
    </row>
    <row r="24" spans="2:18" x14ac:dyDescent="0.3">
      <c r="B24" s="1"/>
      <c r="C24" s="1"/>
      <c r="D24" s="1"/>
      <c r="E24" s="1"/>
      <c r="F24" s="1"/>
      <c r="G24" s="1"/>
      <c r="H24" s="1"/>
      <c r="I24" s="1"/>
      <c r="J24" s="1"/>
      <c r="K24" s="1"/>
      <c r="L24" s="1"/>
      <c r="M24" s="1"/>
      <c r="N24" s="1"/>
    </row>
    <row r="25" spans="2:18" x14ac:dyDescent="0.3">
      <c r="B25" s="1"/>
      <c r="C25" s="1"/>
      <c r="D25" s="1"/>
      <c r="E25" s="1"/>
      <c r="F25" s="1"/>
      <c r="G25" s="1"/>
      <c r="H25" s="1"/>
      <c r="I25" s="1"/>
      <c r="J25" s="1"/>
      <c r="K25" s="1"/>
      <c r="L25" s="1"/>
      <c r="M25" s="1"/>
      <c r="N25" s="1"/>
    </row>
    <row r="26" spans="2:18" x14ac:dyDescent="0.3">
      <c r="B26" s="1"/>
      <c r="C26" s="1"/>
      <c r="D26" s="1"/>
      <c r="E26" s="1"/>
      <c r="F26" s="1"/>
      <c r="G26" s="1"/>
      <c r="H26" s="1"/>
      <c r="I26" s="1"/>
      <c r="J26" s="1"/>
      <c r="K26" s="1"/>
      <c r="L26" s="1"/>
      <c r="M26" s="1"/>
      <c r="N26" s="1"/>
    </row>
    <row r="27" spans="2:18" x14ac:dyDescent="0.3">
      <c r="B27" s="1"/>
      <c r="C27" s="1"/>
      <c r="D27" s="1"/>
      <c r="E27" s="1"/>
      <c r="F27" s="1"/>
      <c r="G27" s="1"/>
      <c r="H27" s="1"/>
      <c r="I27" s="1"/>
      <c r="J27" s="1"/>
      <c r="K27" s="1"/>
      <c r="L27" s="1"/>
      <c r="M27" s="1"/>
      <c r="N27" s="1"/>
    </row>
    <row r="28" spans="2:18"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3" workbookViewId="0">
      <selection activeCell="F24" sqref="F24"/>
    </sheetView>
  </sheetViews>
  <sheetFormatPr baseColWidth="10" defaultColWidth="9.109375" defaultRowHeight="14.4" x14ac:dyDescent="0.3"/>
  <cols>
    <col min="1" max="1" width="4" customWidth="1"/>
    <col min="2" max="2" width="35.5546875" customWidth="1"/>
    <col min="8" max="8" width="11.6640625" bestFit="1" customWidth="1"/>
    <col min="9" max="9" width="11.6640625" customWidth="1"/>
    <col min="10" max="10" width="10.5546875" customWidth="1"/>
    <col min="11" max="11" width="10" customWidth="1"/>
    <col min="12" max="12" width="11.109375" bestFit="1" customWidth="1"/>
    <col min="13" max="14" width="10.44140625" customWidth="1"/>
    <col min="15" max="15" width="7" customWidth="1"/>
    <col min="16" max="16" width="13.6640625" customWidth="1"/>
  </cols>
  <sheetData>
    <row r="1" spans="2:22" ht="15" thickBot="1" x14ac:dyDescent="0.35"/>
    <row r="2" spans="2:22" ht="15" customHeight="1" x14ac:dyDescent="0.3">
      <c r="B2" s="279"/>
      <c r="C2" s="282"/>
      <c r="D2" s="282"/>
      <c r="E2" s="282"/>
      <c r="F2" s="282"/>
      <c r="G2" s="282"/>
      <c r="H2" s="282"/>
      <c r="I2" s="282"/>
      <c r="J2" s="282"/>
      <c r="K2" s="282"/>
      <c r="L2" s="282"/>
      <c r="M2" s="282"/>
      <c r="N2" s="283"/>
      <c r="O2" s="1"/>
      <c r="P2" s="1"/>
      <c r="Q2" s="1"/>
      <c r="R2" s="1"/>
      <c r="S2" s="1"/>
      <c r="T2" s="1"/>
      <c r="U2" s="1"/>
      <c r="V2" s="1"/>
    </row>
    <row r="3" spans="2:22" ht="15" customHeight="1" x14ac:dyDescent="0.3">
      <c r="B3" s="280"/>
      <c r="C3" s="284"/>
      <c r="D3" s="284"/>
      <c r="E3" s="284"/>
      <c r="F3" s="284"/>
      <c r="G3" s="284"/>
      <c r="H3" s="284"/>
      <c r="I3" s="284"/>
      <c r="J3" s="284"/>
      <c r="K3" s="284"/>
      <c r="L3" s="284"/>
      <c r="M3" s="284"/>
      <c r="N3" s="285"/>
      <c r="O3" s="1"/>
      <c r="P3" s="1"/>
      <c r="Q3" s="1"/>
      <c r="R3" s="1"/>
      <c r="S3" s="1"/>
      <c r="T3" s="1"/>
      <c r="U3" s="1"/>
      <c r="V3" s="1"/>
    </row>
    <row r="4" spans="2:22" ht="15" customHeight="1" x14ac:dyDescent="0.3">
      <c r="B4" s="280"/>
      <c r="C4" s="284"/>
      <c r="D4" s="284"/>
      <c r="E4" s="284"/>
      <c r="F4" s="284"/>
      <c r="G4" s="284"/>
      <c r="H4" s="284"/>
      <c r="I4" s="284"/>
      <c r="J4" s="284"/>
      <c r="K4" s="284"/>
      <c r="L4" s="284"/>
      <c r="M4" s="284"/>
      <c r="N4" s="285"/>
      <c r="O4" s="1"/>
      <c r="P4" s="1"/>
      <c r="Q4" s="1"/>
      <c r="R4" s="1"/>
      <c r="S4" s="1"/>
      <c r="T4" s="1"/>
      <c r="U4" s="1"/>
      <c r="V4" s="1"/>
    </row>
    <row r="5" spans="2:22" ht="15" customHeight="1" x14ac:dyDescent="0.3">
      <c r="B5" s="280"/>
      <c r="C5" s="284"/>
      <c r="D5" s="284"/>
      <c r="E5" s="284"/>
      <c r="F5" s="284"/>
      <c r="G5" s="284"/>
      <c r="H5" s="284"/>
      <c r="I5" s="284"/>
      <c r="J5" s="284"/>
      <c r="K5" s="284"/>
      <c r="L5" s="284"/>
      <c r="M5" s="284"/>
      <c r="N5" s="285"/>
      <c r="O5" s="1"/>
      <c r="P5" s="1"/>
      <c r="Q5" s="1"/>
      <c r="R5" s="1"/>
      <c r="S5" s="1"/>
      <c r="T5" s="1"/>
      <c r="U5" s="1"/>
      <c r="V5" s="1"/>
    </row>
    <row r="6" spans="2:22" ht="15" customHeight="1" x14ac:dyDescent="0.3">
      <c r="B6" s="280"/>
      <c r="C6" s="284"/>
      <c r="D6" s="284"/>
      <c r="E6" s="284"/>
      <c r="F6" s="284"/>
      <c r="G6" s="284"/>
      <c r="H6" s="284"/>
      <c r="I6" s="284"/>
      <c r="J6" s="284"/>
      <c r="K6" s="284"/>
      <c r="L6" s="284"/>
      <c r="M6" s="284"/>
      <c r="N6" s="285"/>
      <c r="O6" s="1"/>
      <c r="P6" s="1"/>
      <c r="Q6" s="1"/>
      <c r="R6" s="1"/>
      <c r="S6" s="1"/>
      <c r="T6" s="1"/>
      <c r="U6" s="1"/>
      <c r="V6" s="1"/>
    </row>
    <row r="7" spans="2:22" ht="48.75" customHeight="1" thickBot="1" x14ac:dyDescent="0.35">
      <c r="B7" s="280"/>
      <c r="C7" s="284"/>
      <c r="D7" s="284"/>
      <c r="E7" s="284"/>
      <c r="F7" s="284"/>
      <c r="G7" s="284"/>
      <c r="H7" s="284"/>
      <c r="I7" s="284"/>
      <c r="J7" s="286"/>
      <c r="K7" s="286"/>
      <c r="L7" s="286"/>
      <c r="M7" s="286"/>
      <c r="N7" s="287"/>
      <c r="O7" s="1"/>
      <c r="P7" s="1"/>
      <c r="Q7" s="1"/>
      <c r="R7" s="1"/>
      <c r="S7" s="1"/>
      <c r="T7" s="1"/>
      <c r="U7" s="1"/>
      <c r="V7" s="1"/>
    </row>
    <row r="8" spans="2:22" ht="18.75" customHeight="1" thickBot="1" x14ac:dyDescent="0.35">
      <c r="B8" s="292"/>
      <c r="C8" s="32">
        <v>2014</v>
      </c>
      <c r="D8" s="33">
        <v>2015</v>
      </c>
      <c r="E8" s="33">
        <v>2016</v>
      </c>
      <c r="F8" s="33">
        <v>2017</v>
      </c>
      <c r="G8" s="33">
        <v>2018</v>
      </c>
      <c r="H8" s="33">
        <v>2019</v>
      </c>
      <c r="I8" s="206">
        <v>2020</v>
      </c>
      <c r="J8" s="166">
        <v>2021</v>
      </c>
      <c r="K8" s="103">
        <v>2022</v>
      </c>
      <c r="L8" s="103">
        <v>2023</v>
      </c>
      <c r="M8" s="103">
        <v>2024</v>
      </c>
      <c r="N8" s="104">
        <v>2025</v>
      </c>
      <c r="O8" s="1"/>
      <c r="P8" s="1"/>
      <c r="Q8" s="1"/>
      <c r="R8" s="1"/>
      <c r="S8" s="1"/>
      <c r="T8" s="1"/>
      <c r="U8" s="1"/>
      <c r="V8" s="1"/>
    </row>
    <row r="9" spans="2:22" ht="16.2" thickBot="1" x14ac:dyDescent="0.35">
      <c r="B9" s="162" t="s">
        <v>22</v>
      </c>
      <c r="C9" s="109"/>
      <c r="D9" s="30"/>
      <c r="E9" s="30"/>
      <c r="F9" s="30"/>
      <c r="G9" s="30"/>
      <c r="H9" s="30"/>
      <c r="I9" s="207"/>
      <c r="J9" s="30"/>
      <c r="K9" s="30"/>
      <c r="L9" s="30"/>
      <c r="M9" s="57"/>
      <c r="N9" s="110"/>
      <c r="O9" s="293" t="s">
        <v>14</v>
      </c>
      <c r="P9" s="294"/>
      <c r="Q9" s="15">
        <v>61</v>
      </c>
      <c r="R9" s="1"/>
      <c r="S9" s="1"/>
      <c r="T9" s="1"/>
      <c r="U9" s="1"/>
      <c r="V9" s="1"/>
    </row>
    <row r="10" spans="2:22" ht="15.6" x14ac:dyDescent="0.3">
      <c r="B10" s="66" t="s">
        <v>21</v>
      </c>
      <c r="C10" s="108"/>
      <c r="D10" s="106"/>
      <c r="E10" s="106"/>
      <c r="F10" s="106"/>
      <c r="G10" s="106"/>
      <c r="H10" s="106">
        <f>$Q$9*'1.Income statement'!H27</f>
        <v>8296</v>
      </c>
      <c r="I10" s="208">
        <f>$Q$9*'1.Income statement'!I27</f>
        <v>7747</v>
      </c>
      <c r="J10" s="106">
        <f>$Q$9*'1.Income statement'!J27</f>
        <v>7564</v>
      </c>
      <c r="K10" s="106">
        <f>$Q$9*'1.Income statement'!K27</f>
        <v>6710</v>
      </c>
      <c r="L10" s="106">
        <f>$Q$9*'1.Income statement'!L27</f>
        <v>5795</v>
      </c>
      <c r="M10" s="106">
        <f>$Q$9*'1.Income statement'!M27</f>
        <v>4880</v>
      </c>
      <c r="N10" s="111">
        <f>$Q$9*'1.Income statement'!N27</f>
        <v>3965</v>
      </c>
      <c r="O10" s="14"/>
      <c r="P10" s="14"/>
      <c r="Q10" s="14"/>
      <c r="R10" s="1"/>
      <c r="S10" s="1"/>
      <c r="T10" s="1"/>
      <c r="U10" s="1"/>
      <c r="V10" s="1"/>
    </row>
    <row r="11" spans="2:22" ht="15.6" x14ac:dyDescent="0.3">
      <c r="B11" s="66" t="s">
        <v>50</v>
      </c>
      <c r="C11" s="108">
        <f>'3.retornos capital'!C15-'3.retornos capital'!C14</f>
        <v>28912</v>
      </c>
      <c r="D11" s="106">
        <f>'3.retornos capital'!D15-'3.retornos capital'!D14</f>
        <v>27403</v>
      </c>
      <c r="E11" s="106">
        <f>'3.retornos capital'!E15-'3.retornos capital'!E14</f>
        <v>25681</v>
      </c>
      <c r="F11" s="106">
        <f>'3.retornos capital'!F15-'3.retornos capital'!F14</f>
        <v>26761</v>
      </c>
      <c r="G11" s="106">
        <f>'3.retornos capital'!G15-'3.retornos capital'!G14</f>
        <v>28303</v>
      </c>
      <c r="H11" s="106">
        <f>'3.retornos capital'!H15-'3.retornos capital'!H14</f>
        <v>28365</v>
      </c>
      <c r="I11" s="208">
        <f>'3.retornos capital'!I15-'3.retornos capital'!I14</f>
        <v>27494</v>
      </c>
      <c r="J11" s="226">
        <v>26500</v>
      </c>
      <c r="K11" s="226">
        <v>25500</v>
      </c>
      <c r="L11" s="226">
        <v>24500</v>
      </c>
      <c r="M11" s="226">
        <v>23500</v>
      </c>
      <c r="N11" s="227">
        <v>22500</v>
      </c>
      <c r="O11" s="295"/>
      <c r="P11" s="295"/>
      <c r="Q11" s="14"/>
      <c r="R11" s="1"/>
      <c r="S11" s="1"/>
      <c r="T11" s="1"/>
      <c r="U11" s="1"/>
      <c r="V11" s="1"/>
    </row>
    <row r="12" spans="2:22" ht="15.6" x14ac:dyDescent="0.3">
      <c r="B12" s="163" t="s">
        <v>75</v>
      </c>
      <c r="C12" s="165">
        <f>C11/'1.Income statement'!C12</f>
        <v>9.7085292142377426</v>
      </c>
      <c r="D12" s="127">
        <f>D11/'1.Income statement'!D12</f>
        <v>6.3624332482006034</v>
      </c>
      <c r="E12" s="127">
        <f>E11/'1.Income statement'!E12</f>
        <v>6.2912787849093581</v>
      </c>
      <c r="F12" s="127">
        <f>F11/'1.Income statement'!F12</f>
        <v>6.5687285223367695</v>
      </c>
      <c r="G12" s="127">
        <f>G11/'1.Income statement'!G12</f>
        <v>7.0704471646265299</v>
      </c>
      <c r="H12" s="127">
        <f>H11/'1.Income statement'!H12</f>
        <v>6.5796798886569245</v>
      </c>
      <c r="I12" s="12">
        <f>I11/'1.Income statement'!I12</f>
        <v>7.5017735334242834</v>
      </c>
      <c r="J12" s="127">
        <f>J11/'1.Income statement'!J12</f>
        <v>6.611372308828428</v>
      </c>
      <c r="K12" s="127">
        <f>K11/'1.Income statement'!K12</f>
        <v>6.1765888944907452</v>
      </c>
      <c r="L12" s="127">
        <f>L11/'1.Income statement'!L12</f>
        <v>5.7615240020949265</v>
      </c>
      <c r="M12" s="127">
        <f>M11/'1.Income statement'!M12</f>
        <v>5.365397822438311</v>
      </c>
      <c r="N12" s="112">
        <f>N11/'1.Income statement'!N12</f>
        <v>4.9874592441587282</v>
      </c>
      <c r="O12" s="288"/>
      <c r="P12" s="288"/>
      <c r="Q12" s="14"/>
      <c r="R12" s="1"/>
      <c r="S12" s="1"/>
      <c r="T12" s="1"/>
      <c r="U12" s="1"/>
      <c r="V12" s="1"/>
    </row>
    <row r="13" spans="2:22" ht="15.6" x14ac:dyDescent="0.3">
      <c r="B13" s="164" t="s">
        <v>20</v>
      </c>
      <c r="C13" s="41"/>
      <c r="D13" s="42"/>
      <c r="E13" s="42"/>
      <c r="F13" s="42"/>
      <c r="G13" s="42"/>
      <c r="H13" s="42">
        <f>H10+H11</f>
        <v>36661</v>
      </c>
      <c r="I13" s="13">
        <f>I10+I11</f>
        <v>35241</v>
      </c>
      <c r="J13" s="42">
        <f t="shared" ref="J13:N13" si="0">J10+J11</f>
        <v>34064</v>
      </c>
      <c r="K13" s="42">
        <f t="shared" si="0"/>
        <v>32210</v>
      </c>
      <c r="L13" s="42">
        <f t="shared" si="0"/>
        <v>30295</v>
      </c>
      <c r="M13" s="42">
        <f t="shared" si="0"/>
        <v>28380</v>
      </c>
      <c r="N13" s="43">
        <f t="shared" si="0"/>
        <v>26465</v>
      </c>
      <c r="O13" s="288"/>
      <c r="P13" s="288"/>
      <c r="Q13" s="14"/>
      <c r="R13" s="1"/>
      <c r="S13" s="1"/>
      <c r="T13" s="1"/>
      <c r="U13" s="1"/>
      <c r="V13" s="1"/>
    </row>
    <row r="14" spans="2:22" ht="15.6" x14ac:dyDescent="0.3">
      <c r="B14" s="66" t="s">
        <v>6</v>
      </c>
      <c r="C14" s="108">
        <f>'1.Income statement'!C12</f>
        <v>2978</v>
      </c>
      <c r="D14" s="106">
        <f>'1.Income statement'!D12</f>
        <v>4307</v>
      </c>
      <c r="E14" s="106">
        <f>'1.Income statement'!E12</f>
        <v>4082</v>
      </c>
      <c r="F14" s="106">
        <f>'1.Income statement'!F12</f>
        <v>4074</v>
      </c>
      <c r="G14" s="106">
        <f>'1.Income statement'!G12</f>
        <v>4003</v>
      </c>
      <c r="H14" s="205">
        <f>'1.Income statement'!H12</f>
        <v>4311</v>
      </c>
      <c r="I14" s="212">
        <f>'1.Income statement'!I12</f>
        <v>3665</v>
      </c>
      <c r="J14" s="106">
        <f>'1.Income statement'!J12</f>
        <v>4008.2449999999999</v>
      </c>
      <c r="K14" s="106">
        <f>'1.Income statement'!K12</f>
        <v>4128.4923500000004</v>
      </c>
      <c r="L14" s="106">
        <f>'1.Income statement'!L12</f>
        <v>4252.3471205000005</v>
      </c>
      <c r="M14" s="106">
        <f>'1.Income statement'!M12</f>
        <v>4379.9175341150003</v>
      </c>
      <c r="N14" s="113">
        <f>'1.Income statement'!N12</f>
        <v>4511.3150601384496</v>
      </c>
      <c r="O14" s="288"/>
      <c r="P14" s="288"/>
      <c r="Q14" s="14"/>
      <c r="R14" s="1"/>
      <c r="S14" s="1"/>
      <c r="T14" s="1"/>
      <c r="U14" s="1"/>
      <c r="V14" s="1"/>
    </row>
    <row r="15" spans="2:22" ht="15.6" x14ac:dyDescent="0.3">
      <c r="B15" s="66" t="s">
        <v>11</v>
      </c>
      <c r="C15" s="108">
        <f>'1.Income statement'!C15</f>
        <v>1696</v>
      </c>
      <c r="D15" s="106">
        <f>'1.Income statement'!D15</f>
        <v>2464</v>
      </c>
      <c r="E15" s="106">
        <f>'1.Income statement'!E15</f>
        <v>2291</v>
      </c>
      <c r="F15" s="106">
        <f>'1.Income statement'!F15</f>
        <v>2347</v>
      </c>
      <c r="G15" s="106">
        <f>'1.Income statement'!G15</f>
        <v>2324</v>
      </c>
      <c r="H15" s="106">
        <f>'1.Income statement'!H15</f>
        <v>2635</v>
      </c>
      <c r="I15" s="208">
        <f>'1.Income statement'!I15</f>
        <v>2020</v>
      </c>
      <c r="J15" s="106">
        <f>'1.Income statement'!J15</f>
        <v>2313.895</v>
      </c>
      <c r="K15" s="106">
        <f>'1.Income statement'!K15</f>
        <v>2383.31185</v>
      </c>
      <c r="L15" s="106">
        <f>'1.Income statement'!L15</f>
        <v>2454.8112055000001</v>
      </c>
      <c r="M15" s="106">
        <f>'1.Income statement'!M15</f>
        <v>2528.4555416650001</v>
      </c>
      <c r="N15" s="111">
        <f>'1.Income statement'!N15</f>
        <v>2604.3092079149501</v>
      </c>
      <c r="O15" s="288"/>
      <c r="P15" s="288"/>
      <c r="Q15" s="14"/>
      <c r="R15" s="1"/>
      <c r="S15" s="1"/>
      <c r="T15" s="1"/>
      <c r="U15" s="1"/>
      <c r="V15" s="1"/>
    </row>
    <row r="16" spans="2:22" ht="15.6" x14ac:dyDescent="0.3">
      <c r="B16" s="66" t="s">
        <v>12</v>
      </c>
      <c r="C16" s="108">
        <f>'1.Income statement'!C24</f>
        <v>781</v>
      </c>
      <c r="D16" s="106">
        <f>'1.Income statement'!D24</f>
        <v>1177.5</v>
      </c>
      <c r="E16" s="106">
        <f>'1.Income statement'!E24</f>
        <v>1034</v>
      </c>
      <c r="F16" s="106">
        <f>'1.Income statement'!F24</f>
        <v>1067</v>
      </c>
      <c r="G16" s="106">
        <f>'1.Income statement'!G24</f>
        <v>1004</v>
      </c>
      <c r="H16" s="106">
        <f>'1.Income statement'!H24</f>
        <v>1152</v>
      </c>
      <c r="I16" s="208">
        <f>'1.Income statement'!I24</f>
        <v>677</v>
      </c>
      <c r="J16" s="106">
        <f>'1.Income statement'!J24</f>
        <v>901.95039999999995</v>
      </c>
      <c r="K16" s="106">
        <f>'1.Income statement'!K24</f>
        <v>929.00891200000001</v>
      </c>
      <c r="L16" s="106">
        <f>'1.Income statement'!L24</f>
        <v>956.87917935999997</v>
      </c>
      <c r="M16" s="106">
        <f>'1.Income statement'!M24</f>
        <v>985.58555474080003</v>
      </c>
      <c r="N16" s="111">
        <f>'1.Income statement'!N24</f>
        <v>1015.1531213830241</v>
      </c>
      <c r="O16" s="289"/>
      <c r="P16" s="290"/>
      <c r="Q16" s="14"/>
      <c r="R16" s="1"/>
      <c r="S16" s="1"/>
      <c r="T16" s="1"/>
      <c r="U16" s="1"/>
      <c r="V16" s="1"/>
    </row>
    <row r="17" spans="2:22" ht="15.6" x14ac:dyDescent="0.3">
      <c r="B17" s="66" t="s">
        <v>13</v>
      </c>
      <c r="C17" s="108">
        <f>'2.Flujos de caja'!C15</f>
        <v>86</v>
      </c>
      <c r="D17" s="106">
        <f>'2.Flujos de caja'!D15</f>
        <v>1075.5</v>
      </c>
      <c r="E17" s="106">
        <f>'2.Flujos de caja'!E15</f>
        <v>1352</v>
      </c>
      <c r="F17" s="106">
        <f>'2.Flujos de caja'!F15</f>
        <v>-651</v>
      </c>
      <c r="G17" s="106">
        <f>'2.Flujos de caja'!G15</f>
        <v>-1443</v>
      </c>
      <c r="H17" s="106">
        <f>'2.Flujos de caja'!H15</f>
        <v>-127</v>
      </c>
      <c r="I17" s="208">
        <f>'2.Flujos de caja'!I15</f>
        <v>1610</v>
      </c>
      <c r="J17" s="106">
        <f>'2.Flujos de caja'!J15</f>
        <v>-1403.6996000000001</v>
      </c>
      <c r="K17" s="106">
        <f>'2.Flujos de caja'!K15</f>
        <v>-1445.8105879999998</v>
      </c>
      <c r="L17" s="106">
        <f>'2.Flujos de caja'!L15</f>
        <v>-1489.1849056399999</v>
      </c>
      <c r="M17" s="106">
        <f>'2.Flujos de caja'!M15</f>
        <v>-1533.8604528092001</v>
      </c>
      <c r="N17" s="111">
        <f>'2.Flujos de caja'!N15</f>
        <v>-1579.8762663934765</v>
      </c>
      <c r="O17" s="288"/>
      <c r="P17" s="288"/>
      <c r="Q17" s="14"/>
      <c r="R17" s="1"/>
      <c r="S17" s="1"/>
      <c r="T17" s="1"/>
      <c r="U17" s="1"/>
      <c r="V17" s="1"/>
    </row>
    <row r="18" spans="2:22" ht="15.6" x14ac:dyDescent="0.3">
      <c r="B18" s="66" t="s">
        <v>71</v>
      </c>
      <c r="C18" s="108">
        <f>'3.retornos capital'!C17/'1.Income statement'!C27</f>
        <v>43.927374301675975</v>
      </c>
      <c r="D18" s="106">
        <f>'3.retornos capital'!D17/'1.Income statement'!D27</f>
        <v>40.524271844660191</v>
      </c>
      <c r="E18" s="106">
        <f>'3.retornos capital'!E17/'1.Income statement'!E27</f>
        <v>44.863157894736844</v>
      </c>
      <c r="F18" s="106">
        <f>'3.retornos capital'!F17/'1.Income statement'!F27</f>
        <v>51.371257485029943</v>
      </c>
      <c r="G18" s="106">
        <f>'3.retornos capital'!G17/'1.Income statement'!G27</f>
        <v>59.24832214765101</v>
      </c>
      <c r="H18" s="106">
        <f>'3.retornos capital'!H17/'1.Income statement'!H27</f>
        <v>68.485294117647058</v>
      </c>
      <c r="I18" s="208">
        <f>'3.retornos capital'!I17/'1.Income statement'!I27</f>
        <v>69.795275590551185</v>
      </c>
      <c r="J18" s="106">
        <f>'3.retornos capital'!J17/'1.Income statement'!J27</f>
        <v>73.62838709677419</v>
      </c>
      <c r="K18" s="106">
        <f>'3.retornos capital'!K17/'1.Income statement'!K27</f>
        <v>85.489250909090913</v>
      </c>
      <c r="L18" s="106">
        <f>'3.retornos capital'!L17/'1.Income statement'!L27</f>
        <v>101.95718029473684</v>
      </c>
      <c r="M18" s="106">
        <f>'3.retornos capital'!M17/'1.Income statement'!M27</f>
        <v>124.706376148</v>
      </c>
      <c r="N18" s="111">
        <f>'3.retornos capital'!N17/'1.Income statement'!N27</f>
        <v>158.08931376300308</v>
      </c>
      <c r="O18" s="21"/>
      <c r="P18" s="21"/>
      <c r="Q18" s="14"/>
      <c r="R18" s="1"/>
      <c r="S18" s="1"/>
      <c r="T18" s="1"/>
      <c r="U18" s="1"/>
      <c r="V18" s="1"/>
    </row>
    <row r="19" spans="2:22" ht="16.2" thickBot="1" x14ac:dyDescent="0.35">
      <c r="B19" s="180" t="s">
        <v>76</v>
      </c>
      <c r="C19" s="181">
        <f>C11/'3.retornos capital'!C17</f>
        <v>3.6769680783415999</v>
      </c>
      <c r="D19" s="183">
        <f>D11/'3.retornos capital'!D17</f>
        <v>3.2825826545280306</v>
      </c>
      <c r="E19" s="183">
        <f>E11/'3.retornos capital'!E17</f>
        <v>3.012787423744721</v>
      </c>
      <c r="F19" s="183">
        <f>F11/'3.retornos capital'!F17</f>
        <v>3.1193612309126939</v>
      </c>
      <c r="G19" s="183">
        <f>G11/'3.retornos capital'!G17</f>
        <v>3.2060489352061623</v>
      </c>
      <c r="H19" s="183">
        <f>H11/'3.retornos capital'!H17</f>
        <v>3.0454155035430537</v>
      </c>
      <c r="I19" s="209">
        <f>I11/'3.retornos capital'!I17</f>
        <v>3.101759927797834</v>
      </c>
      <c r="J19" s="183">
        <f>J11/'3.retornos capital'!J17</f>
        <v>2.902544600609863</v>
      </c>
      <c r="K19" s="183">
        <f>K11/'3.retornos capital'!K17</f>
        <v>2.7116646754186298</v>
      </c>
      <c r="L19" s="183">
        <f>L11/'3.retornos capital'!L17</f>
        <v>2.5294416351706239</v>
      </c>
      <c r="M19" s="183">
        <f>M11/'3.retornos capital'!M17</f>
        <v>2.3555331256790035</v>
      </c>
      <c r="N19" s="182">
        <f>N11/'3.retornos capital'!N17</f>
        <v>2.1896093917693693</v>
      </c>
      <c r="O19" s="177"/>
      <c r="P19" s="177"/>
      <c r="Q19" s="14"/>
      <c r="R19" s="1"/>
      <c r="S19" s="1"/>
      <c r="T19" s="1"/>
      <c r="U19" s="1"/>
      <c r="V19" s="1"/>
    </row>
    <row r="20" spans="2:22" ht="15" thickBot="1" x14ac:dyDescent="0.35">
      <c r="B20" s="119"/>
      <c r="C20" s="120" t="s">
        <v>78</v>
      </c>
      <c r="D20" s="120" t="s">
        <v>41</v>
      </c>
      <c r="E20" s="169"/>
      <c r="F20" s="169"/>
      <c r="G20" s="169"/>
      <c r="H20" s="169"/>
      <c r="I20" s="170"/>
      <c r="J20" s="169"/>
      <c r="K20" s="169"/>
      <c r="L20" s="169"/>
      <c r="M20" s="169"/>
      <c r="N20" s="171"/>
      <c r="O20" s="291"/>
      <c r="P20" s="291"/>
      <c r="Q20" s="5"/>
      <c r="R20" s="1"/>
      <c r="S20" s="1"/>
      <c r="T20" s="1"/>
      <c r="U20" s="1"/>
      <c r="V20" s="1"/>
    </row>
    <row r="21" spans="2:22" ht="18.600000000000001" thickBot="1" x14ac:dyDescent="0.35">
      <c r="B21" s="167" t="s">
        <v>19</v>
      </c>
      <c r="C21" s="107">
        <f>(L21/$Q$9)^(1/3)-1</f>
        <v>0.25601541707443243</v>
      </c>
      <c r="D21" s="107">
        <f>(N21/$Q$9)^(1/5)-1</f>
        <v>0.25168175474374221</v>
      </c>
      <c r="E21" s="6" t="s">
        <v>48</v>
      </c>
      <c r="F21" s="6"/>
      <c r="G21" s="6"/>
      <c r="H21" s="130"/>
      <c r="I21" s="260">
        <f>IF(--I11&lt;0,(I16*$Q$21-I11),IF(--I11&gt;0,I16*$Q$21))/'1.Income statement'!I27</f>
        <v>63.968503937007874</v>
      </c>
      <c r="J21" s="261">
        <f>IF(--J11&lt;0,(J16*$Q$21-J11),IF(--J11&gt;0,J16*$Q$21))/'1.Income statement'!J27</f>
        <v>87.285522580645164</v>
      </c>
      <c r="K21" s="261">
        <f>IF(--K11&lt;0,(K16*$Q$21-K11),IF(--K11&gt;0,K16*$Q$21))/'1.Income statement'!K27</f>
        <v>101.34642676363636</v>
      </c>
      <c r="L21" s="261">
        <f>IF(--L11&lt;0,(L16*$Q$21-L11),IF(--L11&gt;0,L16*$Q$21))/'1.Income statement'!L27</f>
        <v>120.86894897178948</v>
      </c>
      <c r="M21" s="261">
        <f>IF(--M11&lt;0,(M16*$Q$21-M11),IF(--M11&gt;0,M16*$Q$21))/'1.Income statement'!M27</f>
        <v>147.83783321112</v>
      </c>
      <c r="N21" s="262">
        <f>IF(--N11&lt;0,(N16*$Q$21-N11),IF(--N11&gt;0,N16*$Q$21))/'1.Income statement'!N27</f>
        <v>187.41288394763524</v>
      </c>
      <c r="O21" s="121" t="s">
        <v>23</v>
      </c>
      <c r="P21" s="121"/>
      <c r="Q21" s="9">
        <v>12</v>
      </c>
      <c r="R21" s="1"/>
      <c r="S21" s="1"/>
      <c r="T21" s="1"/>
      <c r="U21" s="1"/>
      <c r="V21" s="1"/>
    </row>
    <row r="22" spans="2:22" ht="18.600000000000001" thickBot="1" x14ac:dyDescent="0.35">
      <c r="B22" s="167" t="s">
        <v>74</v>
      </c>
      <c r="C22" s="105">
        <f t="shared" ref="C22" si="1">(L22/$Q$9)^(1/3)-1</f>
        <v>0.18675934553084828</v>
      </c>
      <c r="D22" s="105">
        <f>(N22/$Q$9)^(1/5)-1</f>
        <v>0.20980266220955635</v>
      </c>
      <c r="E22" s="7" t="s">
        <v>72</v>
      </c>
      <c r="F22" s="57"/>
      <c r="G22" s="57"/>
      <c r="H22" s="130"/>
      <c r="I22" s="260">
        <f>I18*$Q$22</f>
        <v>69.795275590551185</v>
      </c>
      <c r="J22" s="261">
        <f>J18*$Q$22</f>
        <v>73.62838709677419</v>
      </c>
      <c r="K22" s="261">
        <f t="shared" ref="K22:N22" si="2">K18*$Q$22</f>
        <v>85.489250909090913</v>
      </c>
      <c r="L22" s="261">
        <f t="shared" si="2"/>
        <v>101.95718029473684</v>
      </c>
      <c r="M22" s="261">
        <f t="shared" si="2"/>
        <v>124.706376148</v>
      </c>
      <c r="N22" s="262">
        <f t="shared" si="2"/>
        <v>158.08931376300308</v>
      </c>
      <c r="O22" s="281" t="s">
        <v>73</v>
      </c>
      <c r="P22" s="281"/>
      <c r="Q22" s="9">
        <v>1</v>
      </c>
      <c r="R22" s="1"/>
      <c r="S22" s="1"/>
      <c r="T22" s="1"/>
      <c r="U22" s="1"/>
      <c r="V22" s="1"/>
    </row>
    <row r="23" spans="2:22" ht="18.600000000000001" thickBot="1" x14ac:dyDescent="0.35">
      <c r="B23" s="167"/>
      <c r="C23" s="172"/>
      <c r="D23" s="57"/>
      <c r="E23" s="7"/>
      <c r="F23" s="57"/>
      <c r="G23" s="57"/>
      <c r="H23" s="130"/>
      <c r="I23" s="18"/>
      <c r="J23" s="19"/>
      <c r="K23" s="19"/>
      <c r="L23" s="19"/>
      <c r="M23" s="19"/>
      <c r="N23" s="114"/>
      <c r="O23" s="281"/>
      <c r="P23" s="281"/>
      <c r="Q23" s="9"/>
      <c r="R23" s="1"/>
      <c r="S23" s="1"/>
      <c r="T23" s="1"/>
      <c r="U23" s="1"/>
      <c r="V23" s="1"/>
    </row>
    <row r="24" spans="2:22" ht="18.600000000000001" thickBot="1" x14ac:dyDescent="0.35">
      <c r="B24" s="168"/>
      <c r="C24" s="173"/>
      <c r="D24" s="115"/>
      <c r="E24" s="116"/>
      <c r="F24" s="115"/>
      <c r="G24" s="115"/>
      <c r="H24" s="204"/>
      <c r="I24" s="204"/>
      <c r="J24" s="210"/>
      <c r="K24" s="117"/>
      <c r="L24" s="117"/>
      <c r="M24" s="117"/>
      <c r="N24" s="118"/>
      <c r="O24" s="281"/>
      <c r="P24" s="281"/>
      <c r="Q24" s="9"/>
      <c r="R24" s="1"/>
      <c r="S24" s="1"/>
      <c r="T24" s="1"/>
      <c r="U24" s="1"/>
      <c r="V24" s="1"/>
    </row>
    <row r="25" spans="2:22" ht="15.6" x14ac:dyDescent="0.3">
      <c r="B25" s="4"/>
      <c r="C25" s="3"/>
      <c r="D25" s="3"/>
      <c r="E25" s="3"/>
      <c r="F25" s="3"/>
      <c r="G25" s="3"/>
      <c r="H25" s="3"/>
      <c r="I25" s="3"/>
      <c r="J25" s="3"/>
      <c r="K25" s="3"/>
      <c r="L25" s="3"/>
      <c r="M25" s="3"/>
      <c r="N25" s="3"/>
      <c r="O25" s="1"/>
      <c r="P25" s="1"/>
      <c r="Q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8"/>
    </row>
  </sheetData>
  <mergeCells count="14">
    <mergeCell ref="B2:B8"/>
    <mergeCell ref="O9:P9"/>
    <mergeCell ref="O11:P11"/>
    <mergeCell ref="O12:P12"/>
    <mergeCell ref="O22:P22"/>
    <mergeCell ref="O23:P23"/>
    <mergeCell ref="O24:P24"/>
    <mergeCell ref="C2:N7"/>
    <mergeCell ref="O13:P13"/>
    <mergeCell ref="O14:P14"/>
    <mergeCell ref="O15:P15"/>
    <mergeCell ref="O16:P16"/>
    <mergeCell ref="O17:P17"/>
    <mergeCell ref="O20:P20"/>
  </mergeCells>
  <dataValidations disablePrompts="1"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4.4" x14ac:dyDescent="0.3"/>
  <cols>
    <col min="2" max="2" width="105.109375" customWidth="1"/>
    <col min="9" max="9" width="11.44140625" customWidth="1"/>
  </cols>
  <sheetData>
    <row r="3" spans="2:9" ht="51" customHeight="1" x14ac:dyDescent="0.3">
      <c r="B3" s="149" t="s">
        <v>61</v>
      </c>
      <c r="C3" s="146"/>
      <c r="D3" s="146"/>
      <c r="E3" s="146"/>
      <c r="F3" s="146"/>
      <c r="G3" s="146"/>
    </row>
    <row r="4" spans="2:9" ht="46.5" customHeight="1" x14ac:dyDescent="0.3">
      <c r="B4" s="148" t="s">
        <v>49</v>
      </c>
      <c r="C4" s="143"/>
      <c r="D4" s="143"/>
      <c r="E4" s="133"/>
      <c r="F4" s="143"/>
      <c r="G4" s="143"/>
      <c r="H4" s="143"/>
      <c r="I4" s="147"/>
    </row>
    <row r="5" spans="2:9" ht="21" customHeight="1" x14ac:dyDescent="0.3">
      <c r="B5" s="144"/>
      <c r="C5" s="143"/>
      <c r="D5" s="143"/>
      <c r="E5" s="143"/>
      <c r="F5" s="143"/>
      <c r="G5" s="143"/>
      <c r="H5" s="143"/>
      <c r="I5" s="147"/>
    </row>
    <row r="6" spans="2:9" ht="21" customHeight="1" x14ac:dyDescent="0.3">
      <c r="B6" s="296" t="s">
        <v>62</v>
      </c>
      <c r="C6" s="296"/>
      <c r="D6" s="296"/>
      <c r="E6" s="296"/>
      <c r="F6" s="296"/>
      <c r="G6" s="296"/>
      <c r="H6" s="296"/>
      <c r="I6" s="296"/>
    </row>
    <row r="7" spans="2:9" ht="21" customHeight="1" thickBot="1" x14ac:dyDescent="0.4">
      <c r="B7" s="135"/>
      <c r="C7" s="135"/>
      <c r="D7" s="135"/>
      <c r="E7" s="135"/>
      <c r="F7" s="135"/>
      <c r="G7" s="135"/>
      <c r="H7" s="135"/>
      <c r="I7" s="135"/>
    </row>
    <row r="8" spans="2:9" ht="57" customHeight="1" thickBot="1" x14ac:dyDescent="0.4">
      <c r="B8" s="152" t="s">
        <v>63</v>
      </c>
      <c r="C8" s="135"/>
      <c r="D8" s="135"/>
      <c r="E8" s="135"/>
      <c r="F8" s="135"/>
      <c r="G8" s="135"/>
      <c r="H8" s="135"/>
      <c r="I8" s="135"/>
    </row>
    <row r="9" spans="2:9" s="133" customFormat="1" ht="21" customHeight="1" x14ac:dyDescent="0.3">
      <c r="B9" s="140" t="s">
        <v>51</v>
      </c>
      <c r="C9" s="137"/>
      <c r="D9" s="137"/>
      <c r="E9" s="137"/>
      <c r="F9" s="137"/>
      <c r="G9" s="137"/>
      <c r="H9" s="137"/>
      <c r="I9" s="137"/>
    </row>
    <row r="10" spans="2:9" s="133" customFormat="1" ht="21" customHeight="1" x14ac:dyDescent="0.3">
      <c r="B10" s="138" t="s">
        <v>56</v>
      </c>
      <c r="C10" s="137"/>
      <c r="D10" s="137"/>
      <c r="E10" s="137"/>
      <c r="F10" s="137"/>
      <c r="G10" s="137"/>
      <c r="H10" s="137"/>
      <c r="I10" s="137"/>
    </row>
    <row r="11" spans="2:9" s="133" customFormat="1" ht="21" customHeight="1" x14ac:dyDescent="0.3">
      <c r="B11" s="138" t="s">
        <v>52</v>
      </c>
      <c r="C11" s="137"/>
      <c r="D11" s="137"/>
      <c r="E11" s="137"/>
      <c r="F11" s="137"/>
      <c r="G11" s="137"/>
      <c r="H11" s="137"/>
      <c r="I11" s="137"/>
    </row>
    <row r="12" spans="2:9" s="133" customFormat="1" ht="21" customHeight="1" x14ac:dyDescent="0.3">
      <c r="B12" s="138" t="s">
        <v>53</v>
      </c>
      <c r="C12" s="137"/>
      <c r="D12" s="137"/>
      <c r="E12" s="137"/>
      <c r="F12" s="137"/>
      <c r="G12" s="137"/>
      <c r="H12" s="137"/>
      <c r="I12" s="137"/>
    </row>
    <row r="13" spans="2:9" s="133" customFormat="1" ht="21" customHeight="1" x14ac:dyDescent="0.3">
      <c r="B13" s="138" t="s">
        <v>55</v>
      </c>
      <c r="C13" s="137"/>
      <c r="D13" s="137"/>
      <c r="E13" s="137"/>
      <c r="F13" s="137"/>
      <c r="G13" s="137"/>
      <c r="H13" s="137"/>
      <c r="I13" s="137"/>
    </row>
    <row r="14" spans="2:9" s="133" customFormat="1" ht="21" customHeight="1" x14ac:dyDescent="0.3">
      <c r="B14" s="138" t="s">
        <v>69</v>
      </c>
      <c r="C14" s="137"/>
      <c r="D14" s="137"/>
      <c r="E14" s="137"/>
      <c r="F14" s="137"/>
      <c r="G14" s="137"/>
      <c r="H14" s="137"/>
      <c r="I14" s="137"/>
    </row>
    <row r="15" spans="2:9" s="133" customFormat="1" ht="18" customHeight="1" x14ac:dyDescent="0.3">
      <c r="B15" s="297" t="s">
        <v>54</v>
      </c>
      <c r="C15" s="137"/>
      <c r="D15" s="137"/>
      <c r="E15" s="137"/>
      <c r="F15" s="137"/>
      <c r="G15" s="137"/>
      <c r="H15" s="137"/>
      <c r="I15" s="137"/>
    </row>
    <row r="16" spans="2:9" s="133" customFormat="1" ht="39" customHeight="1" thickBot="1" x14ac:dyDescent="0.35">
      <c r="B16" s="298"/>
      <c r="C16" s="137"/>
      <c r="D16" s="137"/>
      <c r="E16" s="137"/>
      <c r="F16" s="137"/>
      <c r="G16" s="137"/>
      <c r="H16" s="137"/>
      <c r="I16" s="137"/>
    </row>
    <row r="17" spans="2:9" s="133" customFormat="1" ht="57" customHeight="1" thickBot="1" x14ac:dyDescent="0.35">
      <c r="B17" s="153" t="s">
        <v>64</v>
      </c>
      <c r="C17" s="134"/>
      <c r="D17" s="134"/>
      <c r="E17" s="134"/>
      <c r="F17" s="134"/>
      <c r="G17" s="134"/>
      <c r="H17" s="134"/>
      <c r="I17" s="134"/>
    </row>
    <row r="18" spans="2:9" s="133" customFormat="1" ht="23.25" customHeight="1" thickBot="1" x14ac:dyDescent="0.35">
      <c r="B18" s="150" t="s">
        <v>67</v>
      </c>
      <c r="C18" s="136"/>
      <c r="D18" s="136"/>
      <c r="E18" s="136"/>
      <c r="F18" s="136"/>
      <c r="G18" s="136"/>
      <c r="H18" s="136"/>
      <c r="I18" s="136"/>
    </row>
    <row r="19" spans="2:9" ht="57" customHeight="1" thickBot="1" x14ac:dyDescent="0.35">
      <c r="B19" s="153" t="s">
        <v>65</v>
      </c>
      <c r="C19" s="136"/>
      <c r="D19" s="136"/>
      <c r="E19" s="136"/>
      <c r="F19" s="136"/>
      <c r="G19" s="136"/>
      <c r="H19" s="136"/>
      <c r="I19" s="136"/>
    </row>
    <row r="20" spans="2:9" ht="21" customHeight="1" x14ac:dyDescent="0.3">
      <c r="B20" s="299" t="s">
        <v>57</v>
      </c>
      <c r="C20" s="133"/>
      <c r="D20" s="133"/>
      <c r="E20" s="133"/>
      <c r="F20" s="133"/>
      <c r="G20" s="133"/>
      <c r="H20" s="133"/>
      <c r="I20" s="133"/>
    </row>
    <row r="21" spans="2:9" ht="21" customHeight="1" x14ac:dyDescent="0.3">
      <c r="B21" s="297"/>
      <c r="C21" s="136"/>
      <c r="D21" s="136"/>
      <c r="E21" s="136"/>
      <c r="F21" s="136"/>
      <c r="G21" s="136"/>
      <c r="H21" s="136"/>
      <c r="I21" s="136"/>
    </row>
    <row r="22" spans="2:9" ht="33" customHeight="1" thickBot="1" x14ac:dyDescent="0.35">
      <c r="B22" s="298"/>
      <c r="C22" s="136"/>
      <c r="D22" s="136"/>
      <c r="E22" s="136"/>
      <c r="F22" s="136"/>
      <c r="G22" s="136"/>
      <c r="H22" s="136"/>
      <c r="I22" s="136"/>
    </row>
    <row r="23" spans="2:9" ht="57" customHeight="1" thickBot="1" x14ac:dyDescent="0.35">
      <c r="B23" s="153" t="s">
        <v>66</v>
      </c>
      <c r="C23" s="136"/>
      <c r="D23" s="136"/>
      <c r="E23" s="136"/>
      <c r="F23" s="136"/>
      <c r="G23" s="136"/>
      <c r="H23" s="136"/>
      <c r="I23" s="136"/>
    </row>
    <row r="24" spans="2:9" ht="35.25" customHeight="1" x14ac:dyDescent="0.3">
      <c r="B24" s="140" t="s">
        <v>68</v>
      </c>
      <c r="C24" s="136"/>
      <c r="D24" s="136"/>
      <c r="E24" s="136"/>
      <c r="F24" s="136"/>
      <c r="G24" s="136"/>
      <c r="H24" s="136"/>
      <c r="I24" s="136"/>
    </row>
    <row r="25" spans="2:9" ht="72" customHeight="1" thickBot="1" x14ac:dyDescent="0.35">
      <c r="B25" s="139" t="s">
        <v>58</v>
      </c>
      <c r="C25" s="136"/>
      <c r="D25" s="136"/>
      <c r="E25" s="136"/>
      <c r="F25" s="136"/>
      <c r="G25" s="136"/>
      <c r="H25" s="136"/>
      <c r="I25" s="136"/>
    </row>
    <row r="26" spans="2:9" ht="26.25" customHeight="1" x14ac:dyDescent="0.3">
      <c r="B26" s="142"/>
      <c r="C26" s="136"/>
      <c r="D26" s="136"/>
      <c r="E26" s="136"/>
      <c r="F26" s="136"/>
      <c r="G26" s="136"/>
      <c r="H26" s="136"/>
      <c r="I26" s="136"/>
    </row>
    <row r="27" spans="2:9" ht="21" x14ac:dyDescent="0.4">
      <c r="B27" s="151" t="s">
        <v>60</v>
      </c>
      <c r="C27" s="141"/>
      <c r="D27" s="141"/>
      <c r="E27" s="141"/>
    </row>
    <row r="28" spans="2:9" ht="61.5" customHeight="1" x14ac:dyDescent="0.3">
      <c r="B28" s="145" t="s">
        <v>59</v>
      </c>
      <c r="C28" s="143"/>
      <c r="D28" s="143"/>
      <c r="E28" s="143"/>
      <c r="F28" s="143"/>
      <c r="G28" s="143"/>
      <c r="H28" s="143"/>
      <c r="I28" s="143"/>
    </row>
    <row r="29" spans="2:9" ht="28.5" customHeight="1" x14ac:dyDescent="0.3">
      <c r="B29" s="300"/>
      <c r="C29" s="300"/>
      <c r="D29" s="300"/>
      <c r="E29" s="300"/>
      <c r="F29" s="300"/>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2021-04-12T20:36:19Z</dcterms:modified>
</cp:coreProperties>
</file>