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A5541A46-9312-6349-811E-68CE92469841}" xr6:coauthVersionLast="46" xr6:coauthVersionMax="46" xr10:uidLastSave="{00000000-0000-0000-0000-000000000000}"/>
  <bookViews>
    <workbookView xWindow="0" yWindow="500" windowWidth="29040" windowHeight="1584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J10" i="1" l="1"/>
  <c r="J11" i="1"/>
  <c r="E14" i="2" l="1"/>
  <c r="F14" i="2"/>
  <c r="G14" i="2"/>
  <c r="H14" i="2"/>
  <c r="I14" i="2"/>
  <c r="D14" i="2"/>
  <c r="C14" i="2"/>
  <c r="G16" i="1" l="1"/>
  <c r="J11" i="2" l="1"/>
  <c r="H11" i="5" l="1"/>
  <c r="I10" i="5"/>
  <c r="I11" i="5"/>
  <c r="I13" i="5" s="1"/>
  <c r="I16" i="5"/>
  <c r="I18" i="3"/>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<sst xmlns="http://schemas.openxmlformats.org/spreadsheetml/2006/main" count="89" uniqueCount="83">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</sst>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6">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2">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22"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12"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42"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1485.3333333333333</c:v>
                </c:pt>
                <c:pt idx="1">
                  <c:v>1557.2805454545453</c:v>
                </c:pt>
                <c:pt idx="2">
                  <c:v>1801.15903</c:v>
                </c:pt>
                <c:pt idx="3">
                  <c:v>2099.1299794444444</c:v>
                </c:pt>
                <c:pt idx="4">
                  <c:v>2478.0347882187502</c:v>
                </c:pt>
                <c:pt idx="5">
                  <c:v>2768.0656294716669</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110067</xdr:colOff>
      <xdr:row>1</xdr:row>
      <xdr:rowOff>42334</xdr:rowOff>
    </xdr:from>
    <xdr:to>
      <xdr:col>9</xdr:col>
      <xdr:colOff>223096</xdr:colOff>
      <xdr:row>6</xdr:row>
      <xdr:rowOff>97418</xdr:rowOff>
    </xdr:to>
    <xdr:pic>
      <xdr:nvPicPr>
        <xdr:cNvPr id="4" name="Imagen 3" descr="Resultado de imagen de autozone png logo">
          <a:extLst>
            <a:ext uri="{FF2B5EF4-FFF2-40B4-BE49-F238E27FC236}">
              <a16:creationId xmlns:a16="http://schemas.microsoft.com/office/drawing/2014/main" id="{041420FC-CF10-426F-90E5-86EBF26EDB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56867" y="245534"/>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563880</xdr:colOff>
      <xdr:row>2</xdr:row>
      <xdr:rowOff>7620</xdr:rowOff>
    </xdr:from>
    <xdr:to>
      <xdr:col>9</xdr:col>
      <xdr:colOff>41909</xdr:colOff>
      <xdr:row>6</xdr:row>
      <xdr:rowOff>460637</xdr:rowOff>
    </xdr:to>
    <xdr:pic>
      <xdr:nvPicPr>
        <xdr:cNvPr id="4" name="Imagen 3" descr="Resultado de imagen de autozone png logo">
          <a:extLst>
            <a:ext uri="{FF2B5EF4-FFF2-40B4-BE49-F238E27FC236}">
              <a16:creationId xmlns:a16="http://schemas.microsoft.com/office/drawing/2014/main" id="{40B50FC5-D86B-46D0-BF9D-AA38E38D7C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40386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487680</xdr:colOff>
      <xdr:row>2</xdr:row>
      <xdr:rowOff>7620</xdr:rowOff>
    </xdr:from>
    <xdr:to>
      <xdr:col>9</xdr:col>
      <xdr:colOff>361949</xdr:colOff>
      <xdr:row>6</xdr:row>
      <xdr:rowOff>460637</xdr:rowOff>
    </xdr:to>
    <xdr:pic>
      <xdr:nvPicPr>
        <xdr:cNvPr id="4" name="Imagen 3" descr="Resultado de imagen de autozone png logo">
          <a:extLst>
            <a:ext uri="{FF2B5EF4-FFF2-40B4-BE49-F238E27FC236}">
              <a16:creationId xmlns:a16="http://schemas.microsoft.com/office/drawing/2014/main" id="{25ACDD16-C776-474E-9574-E7D09BD7FE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30240" y="38862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365760</xdr:colOff>
      <xdr:row>1</xdr:row>
      <xdr:rowOff>114300</xdr:rowOff>
    </xdr:from>
    <xdr:to>
      <xdr:col>9</xdr:col>
      <xdr:colOff>491489</xdr:colOff>
      <xdr:row>6</xdr:row>
      <xdr:rowOff>376817</xdr:rowOff>
    </xdr:to>
    <xdr:pic>
      <xdr:nvPicPr>
        <xdr:cNvPr id="5" name="Imagen 4" descr="Resultado de imagen de autozone png logo">
          <a:extLst>
            <a:ext uri="{FF2B5EF4-FFF2-40B4-BE49-F238E27FC236}">
              <a16:creationId xmlns:a16="http://schemas.microsoft.com/office/drawing/2014/main" id="{990761C5-750A-417A-A408-77AB706B25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5480" y="30480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B1" zoomScale="110" zoomScaleNormal="110" workbookViewId="0">
      <selection activeCell="P17" sqref="P17"/>
    </sheetView>
  </sheetViews>
  <sheetFormatPr baseColWidth="10" defaultColWidth="11.5" defaultRowHeight="16" outlineLevelRow="1" x14ac:dyDescent="0.2"/>
  <cols>
    <col min="1" max="1" width="3.33203125" style="42" customWidth="1"/>
    <col min="2" max="2" width="42.33203125" style="31" customWidth="1"/>
    <col min="3" max="14" width="11" style="73" customWidth="1"/>
    <col min="15" max="15" width="14.5" style="42" customWidth="1"/>
    <col min="16" max="16384" width="11.5" style="42"/>
  </cols>
  <sheetData>
    <row r="1" spans="2:19" ht="17" thickBot="1" x14ac:dyDescent="0.25"/>
    <row r="2" spans="2:19" ht="30" customHeight="1" x14ac:dyDescent="0.2">
      <c r="B2" s="267"/>
      <c r="C2" s="270"/>
      <c r="D2" s="271"/>
      <c r="E2" s="271"/>
      <c r="F2" s="271"/>
      <c r="G2" s="271"/>
      <c r="H2" s="271"/>
      <c r="I2" s="271"/>
      <c r="J2" s="271"/>
      <c r="K2" s="271"/>
      <c r="L2" s="271"/>
      <c r="M2" s="271"/>
      <c r="N2" s="272"/>
      <c r="O2" s="24"/>
      <c r="P2" s="24"/>
      <c r="Q2" s="14"/>
      <c r="R2" s="14"/>
    </row>
    <row r="3" spans="2:19" ht="16" customHeight="1" x14ac:dyDescent="0.2">
      <c r="B3" s="268"/>
      <c r="C3" s="273"/>
      <c r="D3" s="274"/>
      <c r="E3" s="274"/>
      <c r="F3" s="274"/>
      <c r="G3" s="274"/>
      <c r="H3" s="274"/>
      <c r="I3" s="274"/>
      <c r="J3" s="274"/>
      <c r="K3" s="274"/>
      <c r="L3" s="274"/>
      <c r="M3" s="274"/>
      <c r="N3" s="275"/>
      <c r="O3" s="24"/>
      <c r="P3" s="24"/>
      <c r="Q3" s="14"/>
      <c r="R3" s="14"/>
    </row>
    <row r="4" spans="2:19" ht="16" customHeight="1" x14ac:dyDescent="0.2">
      <c r="B4" s="268"/>
      <c r="C4" s="273"/>
      <c r="D4" s="274"/>
      <c r="E4" s="274"/>
      <c r="F4" s="274"/>
      <c r="G4" s="274"/>
      <c r="H4" s="274"/>
      <c r="I4" s="274"/>
      <c r="J4" s="274"/>
      <c r="K4" s="274"/>
      <c r="L4" s="274"/>
      <c r="M4" s="274"/>
      <c r="N4" s="275"/>
      <c r="O4" s="24"/>
      <c r="P4" s="24"/>
      <c r="Q4" s="14"/>
      <c r="R4" s="14"/>
    </row>
    <row r="5" spans="2:19" ht="16" customHeight="1" x14ac:dyDescent="0.2">
      <c r="B5" s="268"/>
      <c r="C5" s="273"/>
      <c r="D5" s="274"/>
      <c r="E5" s="274"/>
      <c r="F5" s="274"/>
      <c r="G5" s="274"/>
      <c r="H5" s="274"/>
      <c r="I5" s="274"/>
      <c r="J5" s="274"/>
      <c r="K5" s="274"/>
      <c r="L5" s="274"/>
      <c r="M5" s="274"/>
      <c r="N5" s="275"/>
      <c r="O5" s="24"/>
      <c r="P5" s="24"/>
      <c r="Q5" s="14"/>
      <c r="R5" s="14"/>
    </row>
    <row r="6" spans="2:19" ht="16" customHeight="1" x14ac:dyDescent="0.2">
      <c r="B6" s="268"/>
      <c r="C6" s="273"/>
      <c r="D6" s="274"/>
      <c r="E6" s="274"/>
      <c r="F6" s="274"/>
      <c r="G6" s="274"/>
      <c r="H6" s="274"/>
      <c r="I6" s="274"/>
      <c r="J6" s="274"/>
      <c r="K6" s="274"/>
      <c r="L6" s="274"/>
      <c r="M6" s="274"/>
      <c r="N6" s="275"/>
      <c r="O6" s="24"/>
      <c r="P6" s="24"/>
      <c r="Q6" s="14"/>
    </row>
    <row r="7" spans="2:19" ht="16" customHeight="1" thickBot="1" x14ac:dyDescent="0.25">
      <c r="B7" s="268"/>
      <c r="C7" s="276"/>
      <c r="D7" s="277"/>
      <c r="E7" s="277"/>
      <c r="F7" s="277"/>
      <c r="G7" s="277"/>
      <c r="H7" s="277"/>
      <c r="I7" s="277"/>
      <c r="J7" s="277"/>
      <c r="K7" s="277"/>
      <c r="L7" s="277"/>
      <c r="M7" s="277"/>
      <c r="N7" s="278"/>
      <c r="O7" s="24"/>
      <c r="P7" s="24"/>
      <c r="Q7" s="14"/>
    </row>
    <row r="8" spans="2:19" ht="16" customHeight="1" thickBot="1" x14ac:dyDescent="0.25">
      <c r="B8" s="269"/>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80"/>
      <c r="J9" s="75"/>
      <c r="K9" s="75"/>
      <c r="L9" s="75"/>
      <c r="M9" s="76"/>
      <c r="N9" s="77"/>
      <c r="O9" s="14"/>
      <c r="P9" s="14"/>
      <c r="Q9" s="14"/>
    </row>
    <row r="10" spans="2:19" ht="16" customHeight="1" thickBot="1" x14ac:dyDescent="0.25">
      <c r="B10" s="64" t="s">
        <v>15</v>
      </c>
      <c r="C10" s="243">
        <v>9475</v>
      </c>
      <c r="D10" s="243">
        <v>10187</v>
      </c>
      <c r="E10" s="243">
        <v>10635</v>
      </c>
      <c r="F10" s="243">
        <v>10888</v>
      </c>
      <c r="G10" s="243">
        <v>11221</v>
      </c>
      <c r="H10" s="248">
        <v>11863</v>
      </c>
      <c r="I10" s="181">
        <v>12632</v>
      </c>
      <c r="J10" s="78">
        <f t="shared" ref="J10:N10" si="0">(I10*$P$11)+I10</f>
        <v>13263.6</v>
      </c>
      <c r="K10" s="78">
        <f t="shared" si="0"/>
        <v>13926.78</v>
      </c>
      <c r="L10" s="78">
        <f t="shared" si="0"/>
        <v>14623.119000000001</v>
      </c>
      <c r="M10" s="78">
        <f t="shared" si="0"/>
        <v>15354.274950000001</v>
      </c>
      <c r="N10" s="79">
        <f t="shared" si="0"/>
        <v>16121.988697500001</v>
      </c>
      <c r="O10" s="14"/>
      <c r="P10" s="14"/>
      <c r="Q10" s="14"/>
    </row>
    <row r="11" spans="2:19" ht="15.75" customHeight="1" thickBot="1" x14ac:dyDescent="0.25">
      <c r="B11" s="210" t="s">
        <v>35</v>
      </c>
      <c r="C11" s="81" t="e">
        <f>(C10-#REF!)/#REF!</f>
        <v>#REF!</v>
      </c>
      <c r="D11" s="81">
        <f t="shared" ref="D11" si="1">(D10-C10)/C10</f>
        <v>7.5145118733509236E-2</v>
      </c>
      <c r="E11" s="81">
        <f t="shared" ref="E11" si="2">(E10-D10)/D10</f>
        <v>4.3977618533424953E-2</v>
      </c>
      <c r="F11" s="81">
        <f t="shared" ref="F11" si="3">(F10-E10)/E10</f>
        <v>2.3789374706158908E-2</v>
      </c>
      <c r="G11" s="81">
        <f t="shared" ref="G11" si="4">(G10-F10)/F10</f>
        <v>3.0584129316678914E-2</v>
      </c>
      <c r="H11" s="81">
        <f t="shared" ref="H11:I11" si="5">(H10-G10)/G10</f>
        <v>5.7214152036360398E-2</v>
      </c>
      <c r="I11" s="81">
        <f t="shared" si="5"/>
        <v>6.482340048891512E-2</v>
      </c>
      <c r="J11" s="190">
        <f t="shared" ref="J11:N11" si="6">$P$11</f>
        <v>0.05</v>
      </c>
      <c r="K11" s="81">
        <f t="shared" si="6"/>
        <v>0.05</v>
      </c>
      <c r="L11" s="81">
        <f t="shared" si="6"/>
        <v>0.05</v>
      </c>
      <c r="M11" s="81">
        <f t="shared" si="6"/>
        <v>0.05</v>
      </c>
      <c r="N11" s="82">
        <f t="shared" si="6"/>
        <v>0.05</v>
      </c>
      <c r="O11" s="43" t="s">
        <v>33</v>
      </c>
      <c r="P11" s="10">
        <v>0.05</v>
      </c>
      <c r="Q11" s="14"/>
      <c r="S11"/>
    </row>
    <row r="12" spans="2:19" ht="16" customHeight="1" x14ac:dyDescent="0.2">
      <c r="B12" s="212" t="s">
        <v>6</v>
      </c>
      <c r="C12" s="85">
        <f t="shared" ref="C12:I12" si="7">C15+C14</f>
        <v>2081</v>
      </c>
      <c r="D12" s="85">
        <f t="shared" si="7"/>
        <v>2222</v>
      </c>
      <c r="E12" s="85">
        <f t="shared" si="7"/>
        <v>2357</v>
      </c>
      <c r="F12" s="85">
        <f t="shared" si="7"/>
        <v>2403</v>
      </c>
      <c r="G12" s="85">
        <f t="shared" si="7"/>
        <v>2155</v>
      </c>
      <c r="H12" s="206">
        <f t="shared" si="7"/>
        <v>2585</v>
      </c>
      <c r="I12" s="206">
        <f t="shared" si="7"/>
        <v>2815</v>
      </c>
      <c r="J12" s="253">
        <f t="shared" ref="J12:N12" si="8">J15+J14</f>
        <v>2804.2979999999998</v>
      </c>
      <c r="K12" s="85">
        <f t="shared" si="8"/>
        <v>2944.5129000000002</v>
      </c>
      <c r="L12" s="85">
        <f t="shared" si="8"/>
        <v>3091.7385450000002</v>
      </c>
      <c r="M12" s="85">
        <f t="shared" si="8"/>
        <v>3246.3254722500001</v>
      </c>
      <c r="N12" s="86">
        <f t="shared" si="8"/>
        <v>3408.6417458625001</v>
      </c>
      <c r="O12" s="14"/>
      <c r="P12" s="18"/>
      <c r="Q12" s="14"/>
    </row>
    <row r="13" spans="2:19" ht="16" customHeight="1" x14ac:dyDescent="0.2">
      <c r="B13" s="210" t="s">
        <v>16</v>
      </c>
      <c r="C13" s="81">
        <f>(C12/C10)</f>
        <v>0.21963060686015831</v>
      </c>
      <c r="D13" s="81">
        <f>(D12/D10)</f>
        <v>0.21812113477962108</v>
      </c>
      <c r="E13" s="81">
        <f>(E12/E10)</f>
        <v>0.22162670427832629</v>
      </c>
      <c r="F13" s="81">
        <f>(F12/F10)</f>
        <v>0.22070168993387215</v>
      </c>
      <c r="G13" s="81">
        <f>(G12/G10)</f>
        <v>0.1920506193743873</v>
      </c>
      <c r="H13" s="81">
        <f t="shared" ref="H13:I13" si="9">(H12/H10)</f>
        <v>0.21790440866559893</v>
      </c>
      <c r="I13" s="82">
        <f t="shared" si="9"/>
        <v>0.22284673844205194</v>
      </c>
      <c r="J13" s="190">
        <f>J12/J10</f>
        <v>0.2114281190626979</v>
      </c>
      <c r="K13" s="81">
        <f>K12/K10</f>
        <v>0.2114281190626979</v>
      </c>
      <c r="L13" s="81">
        <f>L12/L10</f>
        <v>0.2114281190626979</v>
      </c>
      <c r="M13" s="81">
        <f>M12/M10</f>
        <v>0.2114281190626979</v>
      </c>
      <c r="N13" s="82">
        <f>N12/N10</f>
        <v>0.2114281190626979</v>
      </c>
      <c r="O13" s="14"/>
      <c r="P13" s="14"/>
      <c r="Q13" s="14"/>
    </row>
    <row r="14" spans="2:19" ht="16" customHeight="1" thickBot="1" x14ac:dyDescent="0.25">
      <c r="B14" s="209" t="s">
        <v>0</v>
      </c>
      <c r="C14" s="243">
        <v>251</v>
      </c>
      <c r="D14" s="243">
        <v>269</v>
      </c>
      <c r="E14" s="243">
        <v>297</v>
      </c>
      <c r="F14" s="243">
        <v>323</v>
      </c>
      <c r="G14" s="243">
        <v>345</v>
      </c>
      <c r="H14" s="249">
        <v>369</v>
      </c>
      <c r="I14" s="237">
        <v>397</v>
      </c>
      <c r="J14" s="235">
        <f>(I14*$P$11)+I14</f>
        <v>416.85</v>
      </c>
      <c r="K14" s="233">
        <f t="shared" ref="K14:N14" si="10">(J14*$P$11)+J14</f>
        <v>437.6925</v>
      </c>
      <c r="L14" s="235">
        <f t="shared" si="10"/>
        <v>459.57712500000002</v>
      </c>
      <c r="M14" s="215">
        <f t="shared" si="10"/>
        <v>482.55598125</v>
      </c>
      <c r="N14" s="235">
        <f t="shared" si="10"/>
        <v>506.68378031250001</v>
      </c>
      <c r="O14" s="216"/>
      <c r="P14" s="14"/>
      <c r="Q14" s="14"/>
    </row>
    <row r="15" spans="2:19" ht="16" customHeight="1" outlineLevel="1" thickBot="1" x14ac:dyDescent="0.25">
      <c r="B15" s="64" t="s">
        <v>7</v>
      </c>
      <c r="C15" s="150">
        <v>1830</v>
      </c>
      <c r="D15" s="150">
        <v>1953</v>
      </c>
      <c r="E15" s="150">
        <v>2060</v>
      </c>
      <c r="F15" s="150">
        <v>2080</v>
      </c>
      <c r="G15" s="150">
        <v>1810</v>
      </c>
      <c r="H15" s="150">
        <v>2216</v>
      </c>
      <c r="I15" s="182">
        <v>2418</v>
      </c>
      <c r="J15" s="78">
        <f>J10*$P$16</f>
        <v>2387.4479999999999</v>
      </c>
      <c r="K15" s="78">
        <f>K10*$P$16</f>
        <v>2506.8204000000001</v>
      </c>
      <c r="L15" s="78">
        <f>L10*$P$16</f>
        <v>2632.1614199999999</v>
      </c>
      <c r="M15" s="78">
        <f>M10*$P$16</f>
        <v>2763.769491</v>
      </c>
      <c r="N15" s="79">
        <f>N10*$P$16</f>
        <v>2901.9579655500002</v>
      </c>
      <c r="O15" s="14"/>
      <c r="P15" s="14"/>
      <c r="Q15" s="14"/>
    </row>
    <row r="16" spans="2:19" ht="16" customHeight="1" outlineLevel="1" thickBot="1" x14ac:dyDescent="0.25">
      <c r="B16" s="210" t="s">
        <v>17</v>
      </c>
      <c r="C16" s="239">
        <f t="shared" ref="C16:I16" si="11">(C15/C10)</f>
        <v>0.19313984168865436</v>
      </c>
      <c r="D16" s="239">
        <f t="shared" si="11"/>
        <v>0.19171493079414942</v>
      </c>
      <c r="E16" s="239">
        <f t="shared" si="11"/>
        <v>0.19370004701457452</v>
      </c>
      <c r="F16" s="239">
        <f t="shared" si="11"/>
        <v>0.19103600293901543</v>
      </c>
      <c r="G16" s="239">
        <f>(G15/G10)</f>
        <v>0.16130469655110952</v>
      </c>
      <c r="H16" s="239">
        <f t="shared" si="11"/>
        <v>0.18679929191604147</v>
      </c>
      <c r="I16" s="240">
        <f t="shared" si="11"/>
        <v>0.19141861937935403</v>
      </c>
      <c r="J16" s="241">
        <f t="shared" ref="J16:N16" si="12">(J15/J10)</f>
        <v>0.18</v>
      </c>
      <c r="K16" s="241">
        <f t="shared" si="12"/>
        <v>0.18</v>
      </c>
      <c r="L16" s="241">
        <f t="shared" si="12"/>
        <v>0.18</v>
      </c>
      <c r="M16" s="241">
        <f t="shared" si="12"/>
        <v>0.18</v>
      </c>
      <c r="N16" s="242">
        <f t="shared" si="12"/>
        <v>0.18</v>
      </c>
      <c r="O16" s="43" t="s">
        <v>32</v>
      </c>
      <c r="P16" s="17">
        <v>0.18</v>
      </c>
      <c r="Q16" s="14"/>
    </row>
    <row r="17" spans="2:17" ht="16" customHeight="1" outlineLevel="1" x14ac:dyDescent="0.2">
      <c r="B17" s="279" t="s">
        <v>55</v>
      </c>
      <c r="C17" s="244">
        <v>168</v>
      </c>
      <c r="D17" s="244">
        <v>150</v>
      </c>
      <c r="E17" s="244">
        <v>147</v>
      </c>
      <c r="F17" s="244">
        <v>155</v>
      </c>
      <c r="G17" s="244">
        <v>175</v>
      </c>
      <c r="H17" s="250">
        <v>185</v>
      </c>
      <c r="I17" s="192">
        <v>201</v>
      </c>
      <c r="J17" s="138">
        <f>(I17*$P$11)+I17</f>
        <v>211.05</v>
      </c>
      <c r="K17" s="138">
        <f t="shared" ref="K17:N17" si="13">(J17*$P$11)+J17</f>
        <v>221.60250000000002</v>
      </c>
      <c r="L17" s="138">
        <f t="shared" si="13"/>
        <v>232.68262500000003</v>
      </c>
      <c r="M17" s="138">
        <f t="shared" si="13"/>
        <v>244.31675625000003</v>
      </c>
      <c r="N17" s="139">
        <f t="shared" si="13"/>
        <v>256.53259406250004</v>
      </c>
      <c r="O17" s="14"/>
      <c r="P17" s="14"/>
      <c r="Q17" s="14"/>
    </row>
    <row r="18" spans="2:17" ht="16" customHeight="1" outlineLevel="1" thickBot="1" x14ac:dyDescent="0.25">
      <c r="B18" s="280"/>
      <c r="C18" s="183"/>
      <c r="D18" s="183"/>
      <c r="E18" s="183"/>
      <c r="F18" s="183"/>
      <c r="G18" s="191"/>
      <c r="H18" s="191"/>
      <c r="I18" s="184"/>
      <c r="J18" s="84"/>
      <c r="K18" s="84"/>
      <c r="L18" s="84"/>
      <c r="M18" s="84"/>
      <c r="N18" s="90"/>
      <c r="O18" s="14"/>
      <c r="P18" s="14"/>
      <c r="Q18" s="14"/>
    </row>
    <row r="19" spans="2:17" ht="16" customHeight="1" thickBot="1" x14ac:dyDescent="0.25">
      <c r="B19" s="208" t="s">
        <v>1</v>
      </c>
      <c r="C19" s="178">
        <f t="shared" ref="C19:I19" si="14">C15-C17</f>
        <v>1662</v>
      </c>
      <c r="D19" s="178">
        <f t="shared" si="14"/>
        <v>1803</v>
      </c>
      <c r="E19" s="178">
        <f t="shared" si="14"/>
        <v>1913</v>
      </c>
      <c r="F19" s="178">
        <f t="shared" si="14"/>
        <v>1925</v>
      </c>
      <c r="G19" s="178">
        <f t="shared" si="14"/>
        <v>1635</v>
      </c>
      <c r="H19" s="178">
        <f t="shared" si="14"/>
        <v>2031</v>
      </c>
      <c r="I19" s="179">
        <f t="shared" si="14"/>
        <v>2217</v>
      </c>
      <c r="J19" s="91">
        <f t="shared" ref="J19:N19" si="15">J15-J17-J18</f>
        <v>2176.3979999999997</v>
      </c>
      <c r="K19" s="91">
        <f t="shared" si="15"/>
        <v>2285.2179000000001</v>
      </c>
      <c r="L19" s="91">
        <f t="shared" si="15"/>
        <v>2399.478795</v>
      </c>
      <c r="M19" s="91">
        <f t="shared" si="15"/>
        <v>2519.4527347499998</v>
      </c>
      <c r="N19" s="92">
        <f t="shared" si="15"/>
        <v>2645.4253714875003</v>
      </c>
      <c r="O19" s="14"/>
      <c r="P19" s="14"/>
      <c r="Q19" s="14"/>
    </row>
    <row r="20" spans="2:17" ht="16" customHeight="1" collapsed="1" thickBot="1" x14ac:dyDescent="0.25">
      <c r="B20" s="209" t="s">
        <v>2</v>
      </c>
      <c r="C20" s="244">
        <v>592</v>
      </c>
      <c r="D20" s="244">
        <v>642</v>
      </c>
      <c r="E20" s="244">
        <v>671</v>
      </c>
      <c r="F20" s="244">
        <v>644</v>
      </c>
      <c r="G20" s="244">
        <v>298</v>
      </c>
      <c r="H20" s="251">
        <v>414</v>
      </c>
      <c r="I20" s="193">
        <v>483</v>
      </c>
      <c r="J20" s="88">
        <f>J19*J21</f>
        <v>457.04357999999991</v>
      </c>
      <c r="K20" s="88">
        <f t="shared" ref="K20:N20" si="16">K19*K21</f>
        <v>479.895759</v>
      </c>
      <c r="L20" s="88">
        <f t="shared" si="16"/>
        <v>503.89054694999999</v>
      </c>
      <c r="M20" s="88">
        <f t="shared" si="16"/>
        <v>529.08507429749989</v>
      </c>
      <c r="N20" s="89">
        <f t="shared" si="16"/>
        <v>555.53932801237499</v>
      </c>
      <c r="O20" s="14"/>
      <c r="P20" s="14"/>
      <c r="Q20" s="14"/>
    </row>
    <row r="21" spans="2:17" ht="16" customHeight="1" thickBot="1" x14ac:dyDescent="0.25">
      <c r="B21" s="210" t="s">
        <v>10</v>
      </c>
      <c r="C21" s="188">
        <f>(C20/C19)</f>
        <v>0.35619735258724428</v>
      </c>
      <c r="D21" s="188">
        <f>(D20/D19)</f>
        <v>0.35607321131447589</v>
      </c>
      <c r="E21" s="188">
        <f>(E20/E19)</f>
        <v>0.35075797177208573</v>
      </c>
      <c r="F21" s="188">
        <f>(F20/F19)</f>
        <v>0.33454545454545453</v>
      </c>
      <c r="G21" s="188">
        <f>(G20/G19)</f>
        <v>0.18226299694189602</v>
      </c>
      <c r="H21" s="188">
        <f t="shared" ref="H21:I21" si="17">(H20/H19)</f>
        <v>0.20384047267355981</v>
      </c>
      <c r="I21" s="189">
        <f t="shared" si="17"/>
        <v>0.2178619756427605</v>
      </c>
      <c r="J21" s="80">
        <f>$P$21</f>
        <v>0.21</v>
      </c>
      <c r="K21" s="80">
        <f t="shared" ref="K21:N21" si="18">$P$21</f>
        <v>0.21</v>
      </c>
      <c r="L21" s="80">
        <f t="shared" si="18"/>
        <v>0.21</v>
      </c>
      <c r="M21" s="80">
        <f t="shared" si="18"/>
        <v>0.21</v>
      </c>
      <c r="N21" s="87">
        <f t="shared" si="18"/>
        <v>0.21</v>
      </c>
      <c r="O21" s="43" t="s">
        <v>34</v>
      </c>
      <c r="P21" s="11">
        <v>0.21</v>
      </c>
      <c r="Q21" s="14"/>
    </row>
    <row r="22" spans="2:17" ht="16" customHeight="1" thickBot="1" x14ac:dyDescent="0.25">
      <c r="B22" s="211" t="s">
        <v>3</v>
      </c>
      <c r="C22" s="187">
        <f>C19-C20</f>
        <v>1070</v>
      </c>
      <c r="D22" s="187">
        <f>D19-D20</f>
        <v>1161</v>
      </c>
      <c r="E22" s="187">
        <f>E19-E20</f>
        <v>1242</v>
      </c>
      <c r="F22" s="187">
        <f>F19-F20</f>
        <v>1281</v>
      </c>
      <c r="G22" s="187">
        <f>G19-G20</f>
        <v>1337</v>
      </c>
      <c r="H22" s="207">
        <f t="shared" ref="H22:I22" si="19">H19-H20</f>
        <v>1617</v>
      </c>
      <c r="I22" s="194">
        <f t="shared" si="19"/>
        <v>1734</v>
      </c>
      <c r="J22" s="93">
        <f t="shared" ref="J22:N22" si="20">J19-J20</f>
        <v>1719.3544199999997</v>
      </c>
      <c r="K22" s="93">
        <f t="shared" si="20"/>
        <v>1805.3221410000001</v>
      </c>
      <c r="L22" s="93">
        <f t="shared" si="20"/>
        <v>1895.5882480499999</v>
      </c>
      <c r="M22" s="93">
        <f t="shared" si="20"/>
        <v>1990.3676604524999</v>
      </c>
      <c r="N22" s="94">
        <f t="shared" si="20"/>
        <v>2089.8860434751255</v>
      </c>
      <c r="O22" s="14"/>
      <c r="P22" s="14"/>
      <c r="Q22" s="14"/>
    </row>
    <row r="23" spans="2:17" ht="16" customHeight="1" thickBot="1" x14ac:dyDescent="0.25">
      <c r="B23" s="209" t="s">
        <v>4</v>
      </c>
      <c r="C23" s="157">
        <v>0</v>
      </c>
      <c r="D23" s="157">
        <v>0</v>
      </c>
      <c r="E23" s="157">
        <v>0</v>
      </c>
      <c r="F23" s="157">
        <v>0</v>
      </c>
      <c r="G23" s="157">
        <v>0</v>
      </c>
      <c r="H23" s="157">
        <v>0</v>
      </c>
      <c r="I23" s="157">
        <v>0</v>
      </c>
      <c r="J23" s="236">
        <f>I23*(1+$P$11)</f>
        <v>0</v>
      </c>
      <c r="K23" s="83">
        <f t="shared" ref="K23:N23" si="21">J23*(1+$P$11)</f>
        <v>0</v>
      </c>
      <c r="L23" s="83">
        <f t="shared" si="21"/>
        <v>0</v>
      </c>
      <c r="M23" s="83">
        <f t="shared" si="21"/>
        <v>0</v>
      </c>
      <c r="N23" s="204">
        <f t="shared" si="21"/>
        <v>0</v>
      </c>
      <c r="O23" s="14"/>
      <c r="P23" s="14"/>
      <c r="Q23" s="14"/>
    </row>
    <row r="24" spans="2:17" ht="16" customHeight="1" x14ac:dyDescent="0.2">
      <c r="B24" s="212" t="s">
        <v>5</v>
      </c>
      <c r="C24" s="185">
        <f>C22-C23</f>
        <v>1070</v>
      </c>
      <c r="D24" s="185">
        <f>D22-D23</f>
        <v>1161</v>
      </c>
      <c r="E24" s="185">
        <f>E22-E23</f>
        <v>1242</v>
      </c>
      <c r="F24" s="185">
        <f>F22-F23</f>
        <v>1281</v>
      </c>
      <c r="G24" s="185">
        <f>G22-G23</f>
        <v>1337</v>
      </c>
      <c r="H24" s="185">
        <f t="shared" ref="H24:I24" si="22">H22-H23</f>
        <v>1617</v>
      </c>
      <c r="I24" s="186">
        <f t="shared" si="22"/>
        <v>1734</v>
      </c>
      <c r="J24" s="95">
        <f t="shared" ref="J24:N24" si="23">J22-J23</f>
        <v>1719.3544199999997</v>
      </c>
      <c r="K24" s="95">
        <f t="shared" si="23"/>
        <v>1805.3221410000001</v>
      </c>
      <c r="L24" s="95">
        <f t="shared" si="23"/>
        <v>1895.5882480499999</v>
      </c>
      <c r="M24" s="95">
        <f t="shared" si="23"/>
        <v>1990.3676604524999</v>
      </c>
      <c r="N24" s="96">
        <f t="shared" si="23"/>
        <v>2089.8860434751255</v>
      </c>
      <c r="O24" s="14"/>
      <c r="P24" s="14"/>
      <c r="Q24" s="14"/>
    </row>
    <row r="25" spans="2:17" ht="16" customHeight="1" x14ac:dyDescent="0.2">
      <c r="B25" s="210" t="s">
        <v>37</v>
      </c>
      <c r="C25" s="80">
        <f t="shared" ref="C25:I25" si="24">C24/C10</f>
        <v>0.11292875989445911</v>
      </c>
      <c r="D25" s="80">
        <f t="shared" si="24"/>
        <v>0.11396878374398743</v>
      </c>
      <c r="E25" s="80">
        <f t="shared" si="24"/>
        <v>0.11678420310296192</v>
      </c>
      <c r="F25" s="80">
        <f t="shared" si="24"/>
        <v>0.11765246142542249</v>
      </c>
      <c r="G25" s="80">
        <f t="shared" si="24"/>
        <v>0.11915159076731129</v>
      </c>
      <c r="H25" s="80">
        <f t="shared" si="24"/>
        <v>0.13630616201635337</v>
      </c>
      <c r="I25" s="87">
        <f t="shared" si="24"/>
        <v>0.13727042431918937</v>
      </c>
      <c r="J25" s="80">
        <f t="shared" ref="J25:N25" si="25">J24/J10</f>
        <v>0.12962954401519947</v>
      </c>
      <c r="K25" s="80">
        <f t="shared" si="25"/>
        <v>0.12962954401519949</v>
      </c>
      <c r="L25" s="80">
        <f t="shared" si="25"/>
        <v>0.12962954401519949</v>
      </c>
      <c r="M25" s="80">
        <f t="shared" si="25"/>
        <v>0.12962954401519947</v>
      </c>
      <c r="N25" s="87">
        <f t="shared" si="25"/>
        <v>0.12962954401519952</v>
      </c>
      <c r="O25" s="14"/>
      <c r="P25" s="14"/>
      <c r="Q25" s="14"/>
    </row>
    <row r="26" spans="2:17" ht="16" customHeight="1" x14ac:dyDescent="0.2">
      <c r="B26" s="64" t="s">
        <v>18</v>
      </c>
      <c r="C26" s="97">
        <f>C24/C27</f>
        <v>31.470588235294116</v>
      </c>
      <c r="D26" s="97">
        <f>D24/D27</f>
        <v>36.28125</v>
      </c>
      <c r="E26" s="97">
        <f>E24/E27</f>
        <v>40.85526315789474</v>
      </c>
      <c r="F26" s="97">
        <f>F24/F27</f>
        <v>44.172413793103445</v>
      </c>
      <c r="G26" s="97">
        <f>G24/G27</f>
        <v>49.518518518518519</v>
      </c>
      <c r="H26" s="97">
        <f t="shared" ref="H26:I26" si="26">H24/H27</f>
        <v>63.661417322834652</v>
      </c>
      <c r="I26" s="98">
        <f t="shared" si="26"/>
        <v>72.25</v>
      </c>
      <c r="J26" s="97">
        <f>J24/J27</f>
        <v>78.152473636363624</v>
      </c>
      <c r="K26" s="97">
        <f t="shared" ref="K26:N26" si="27">K24/K27</f>
        <v>90.266107050000002</v>
      </c>
      <c r="L26" s="97">
        <f>L24/L27</f>
        <v>105.31045822499999</v>
      </c>
      <c r="M26" s="97">
        <f t="shared" si="27"/>
        <v>124.39797877828124</v>
      </c>
      <c r="N26" s="98">
        <f t="shared" si="27"/>
        <v>139.32573623167502</v>
      </c>
      <c r="O26" s="14"/>
      <c r="P26" s="14"/>
      <c r="Q26" s="14"/>
    </row>
    <row r="27" spans="2:17" ht="16" customHeight="1" thickBot="1" x14ac:dyDescent="0.25">
      <c r="B27" s="70" t="s">
        <v>56</v>
      </c>
      <c r="C27" s="252">
        <v>34</v>
      </c>
      <c r="D27" s="245">
        <v>32</v>
      </c>
      <c r="E27" s="245">
        <v>30.4</v>
      </c>
      <c r="F27" s="245">
        <v>29</v>
      </c>
      <c r="G27" s="245">
        <v>27</v>
      </c>
      <c r="H27" s="245">
        <v>25.4</v>
      </c>
      <c r="I27" s="100">
        <v>24</v>
      </c>
      <c r="J27" s="99">
        <v>22</v>
      </c>
      <c r="K27" s="99">
        <v>20</v>
      </c>
      <c r="L27" s="99">
        <v>18</v>
      </c>
      <c r="M27" s="99">
        <v>16</v>
      </c>
      <c r="N27" s="99">
        <v>15</v>
      </c>
      <c r="O27" s="216"/>
      <c r="P27" s="14"/>
      <c r="Q27" s="14"/>
    </row>
    <row r="28" spans="2:17" ht="16" customHeight="1" x14ac:dyDescent="0.2">
      <c r="B28" s="71"/>
      <c r="C28" s="83"/>
      <c r="D28" s="83"/>
      <c r="E28" s="83"/>
      <c r="F28" s="83"/>
      <c r="G28" s="83"/>
      <c r="H28" s="83"/>
      <c r="I28" s="83"/>
      <c r="J28" s="83"/>
      <c r="K28" s="83"/>
      <c r="L28" s="84"/>
      <c r="M28" s="101"/>
      <c r="N28" s="101"/>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65"/>
      <c r="C31" s="265"/>
      <c r="D31" s="265"/>
      <c r="E31" s="265"/>
      <c r="F31" s="265"/>
      <c r="G31" s="265"/>
      <c r="H31" s="265"/>
      <c r="I31" s="265"/>
      <c r="J31" s="265"/>
      <c r="K31" s="265"/>
      <c r="L31" s="265"/>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66"/>
      <c r="C43" s="266"/>
      <c r="D43" s="266"/>
      <c r="E43" s="266"/>
      <c r="F43" s="266"/>
      <c r="G43" s="266"/>
      <c r="H43" s="266"/>
      <c r="I43" s="266"/>
      <c r="J43" s="266"/>
      <c r="K43" s="266"/>
      <c r="L43" s="266"/>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x14ac:dyDescent="0.2">
      <c r="B46" s="71"/>
      <c r="C46" s="83"/>
      <c r="D46" s="83"/>
      <c r="E46" s="83"/>
      <c r="F46" s="83"/>
      <c r="G46" s="83"/>
      <c r="H46" s="83"/>
      <c r="I46" s="83"/>
      <c r="J46" s="83"/>
      <c r="K46" s="83"/>
      <c r="L46" s="83"/>
      <c r="M46" s="101"/>
      <c r="N46" s="101"/>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C2" sqref="C2:N7"/>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7"/>
      <c r="C2" s="282"/>
      <c r="D2" s="283"/>
      <c r="E2" s="283"/>
      <c r="F2" s="283"/>
      <c r="G2" s="283"/>
      <c r="H2" s="283"/>
      <c r="I2" s="283"/>
      <c r="J2" s="283"/>
      <c r="K2" s="283"/>
      <c r="L2" s="283"/>
      <c r="M2" s="283"/>
      <c r="N2" s="284"/>
    </row>
    <row r="3" spans="2:15" ht="15" customHeight="1" x14ac:dyDescent="0.2">
      <c r="B3" s="268"/>
      <c r="C3" s="285"/>
      <c r="D3" s="286"/>
      <c r="E3" s="286"/>
      <c r="F3" s="286"/>
      <c r="G3" s="286"/>
      <c r="H3" s="286"/>
      <c r="I3" s="286"/>
      <c r="J3" s="286"/>
      <c r="K3" s="286"/>
      <c r="L3" s="286"/>
      <c r="M3" s="286"/>
      <c r="N3" s="287"/>
    </row>
    <row r="4" spans="2:15" ht="15" customHeight="1" x14ac:dyDescent="0.2">
      <c r="B4" s="268"/>
      <c r="C4" s="285"/>
      <c r="D4" s="286"/>
      <c r="E4" s="286"/>
      <c r="F4" s="286"/>
      <c r="G4" s="286"/>
      <c r="H4" s="286"/>
      <c r="I4" s="286"/>
      <c r="J4" s="286"/>
      <c r="K4" s="286"/>
      <c r="L4" s="286"/>
      <c r="M4" s="286"/>
      <c r="N4" s="287"/>
    </row>
    <row r="5" spans="2:15" ht="15" customHeight="1" x14ac:dyDescent="0.2">
      <c r="B5" s="268"/>
      <c r="C5" s="285"/>
      <c r="D5" s="286"/>
      <c r="E5" s="286"/>
      <c r="F5" s="286"/>
      <c r="G5" s="286"/>
      <c r="H5" s="286"/>
      <c r="I5" s="286"/>
      <c r="J5" s="286"/>
      <c r="K5" s="286"/>
      <c r="L5" s="286"/>
      <c r="M5" s="286"/>
      <c r="N5" s="287"/>
    </row>
    <row r="6" spans="2:15" ht="15" customHeight="1" x14ac:dyDescent="0.2">
      <c r="B6" s="268"/>
      <c r="C6" s="285"/>
      <c r="D6" s="286"/>
      <c r="E6" s="286"/>
      <c r="F6" s="286"/>
      <c r="G6" s="286"/>
      <c r="H6" s="286"/>
      <c r="I6" s="286"/>
      <c r="J6" s="286"/>
      <c r="K6" s="286"/>
      <c r="L6" s="286"/>
      <c r="M6" s="286"/>
      <c r="N6" s="287"/>
    </row>
    <row r="7" spans="2:15" ht="48.75" customHeight="1" thickBot="1" x14ac:dyDescent="0.25">
      <c r="B7" s="268"/>
      <c r="C7" s="285"/>
      <c r="D7" s="286"/>
      <c r="E7" s="286"/>
      <c r="F7" s="286"/>
      <c r="G7" s="286"/>
      <c r="H7" s="286"/>
      <c r="I7" s="286"/>
      <c r="J7" s="286"/>
      <c r="K7" s="286"/>
      <c r="L7" s="286"/>
      <c r="M7" s="286"/>
      <c r="N7" s="287"/>
    </row>
    <row r="8" spans="2:15" ht="18.75" customHeight="1" thickBot="1" x14ac:dyDescent="0.25">
      <c r="B8" s="281"/>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2081</v>
      </c>
      <c r="D10" s="140">
        <f>'1.Income statement'!D12</f>
        <v>2222</v>
      </c>
      <c r="E10" s="140">
        <f>'1.Income statement'!E12</f>
        <v>2357</v>
      </c>
      <c r="F10" s="140">
        <f>'1.Income statement'!F12</f>
        <v>2403</v>
      </c>
      <c r="G10" s="140">
        <f>'1.Income statement'!G12</f>
        <v>2155</v>
      </c>
      <c r="H10" s="140">
        <f>'1.Income statement'!H12</f>
        <v>2585</v>
      </c>
      <c r="I10" s="140">
        <f>'1.Income statement'!I12</f>
        <v>2815</v>
      </c>
      <c r="J10" s="141">
        <f>'1.Income statement'!J12</f>
        <v>2804.2979999999998</v>
      </c>
      <c r="K10" s="140">
        <f>'1.Income statement'!K12</f>
        <v>2944.5129000000002</v>
      </c>
      <c r="L10" s="140">
        <f>'1.Income statement'!L12</f>
        <v>3091.7385450000002</v>
      </c>
      <c r="M10" s="140">
        <f>'1.Income statement'!M12</f>
        <v>3246.3254722500001</v>
      </c>
      <c r="N10" s="142">
        <f>'1.Income statement'!N12</f>
        <v>3408.6417458625001</v>
      </c>
    </row>
    <row r="11" spans="2:15" x14ac:dyDescent="0.2">
      <c r="B11" s="196" t="s">
        <v>40</v>
      </c>
      <c r="C11" s="154">
        <v>438</v>
      </c>
      <c r="D11" s="154">
        <v>481</v>
      </c>
      <c r="E11" s="154">
        <v>489</v>
      </c>
      <c r="F11" s="154">
        <v>553</v>
      </c>
      <c r="G11" s="154">
        <v>522</v>
      </c>
      <c r="H11" s="154">
        <v>496</v>
      </c>
      <c r="I11" s="154">
        <v>458</v>
      </c>
      <c r="J11" s="143">
        <f>(I11*'1.Income statement'!$P$11)+'2.Flujos de caja'!I11</f>
        <v>480.9</v>
      </c>
      <c r="K11" s="144">
        <f>(J11*'1.Income statement'!$P$11)+'2.Flujos de caja'!J11</f>
        <v>504.94499999999999</v>
      </c>
      <c r="L11" s="144">
        <f>(K11*'1.Income statement'!$P$11)+'2.Flujos de caja'!K11</f>
        <v>530.19224999999994</v>
      </c>
      <c r="M11" s="144">
        <f>(L11*'1.Income statement'!$P$11)+'2.Flujos de caja'!L11</f>
        <v>556.70186249999995</v>
      </c>
      <c r="N11" s="145">
        <f>(M11*'1.Income statement'!$P$11)+'2.Flujos de caja'!M11</f>
        <v>584.53695562499991</v>
      </c>
    </row>
    <row r="12" spans="2:15" x14ac:dyDescent="0.2">
      <c r="B12" s="197" t="s">
        <v>39</v>
      </c>
      <c r="C12" s="146">
        <f>'1.Income statement'!C17</f>
        <v>168</v>
      </c>
      <c r="D12" s="146">
        <f>'1.Income statement'!D17</f>
        <v>150</v>
      </c>
      <c r="E12" s="146">
        <f>'1.Income statement'!E17</f>
        <v>147</v>
      </c>
      <c r="F12" s="146">
        <f>'1.Income statement'!F17</f>
        <v>155</v>
      </c>
      <c r="G12" s="146">
        <f>'1.Income statement'!G17</f>
        <v>175</v>
      </c>
      <c r="H12" s="146">
        <f>'1.Income statement'!H17</f>
        <v>185</v>
      </c>
      <c r="I12" s="146">
        <f>'1.Income statement'!I17</f>
        <v>201</v>
      </c>
      <c r="J12" s="147">
        <f>'1.Income statement'!J17</f>
        <v>211.05</v>
      </c>
      <c r="K12" s="146">
        <f>'1.Income statement'!K17</f>
        <v>221.60250000000002</v>
      </c>
      <c r="L12" s="146">
        <f>'1.Income statement'!L17</f>
        <v>232.68262500000003</v>
      </c>
      <c r="M12" s="146">
        <f>'1.Income statement'!M17</f>
        <v>244.31675625000003</v>
      </c>
      <c r="N12" s="148">
        <f>'1.Income statement'!N17</f>
        <v>256.53259406250004</v>
      </c>
    </row>
    <row r="13" spans="2:15" x14ac:dyDescent="0.2">
      <c r="B13" s="197" t="s">
        <v>41</v>
      </c>
      <c r="C13" s="146">
        <f>'1.Income statement'!C20</f>
        <v>592</v>
      </c>
      <c r="D13" s="146">
        <f>'1.Income statement'!D20</f>
        <v>642</v>
      </c>
      <c r="E13" s="146">
        <f>'1.Income statement'!E20</f>
        <v>671</v>
      </c>
      <c r="F13" s="146">
        <f>'1.Income statement'!F20</f>
        <v>644</v>
      </c>
      <c r="G13" s="146">
        <f>'1.Income statement'!G20</f>
        <v>298</v>
      </c>
      <c r="H13" s="146">
        <f>'1.Income statement'!H20</f>
        <v>414</v>
      </c>
      <c r="I13" s="146">
        <f>'1.Income statement'!I20</f>
        <v>483</v>
      </c>
      <c r="J13" s="147">
        <f>'1.Income statement'!J20</f>
        <v>457.04357999999991</v>
      </c>
      <c r="K13" s="146">
        <f>'1.Income statement'!K20</f>
        <v>479.895759</v>
      </c>
      <c r="L13" s="146">
        <f>'1.Income statement'!L20</f>
        <v>503.89054694999999</v>
      </c>
      <c r="M13" s="146">
        <f>'1.Income statement'!M20</f>
        <v>529.08507429749989</v>
      </c>
      <c r="N13" s="148">
        <f>'1.Income statement'!N20</f>
        <v>555.53932801237499</v>
      </c>
    </row>
    <row r="14" spans="2:15" x14ac:dyDescent="0.2">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2">
      <c r="B15" s="65" t="s">
        <v>8</v>
      </c>
      <c r="C15" s="149">
        <f t="shared" ref="C15:J15" si="0">C10-C11-C12-C13-C14</f>
        <v>883</v>
      </c>
      <c r="D15" s="149">
        <f t="shared" si="0"/>
        <v>949</v>
      </c>
      <c r="E15" s="149">
        <f t="shared" si="0"/>
        <v>1050</v>
      </c>
      <c r="F15" s="149">
        <f t="shared" si="0"/>
        <v>1051</v>
      </c>
      <c r="G15" s="149">
        <f t="shared" si="0"/>
        <v>1160</v>
      </c>
      <c r="H15" s="149">
        <f t="shared" si="0"/>
        <v>1490</v>
      </c>
      <c r="I15" s="149">
        <f t="shared" si="0"/>
        <v>1673</v>
      </c>
      <c r="J15" s="213">
        <f t="shared" si="0"/>
        <v>1655.3044199999995</v>
      </c>
      <c r="K15" s="149">
        <f t="shared" ref="K15:M15" si="1">K10-K11-K12-K13-K14</f>
        <v>1738.069641</v>
      </c>
      <c r="L15" s="149">
        <f t="shared" si="1"/>
        <v>1824.9731230500001</v>
      </c>
      <c r="M15" s="149">
        <f t="shared" si="1"/>
        <v>1916.2217792025003</v>
      </c>
      <c r="N15" s="149">
        <f>N10-N11-N12-N13-N14</f>
        <v>2012.0328681626256</v>
      </c>
      <c r="O15" s="227"/>
    </row>
    <row r="16" spans="2:15" ht="17" thickBot="1" x14ac:dyDescent="0.25">
      <c r="B16" s="66" t="s">
        <v>9</v>
      </c>
      <c r="C16" s="39">
        <f>C15/'1.Income statement'!C27</f>
        <v>25.970588235294116</v>
      </c>
      <c r="D16" s="39">
        <f>D15/'1.Income statement'!D27</f>
        <v>29.65625</v>
      </c>
      <c r="E16" s="39">
        <f>E15/'1.Income statement'!E27</f>
        <v>34.539473684210527</v>
      </c>
      <c r="F16" s="39">
        <f>F15/'1.Income statement'!F27</f>
        <v>36.241379310344826</v>
      </c>
      <c r="G16" s="39">
        <f>G15/'1.Income statement'!G27</f>
        <v>42.962962962962962</v>
      </c>
      <c r="H16" s="39">
        <f>H15/'1.Income statement'!H27</f>
        <v>58.661417322834652</v>
      </c>
      <c r="I16" s="39">
        <f>I15/'1.Income statement'!I27</f>
        <v>69.708333333333329</v>
      </c>
      <c r="J16" s="40">
        <f>J15/'1.Income statement'!J27</f>
        <v>75.241109999999978</v>
      </c>
      <c r="K16" s="39">
        <f>K15/'1.Income statement'!K27</f>
        <v>86.903482050000008</v>
      </c>
      <c r="L16" s="39">
        <f>L15/'1.Income statement'!L27</f>
        <v>101.387395725</v>
      </c>
      <c r="M16" s="39">
        <f>M15/'1.Income statement'!M27</f>
        <v>119.76386120015627</v>
      </c>
      <c r="N16" s="41">
        <f>N15/'1.Income statement'!N27</f>
        <v>134.13552454417504</v>
      </c>
      <c r="O16" s="217"/>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4"/>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3" workbookViewId="0">
      <selection activeCell="C2" sqref="C2:N7"/>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88"/>
      <c r="C2" s="282"/>
      <c r="D2" s="283"/>
      <c r="E2" s="283"/>
      <c r="F2" s="283"/>
      <c r="G2" s="283"/>
      <c r="H2" s="283"/>
      <c r="I2" s="283"/>
      <c r="J2" s="283"/>
      <c r="K2" s="283"/>
      <c r="L2" s="283"/>
      <c r="M2" s="283"/>
      <c r="N2" s="284"/>
    </row>
    <row r="3" spans="2:16" ht="15" customHeight="1" x14ac:dyDescent="0.2">
      <c r="B3" s="289"/>
      <c r="C3" s="285"/>
      <c r="D3" s="286"/>
      <c r="E3" s="286"/>
      <c r="F3" s="286"/>
      <c r="G3" s="286"/>
      <c r="H3" s="286"/>
      <c r="I3" s="286"/>
      <c r="J3" s="286"/>
      <c r="K3" s="286"/>
      <c r="L3" s="286"/>
      <c r="M3" s="286"/>
      <c r="N3" s="287"/>
    </row>
    <row r="4" spans="2:16" ht="15" customHeight="1" x14ac:dyDescent="0.2">
      <c r="B4" s="289"/>
      <c r="C4" s="285"/>
      <c r="D4" s="286"/>
      <c r="E4" s="286"/>
      <c r="F4" s="286"/>
      <c r="G4" s="286"/>
      <c r="H4" s="286"/>
      <c r="I4" s="286"/>
      <c r="J4" s="286"/>
      <c r="K4" s="286"/>
      <c r="L4" s="286"/>
      <c r="M4" s="286"/>
      <c r="N4" s="287"/>
    </row>
    <row r="5" spans="2:16" ht="15" customHeight="1" x14ac:dyDescent="0.2">
      <c r="B5" s="289"/>
      <c r="C5" s="285"/>
      <c r="D5" s="286"/>
      <c r="E5" s="286"/>
      <c r="F5" s="286"/>
      <c r="G5" s="286"/>
      <c r="H5" s="286"/>
      <c r="I5" s="286"/>
      <c r="J5" s="286"/>
      <c r="K5" s="286"/>
      <c r="L5" s="286"/>
      <c r="M5" s="286"/>
      <c r="N5" s="287"/>
    </row>
    <row r="6" spans="2:16" ht="15" customHeight="1" x14ac:dyDescent="0.2">
      <c r="B6" s="289"/>
      <c r="C6" s="285"/>
      <c r="D6" s="286"/>
      <c r="E6" s="286"/>
      <c r="F6" s="286"/>
      <c r="G6" s="286"/>
      <c r="H6" s="286"/>
      <c r="I6" s="286"/>
      <c r="J6" s="286"/>
      <c r="K6" s="286"/>
      <c r="L6" s="286"/>
      <c r="M6" s="286"/>
      <c r="N6" s="287"/>
    </row>
    <row r="7" spans="2:16" ht="48.75" customHeight="1" thickBot="1" x14ac:dyDescent="0.25">
      <c r="B7" s="289"/>
      <c r="C7" s="285"/>
      <c r="D7" s="286"/>
      <c r="E7" s="286"/>
      <c r="F7" s="286"/>
      <c r="G7" s="286"/>
      <c r="H7" s="286"/>
      <c r="I7" s="286"/>
      <c r="J7" s="286"/>
      <c r="K7" s="286"/>
      <c r="L7" s="286"/>
      <c r="M7" s="286"/>
      <c r="N7" s="287"/>
    </row>
    <row r="8" spans="2:16"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1"/>
      <c r="J9" s="67"/>
      <c r="K9" s="68"/>
      <c r="L9" s="68"/>
      <c r="M9" s="50"/>
      <c r="N9" s="51"/>
    </row>
    <row r="10" spans="2:16" ht="16" thickBot="1" x14ac:dyDescent="0.25">
      <c r="B10" s="218" t="s">
        <v>11</v>
      </c>
      <c r="C10" s="46">
        <f>'1.Income statement'!C15</f>
        <v>1830</v>
      </c>
      <c r="D10" s="46">
        <f>'1.Income statement'!D15</f>
        <v>1953</v>
      </c>
      <c r="E10" s="46">
        <f>'1.Income statement'!E15</f>
        <v>2060</v>
      </c>
      <c r="F10" s="46">
        <f>'1.Income statement'!F15</f>
        <v>2080</v>
      </c>
      <c r="G10" s="46">
        <f>'1.Income statement'!G15</f>
        <v>1810</v>
      </c>
      <c r="H10" s="46">
        <f>'1.Income statement'!H15</f>
        <v>2216</v>
      </c>
      <c r="I10" s="46">
        <f>'1.Income statement'!I15</f>
        <v>2418</v>
      </c>
      <c r="J10" s="45">
        <f>'1.Income statement'!J15</f>
        <v>2387.4479999999999</v>
      </c>
      <c r="K10" s="46">
        <f>'1.Income statement'!K15</f>
        <v>2506.8204000000001</v>
      </c>
      <c r="L10" s="46">
        <f>'1.Income statement'!L15</f>
        <v>2632.1614199999999</v>
      </c>
      <c r="M10" s="46">
        <f>'1.Income statement'!M15</f>
        <v>2763.769491</v>
      </c>
      <c r="N10" s="47">
        <f>'1.Income statement'!N15</f>
        <v>2901.9579655500002</v>
      </c>
      <c r="O10" s="16" t="s">
        <v>33</v>
      </c>
      <c r="P10" s="10">
        <f>'1.Income statement'!$P$11</f>
        <v>0.05</v>
      </c>
    </row>
    <row r="11" spans="2:16" x14ac:dyDescent="0.2">
      <c r="B11" s="219" t="s">
        <v>43</v>
      </c>
      <c r="C11" s="53">
        <f>'1.Income statement'!C17</f>
        <v>168</v>
      </c>
      <c r="D11" s="53">
        <f>'1.Income statement'!D17</f>
        <v>150</v>
      </c>
      <c r="E11" s="53">
        <f>'1.Income statement'!E17</f>
        <v>147</v>
      </c>
      <c r="F11" s="53">
        <f>'1.Income statement'!F17</f>
        <v>155</v>
      </c>
      <c r="G11" s="53">
        <f>'1.Income statement'!G17</f>
        <v>175</v>
      </c>
      <c r="H11" s="53">
        <f>'1.Income statement'!H17</f>
        <v>185</v>
      </c>
      <c r="I11" s="53">
        <f>'1.Income statement'!I17</f>
        <v>201</v>
      </c>
      <c r="J11" s="52">
        <f>'1.Income statement'!J17</f>
        <v>211.05</v>
      </c>
      <c r="K11" s="53">
        <f>'1.Income statement'!K17</f>
        <v>221.60250000000002</v>
      </c>
      <c r="L11" s="53">
        <f>'1.Income statement'!L17</f>
        <v>232.68262500000003</v>
      </c>
      <c r="M11" s="53">
        <f>'1.Income statement'!M17</f>
        <v>244.31675625000003</v>
      </c>
      <c r="N11" s="54">
        <f>'1.Income statement'!N17</f>
        <v>256.53259406250004</v>
      </c>
    </row>
    <row r="12" spans="2:16" x14ac:dyDescent="0.2">
      <c r="B12" s="220" t="s">
        <v>41</v>
      </c>
      <c r="C12" s="55">
        <f>'1.Income statement'!C20</f>
        <v>592</v>
      </c>
      <c r="D12" s="55">
        <f>'1.Income statement'!D20</f>
        <v>642</v>
      </c>
      <c r="E12" s="55">
        <f>'1.Income statement'!E20</f>
        <v>671</v>
      </c>
      <c r="F12" s="55">
        <f>'1.Income statement'!F20</f>
        <v>644</v>
      </c>
      <c r="G12" s="55">
        <f>'1.Income statement'!G20</f>
        <v>298</v>
      </c>
      <c r="H12" s="55">
        <f>'1.Income statement'!H20</f>
        <v>414</v>
      </c>
      <c r="I12" s="56">
        <f>'1.Income statement'!I20</f>
        <v>483</v>
      </c>
      <c r="J12" s="55">
        <f>'1.Income statement'!J20</f>
        <v>457.04357999999991</v>
      </c>
      <c r="K12" s="55">
        <f>'1.Income statement'!K20</f>
        <v>479.895759</v>
      </c>
      <c r="L12" s="55">
        <f>'1.Income statement'!L20</f>
        <v>503.89054694999999</v>
      </c>
      <c r="M12" s="55">
        <f>'1.Income statement'!M20</f>
        <v>529.08507429749989</v>
      </c>
      <c r="N12" s="56">
        <f>'1.Income statement'!N20</f>
        <v>555.53932801237499</v>
      </c>
    </row>
    <row r="13" spans="2:16" x14ac:dyDescent="0.2">
      <c r="B13" s="221" t="s">
        <v>12</v>
      </c>
      <c r="C13" s="46">
        <f>'1.Income statement'!C24</f>
        <v>1070</v>
      </c>
      <c r="D13" s="46">
        <f>'1.Income statement'!D24</f>
        <v>1161</v>
      </c>
      <c r="E13" s="46">
        <f>'1.Income statement'!E24</f>
        <v>1242</v>
      </c>
      <c r="F13" s="46">
        <f>'1.Income statement'!F24</f>
        <v>1281</v>
      </c>
      <c r="G13" s="46">
        <f>'1.Income statement'!G24</f>
        <v>1337</v>
      </c>
      <c r="H13" s="46">
        <f>'1.Income statement'!H24</f>
        <v>1617</v>
      </c>
      <c r="I13" s="46">
        <f>'1.Income statement'!I24</f>
        <v>1734</v>
      </c>
      <c r="J13" s="45">
        <f>'1.Income statement'!J24</f>
        <v>1719.3544199999997</v>
      </c>
      <c r="K13" s="46">
        <f>'1.Income statement'!K24</f>
        <v>1805.3221410000001</v>
      </c>
      <c r="L13" s="46">
        <f>'1.Income statement'!L24</f>
        <v>1895.5882480499999</v>
      </c>
      <c r="M13" s="46">
        <f>'1.Income statement'!M24</f>
        <v>1990.3676604524999</v>
      </c>
      <c r="N13" s="47">
        <f>'1.Income statement'!N24</f>
        <v>2089.8860434751255</v>
      </c>
    </row>
    <row r="14" spans="2:16" x14ac:dyDescent="0.2">
      <c r="B14" s="222" t="s">
        <v>47</v>
      </c>
      <c r="C14" s="246">
        <v>124</v>
      </c>
      <c r="D14" s="246">
        <v>175</v>
      </c>
      <c r="E14" s="246">
        <v>189</v>
      </c>
      <c r="F14" s="246">
        <v>293</v>
      </c>
      <c r="G14" s="246">
        <v>217</v>
      </c>
      <c r="H14" s="254">
        <v>176</v>
      </c>
      <c r="I14" s="199">
        <v>1751</v>
      </c>
      <c r="J14" s="55">
        <f>I14*$P$10+I14</f>
        <v>1838.55</v>
      </c>
      <c r="K14" s="55">
        <f t="shared" ref="K14:N14" si="0">J14*$P$10+J14</f>
        <v>1930.4775</v>
      </c>
      <c r="L14" s="55">
        <f t="shared" si="0"/>
        <v>2027.0013750000001</v>
      </c>
      <c r="M14" s="55">
        <f t="shared" si="0"/>
        <v>2128.3514437500003</v>
      </c>
      <c r="N14" s="55">
        <f t="shared" si="0"/>
        <v>2234.7690159375002</v>
      </c>
      <c r="O14" s="227"/>
    </row>
    <row r="15" spans="2:16" x14ac:dyDescent="0.2">
      <c r="B15" s="223" t="s">
        <v>44</v>
      </c>
      <c r="C15" s="246">
        <v>4342</v>
      </c>
      <c r="D15" s="246">
        <v>4624</v>
      </c>
      <c r="E15" s="246">
        <v>4924</v>
      </c>
      <c r="F15" s="246">
        <v>5081</v>
      </c>
      <c r="G15" s="246">
        <v>5005</v>
      </c>
      <c r="H15" s="255">
        <v>5206</v>
      </c>
      <c r="I15" s="152">
        <v>5513</v>
      </c>
      <c r="J15" s="55">
        <f t="shared" ref="J15:J17" si="1">I15*$P$10+I15</f>
        <v>5788.65</v>
      </c>
      <c r="K15" s="55">
        <f t="shared" ref="K15:N15" si="2">J15*$P$10+J15</f>
        <v>6078.0824999999995</v>
      </c>
      <c r="L15" s="55">
        <f t="shared" si="2"/>
        <v>6381.9866249999995</v>
      </c>
      <c r="M15" s="55">
        <f t="shared" si="2"/>
        <v>6701.0859562499991</v>
      </c>
      <c r="N15" s="56">
        <f t="shared" si="2"/>
        <v>7036.1402540624986</v>
      </c>
    </row>
    <row r="16" spans="2:16" x14ac:dyDescent="0.2">
      <c r="B16" s="222" t="s">
        <v>45</v>
      </c>
      <c r="C16" s="246">
        <v>367</v>
      </c>
      <c r="D16" s="246">
        <v>391</v>
      </c>
      <c r="E16" s="246">
        <v>391</v>
      </c>
      <c r="F16" s="246">
        <v>391</v>
      </c>
      <c r="G16" s="246">
        <v>302</v>
      </c>
      <c r="H16" s="255">
        <v>302</v>
      </c>
      <c r="I16" s="152">
        <v>302</v>
      </c>
      <c r="J16" s="55">
        <f t="shared" si="1"/>
        <v>317.10000000000002</v>
      </c>
      <c r="K16" s="55">
        <f t="shared" ref="K16:N16" si="3">J16*$P$10+J16</f>
        <v>332.95500000000004</v>
      </c>
      <c r="L16" s="55">
        <f t="shared" si="3"/>
        <v>349.60275000000001</v>
      </c>
      <c r="M16" s="55">
        <f t="shared" si="3"/>
        <v>367.08288750000003</v>
      </c>
      <c r="N16" s="56">
        <f t="shared" si="3"/>
        <v>385.437031875</v>
      </c>
    </row>
    <row r="17" spans="2:14" x14ac:dyDescent="0.2">
      <c r="B17" s="222" t="s">
        <v>46</v>
      </c>
      <c r="C17" s="247">
        <v>-1621</v>
      </c>
      <c r="D17" s="247">
        <v>-1701</v>
      </c>
      <c r="E17" s="247">
        <v>-1787</v>
      </c>
      <c r="F17" s="247">
        <v>-1428</v>
      </c>
      <c r="G17" s="246">
        <v>-1520</v>
      </c>
      <c r="H17" s="247">
        <v>-1713</v>
      </c>
      <c r="I17" s="200">
        <v>-878</v>
      </c>
      <c r="J17" s="55">
        <f t="shared" si="1"/>
        <v>-921.9</v>
      </c>
      <c r="K17" s="153">
        <f t="shared" ref="K17:N17" si="4">J17*$P$10+J17</f>
        <v>-967.995</v>
      </c>
      <c r="L17" s="153">
        <f t="shared" si="4"/>
        <v>-1016.39475</v>
      </c>
      <c r="M17" s="153">
        <f t="shared" si="4"/>
        <v>-1067.2144875000001</v>
      </c>
      <c r="N17" s="56">
        <f t="shared" si="4"/>
        <v>-1120.5752118750002</v>
      </c>
    </row>
    <row r="18" spans="2:14" x14ac:dyDescent="0.2">
      <c r="B18" s="224" t="s">
        <v>51</v>
      </c>
      <c r="C18" s="61">
        <f t="shared" ref="C18:I18" si="5">C17+C15-C14</f>
        <v>2597</v>
      </c>
      <c r="D18" s="61">
        <f t="shared" si="5"/>
        <v>2748</v>
      </c>
      <c r="E18" s="61">
        <f t="shared" si="5"/>
        <v>2948</v>
      </c>
      <c r="F18" s="61">
        <f t="shared" si="5"/>
        <v>3360</v>
      </c>
      <c r="G18" s="201">
        <f t="shared" si="5"/>
        <v>3268</v>
      </c>
      <c r="H18" s="201">
        <f t="shared" si="5"/>
        <v>3317</v>
      </c>
      <c r="I18" s="201">
        <f t="shared" si="5"/>
        <v>2884</v>
      </c>
      <c r="J18" s="131">
        <f t="shared" ref="J18:N18" si="6">J17+J15-J14</f>
        <v>3028.2</v>
      </c>
      <c r="K18" s="61">
        <f t="shared" si="6"/>
        <v>3179.6099999999997</v>
      </c>
      <c r="L18" s="61">
        <f t="shared" si="6"/>
        <v>3338.5904999999993</v>
      </c>
      <c r="M18" s="61">
        <f t="shared" si="6"/>
        <v>3505.5200249999984</v>
      </c>
      <c r="N18" s="57">
        <f t="shared" si="6"/>
        <v>3680.7960262499978</v>
      </c>
    </row>
    <row r="19" spans="2:14" x14ac:dyDescent="0.2">
      <c r="B19" s="225" t="s">
        <v>52</v>
      </c>
      <c r="C19" s="58">
        <f t="shared" ref="C19:I19" si="7">C15-C14+C17-C16</f>
        <v>2230</v>
      </c>
      <c r="D19" s="58">
        <f t="shared" si="7"/>
        <v>2357</v>
      </c>
      <c r="E19" s="58">
        <f t="shared" si="7"/>
        <v>2557</v>
      </c>
      <c r="F19" s="58">
        <f t="shared" si="7"/>
        <v>2969</v>
      </c>
      <c r="G19" s="58">
        <f t="shared" si="7"/>
        <v>2966</v>
      </c>
      <c r="H19" s="58">
        <f t="shared" si="7"/>
        <v>3015</v>
      </c>
      <c r="I19" s="58">
        <f t="shared" si="7"/>
        <v>2582</v>
      </c>
      <c r="J19" s="132">
        <f t="shared" ref="J19:N19" si="8">J15-J14+J17-J16</f>
        <v>2711.0999999999995</v>
      </c>
      <c r="K19" s="58">
        <f t="shared" si="8"/>
        <v>2846.6549999999997</v>
      </c>
      <c r="L19" s="58">
        <f t="shared" si="8"/>
        <v>2988.9877499999998</v>
      </c>
      <c r="M19" s="58">
        <f t="shared" si="8"/>
        <v>3138.4371374999987</v>
      </c>
      <c r="N19" s="59">
        <f t="shared" si="8"/>
        <v>3295.3589943749985</v>
      </c>
    </row>
    <row r="20" spans="2:14" x14ac:dyDescent="0.2">
      <c r="B20" s="223"/>
      <c r="C20" s="60"/>
      <c r="D20" s="60"/>
      <c r="E20" s="60"/>
      <c r="F20" s="60"/>
      <c r="G20" s="60"/>
      <c r="H20" s="114"/>
      <c r="J20" s="133"/>
      <c r="K20" s="61"/>
      <c r="L20" s="61"/>
      <c r="M20" s="61"/>
      <c r="N20" s="62"/>
    </row>
    <row r="21" spans="2:14" x14ac:dyDescent="0.2">
      <c r="B21" s="222" t="s">
        <v>48</v>
      </c>
      <c r="C21" s="48">
        <f t="shared" ref="C21:I21" si="9">C13/C17</f>
        <v>-0.66008636644046881</v>
      </c>
      <c r="D21" s="48">
        <f t="shared" si="9"/>
        <v>-0.68253968253968256</v>
      </c>
      <c r="E21" s="48">
        <f t="shared" si="9"/>
        <v>-0.69501958589815338</v>
      </c>
      <c r="F21" s="48">
        <f t="shared" si="9"/>
        <v>-0.8970588235294118</v>
      </c>
      <c r="G21" s="48">
        <f t="shared" si="9"/>
        <v>-0.87960526315789478</v>
      </c>
      <c r="H21" s="48">
        <f t="shared" si="9"/>
        <v>-0.94395796847635727</v>
      </c>
      <c r="I21" s="48">
        <f t="shared" si="9"/>
        <v>-1.9749430523917995</v>
      </c>
      <c r="J21" s="134">
        <f t="shared" ref="J21:N21" si="10">J13/J17</f>
        <v>-1.8650118451025053</v>
      </c>
      <c r="K21" s="48">
        <f t="shared" si="10"/>
        <v>-1.8650118451025057</v>
      </c>
      <c r="L21" s="48">
        <f t="shared" si="10"/>
        <v>-1.8650118451025055</v>
      </c>
      <c r="M21" s="48">
        <f t="shared" si="10"/>
        <v>-1.8650118451025053</v>
      </c>
      <c r="N21" s="49">
        <f t="shared" si="10"/>
        <v>-1.8650118451025059</v>
      </c>
    </row>
    <row r="22" spans="2:14" x14ac:dyDescent="0.2">
      <c r="B22" s="222" t="s">
        <v>54</v>
      </c>
      <c r="C22" s="20">
        <f t="shared" ref="C22:I22" si="11">C10/C19</f>
        <v>0.820627802690583</v>
      </c>
      <c r="D22" s="20">
        <f t="shared" si="11"/>
        <v>0.82859567246499788</v>
      </c>
      <c r="E22" s="20">
        <f t="shared" si="11"/>
        <v>0.80563159953070007</v>
      </c>
      <c r="F22" s="20">
        <f t="shared" si="11"/>
        <v>0.70057258336140116</v>
      </c>
      <c r="G22" s="20">
        <f t="shared" si="11"/>
        <v>0.61024949426837494</v>
      </c>
      <c r="H22" s="20">
        <f t="shared" si="11"/>
        <v>0.73499170812603654</v>
      </c>
      <c r="I22" s="20">
        <f t="shared" si="11"/>
        <v>0.93648334624322227</v>
      </c>
      <c r="J22" s="135">
        <f t="shared" ref="J22:N22" si="12">J10/J19</f>
        <v>0.88061967467079794</v>
      </c>
      <c r="K22" s="20">
        <f t="shared" si="12"/>
        <v>0.88061967467079794</v>
      </c>
      <c r="L22" s="20">
        <f t="shared" si="12"/>
        <v>0.88061967467079783</v>
      </c>
      <c r="M22" s="20">
        <f t="shared" si="12"/>
        <v>0.88061967467079816</v>
      </c>
      <c r="N22" s="22">
        <f t="shared" si="12"/>
        <v>0.88061967467079827</v>
      </c>
    </row>
    <row r="23" spans="2:14" ht="16" thickBot="1" x14ac:dyDescent="0.25">
      <c r="B23" s="226" t="s">
        <v>53</v>
      </c>
      <c r="C23" s="21">
        <f t="shared" ref="C23:I23" si="13">C10/C18</f>
        <v>0.70465922217943777</v>
      </c>
      <c r="D23" s="21">
        <f t="shared" si="13"/>
        <v>0.7106986899563319</v>
      </c>
      <c r="E23" s="21">
        <f t="shared" si="13"/>
        <v>0.69877883310719136</v>
      </c>
      <c r="F23" s="21">
        <f t="shared" si="13"/>
        <v>0.61904761904761907</v>
      </c>
      <c r="G23" s="21">
        <f t="shared" si="13"/>
        <v>0.55385556915544676</v>
      </c>
      <c r="H23" s="21">
        <f t="shared" si="13"/>
        <v>0.66807356044618627</v>
      </c>
      <c r="I23" s="21">
        <f t="shared" si="13"/>
        <v>0.83841886269070731</v>
      </c>
      <c r="J23" s="136">
        <f t="shared" ref="J23:N23" si="14">J10/J18</f>
        <v>0.7884049930651873</v>
      </c>
      <c r="K23" s="21">
        <f t="shared" si="14"/>
        <v>0.7884049930651873</v>
      </c>
      <c r="L23" s="21">
        <f t="shared" si="14"/>
        <v>0.78840499306518741</v>
      </c>
      <c r="M23" s="21">
        <f t="shared" si="14"/>
        <v>0.78840499306518763</v>
      </c>
      <c r="N23" s="23">
        <f t="shared" si="14"/>
        <v>0.78840499306518774</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zoomScaleNormal="100" workbookViewId="0">
      <selection activeCell="Q24" sqref="Q24"/>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8"/>
      <c r="C2" s="297"/>
      <c r="D2" s="298"/>
      <c r="E2" s="298"/>
      <c r="F2" s="298"/>
      <c r="G2" s="298"/>
      <c r="H2" s="298"/>
      <c r="I2" s="298"/>
      <c r="J2" s="298"/>
      <c r="K2" s="298"/>
      <c r="L2" s="298"/>
      <c r="M2" s="298"/>
      <c r="N2" s="299"/>
      <c r="O2" s="1"/>
      <c r="P2" s="1"/>
      <c r="Q2" s="1"/>
      <c r="R2" s="1"/>
      <c r="S2" s="1"/>
      <c r="T2" s="1"/>
      <c r="U2" s="1"/>
      <c r="V2" s="1"/>
    </row>
    <row r="3" spans="2:22" ht="15" customHeight="1" x14ac:dyDescent="0.2">
      <c r="B3" s="289"/>
      <c r="C3" s="300"/>
      <c r="D3" s="301"/>
      <c r="E3" s="301"/>
      <c r="F3" s="301"/>
      <c r="G3" s="301"/>
      <c r="H3" s="301"/>
      <c r="I3" s="301"/>
      <c r="J3" s="301"/>
      <c r="K3" s="301"/>
      <c r="L3" s="301"/>
      <c r="M3" s="301"/>
      <c r="N3" s="302"/>
      <c r="O3" s="1"/>
      <c r="P3" s="1"/>
      <c r="Q3" s="1"/>
      <c r="R3" s="1"/>
      <c r="S3" s="1"/>
      <c r="T3" s="1"/>
      <c r="U3" s="1"/>
      <c r="V3" s="1"/>
    </row>
    <row r="4" spans="2:22" ht="15" customHeight="1" x14ac:dyDescent="0.2">
      <c r="B4" s="289"/>
      <c r="C4" s="300"/>
      <c r="D4" s="301"/>
      <c r="E4" s="301"/>
      <c r="F4" s="301"/>
      <c r="G4" s="301"/>
      <c r="H4" s="301"/>
      <c r="I4" s="301"/>
      <c r="J4" s="301"/>
      <c r="K4" s="301"/>
      <c r="L4" s="301"/>
      <c r="M4" s="301"/>
      <c r="N4" s="302"/>
      <c r="O4" s="1"/>
      <c r="P4" s="1"/>
      <c r="Q4" s="1"/>
      <c r="R4" s="1"/>
      <c r="S4" s="1"/>
      <c r="T4" s="1"/>
      <c r="U4" s="1"/>
      <c r="V4" s="1"/>
    </row>
    <row r="5" spans="2:22" ht="15" customHeight="1" x14ac:dyDescent="0.2">
      <c r="B5" s="289"/>
      <c r="C5" s="300"/>
      <c r="D5" s="301"/>
      <c r="E5" s="301"/>
      <c r="F5" s="301"/>
      <c r="G5" s="301"/>
      <c r="H5" s="301"/>
      <c r="I5" s="301"/>
      <c r="J5" s="301"/>
      <c r="K5" s="301"/>
      <c r="L5" s="301"/>
      <c r="M5" s="301"/>
      <c r="N5" s="302"/>
      <c r="O5" s="1"/>
      <c r="P5" s="1"/>
      <c r="Q5" s="1"/>
      <c r="R5" s="1"/>
      <c r="S5" s="1"/>
      <c r="T5" s="1"/>
      <c r="U5" s="1"/>
      <c r="V5" s="1"/>
    </row>
    <row r="6" spans="2:22" ht="15" customHeight="1" x14ac:dyDescent="0.2">
      <c r="B6" s="289"/>
      <c r="C6" s="300"/>
      <c r="D6" s="301"/>
      <c r="E6" s="301"/>
      <c r="F6" s="301"/>
      <c r="G6" s="301"/>
      <c r="H6" s="301"/>
      <c r="I6" s="301"/>
      <c r="J6" s="301"/>
      <c r="K6" s="301"/>
      <c r="L6" s="301"/>
      <c r="M6" s="301"/>
      <c r="N6" s="302"/>
      <c r="O6" s="1"/>
      <c r="P6" s="1"/>
      <c r="Q6" s="1"/>
      <c r="R6" s="1"/>
      <c r="S6" s="1"/>
      <c r="T6" s="1"/>
      <c r="U6" s="1"/>
      <c r="V6" s="1"/>
    </row>
    <row r="7" spans="2:22" ht="48.75" customHeight="1" thickBot="1" x14ac:dyDescent="0.25">
      <c r="B7" s="289"/>
      <c r="C7" s="300"/>
      <c r="D7" s="301"/>
      <c r="E7" s="301"/>
      <c r="F7" s="301"/>
      <c r="G7" s="301"/>
      <c r="H7" s="301"/>
      <c r="I7" s="301"/>
      <c r="J7" s="303"/>
      <c r="K7" s="303"/>
      <c r="L7" s="303"/>
      <c r="M7" s="303"/>
      <c r="N7" s="304"/>
      <c r="O7" s="1"/>
      <c r="P7" s="1"/>
      <c r="Q7" s="1"/>
      <c r="R7" s="1"/>
      <c r="S7" s="1"/>
      <c r="T7" s="1"/>
      <c r="U7" s="1"/>
      <c r="V7" s="1"/>
    </row>
    <row r="8" spans="2:22"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7" thickBot="1" x14ac:dyDescent="0.25">
      <c r="B9" s="116" t="s">
        <v>27</v>
      </c>
      <c r="C9" s="119"/>
      <c r="D9" s="30"/>
      <c r="E9" s="30"/>
      <c r="F9" s="30"/>
      <c r="G9" s="30"/>
      <c r="H9" s="30"/>
      <c r="I9" s="108"/>
      <c r="J9" s="30"/>
      <c r="K9" s="30"/>
      <c r="L9" s="30"/>
      <c r="M9" s="60"/>
      <c r="N9" s="120"/>
      <c r="O9" s="290" t="s">
        <v>14</v>
      </c>
      <c r="P9" s="291"/>
      <c r="Q9" s="15">
        <v>1400</v>
      </c>
      <c r="R9" s="1"/>
      <c r="S9" s="1"/>
      <c r="T9" s="1"/>
      <c r="U9" s="1"/>
      <c r="V9" s="1"/>
    </row>
    <row r="10" spans="2:22" ht="16" x14ac:dyDescent="0.2">
      <c r="B10" s="64" t="s">
        <v>26</v>
      </c>
      <c r="C10" s="118"/>
      <c r="D10" s="109"/>
      <c r="E10" s="109"/>
      <c r="F10" s="109"/>
      <c r="G10" s="109"/>
      <c r="H10" s="109"/>
      <c r="I10" s="110">
        <f>$Q$9*'1.Income statement'!I27</f>
        <v>33600</v>
      </c>
      <c r="J10" s="109">
        <f>$Q$9*'1.Income statement'!J27</f>
        <v>30800</v>
      </c>
      <c r="K10" s="109">
        <f>$Q$9*'1.Income statement'!K27</f>
        <v>28000</v>
      </c>
      <c r="L10" s="109">
        <f>$Q$9*'1.Income statement'!L27</f>
        <v>25200</v>
      </c>
      <c r="M10" s="109">
        <f>$Q$9*'1.Income statement'!M27</f>
        <v>22400</v>
      </c>
      <c r="N10" s="121">
        <f>$Q$9*'1.Income statement'!N27</f>
        <v>21000</v>
      </c>
      <c r="O10" s="14"/>
      <c r="P10" s="14"/>
      <c r="Q10" s="14"/>
      <c r="R10" s="1"/>
      <c r="S10" s="1"/>
      <c r="T10" s="1"/>
      <c r="U10" s="1"/>
      <c r="V10" s="1"/>
    </row>
    <row r="11" spans="2:22" ht="16" x14ac:dyDescent="0.2">
      <c r="B11" s="64" t="s">
        <v>60</v>
      </c>
      <c r="C11" s="109">
        <f>'3.retornos capital'!C15-'3.retornos capital'!C14</f>
        <v>4218</v>
      </c>
      <c r="D11" s="109">
        <f>'3.retornos capital'!D15-'3.retornos capital'!D14</f>
        <v>4449</v>
      </c>
      <c r="E11" s="109">
        <f>'3.retornos capital'!E15-'3.retornos capital'!E14</f>
        <v>4735</v>
      </c>
      <c r="F11" s="109">
        <f>'3.retornos capital'!F15-'3.retornos capital'!F14</f>
        <v>4788</v>
      </c>
      <c r="G11" s="109">
        <f>'3.retornos capital'!G15-'3.retornos capital'!G14</f>
        <v>4788</v>
      </c>
      <c r="H11" s="109">
        <f>'3.retornos capital'!H15-'3.retornos capital'!H14</f>
        <v>5030</v>
      </c>
      <c r="I11" s="110">
        <f>'3.retornos capital'!I15-'3.retornos capital'!I14</f>
        <v>3762</v>
      </c>
      <c r="J11" s="234">
        <v>5000</v>
      </c>
      <c r="K11" s="234">
        <v>5200</v>
      </c>
      <c r="L11" s="234">
        <v>5500</v>
      </c>
      <c r="M11" s="234">
        <v>5800</v>
      </c>
      <c r="N11" s="231">
        <v>6200</v>
      </c>
      <c r="O11" s="292"/>
      <c r="P11" s="292"/>
      <c r="Q11" s="14"/>
      <c r="R11" s="1"/>
      <c r="S11" s="1"/>
      <c r="T11" s="1"/>
      <c r="U11" s="1"/>
      <c r="V11" s="1"/>
    </row>
    <row r="12" spans="2:22" ht="16" x14ac:dyDescent="0.2">
      <c r="B12" s="112" t="s">
        <v>81</v>
      </c>
      <c r="C12" s="137">
        <f>C11/'1.Income statement'!C12</f>
        <v>2.0269101393560787</v>
      </c>
      <c r="D12" s="137">
        <f>D11/'1.Income statement'!D12</f>
        <v>2.0022502250225021</v>
      </c>
      <c r="E12" s="137">
        <f>E11/'1.Income statement'!E12</f>
        <v>2.0089096308867203</v>
      </c>
      <c r="F12" s="137">
        <f>F11/'1.Income statement'!F12</f>
        <v>1.9925093632958801</v>
      </c>
      <c r="G12" s="137">
        <f>G11/'1.Income statement'!G12</f>
        <v>2.2218097447795824</v>
      </c>
      <c r="H12" s="137">
        <f>H11/'1.Income statement'!H12</f>
        <v>1.9458413926499032</v>
      </c>
      <c r="I12" s="12">
        <f>I11/'1.Income statement'!I12</f>
        <v>1.3364120781527531</v>
      </c>
      <c r="J12" s="229">
        <f>J11/'1.Income statement'!J12</f>
        <v>1.7829774153816751</v>
      </c>
      <c r="K12" s="137">
        <f>K11/'1.Income statement'!K12</f>
        <v>1.7659966780923255</v>
      </c>
      <c r="L12" s="137">
        <f>L11/'1.Income statement'!L12</f>
        <v>1.7789343826937345</v>
      </c>
      <c r="M12" s="137">
        <f>M11/'1.Income statement'!M12</f>
        <v>1.7866353973374303</v>
      </c>
      <c r="N12" s="122">
        <f>N11/'1.Income statement'!N12</f>
        <v>1.8189063158443461</v>
      </c>
      <c r="O12" s="293"/>
      <c r="P12" s="293"/>
      <c r="Q12" s="14"/>
      <c r="R12" s="1"/>
      <c r="S12" s="1"/>
      <c r="T12" s="1"/>
      <c r="U12" s="1"/>
      <c r="V12" s="1"/>
    </row>
    <row r="13" spans="2:22" ht="16" x14ac:dyDescent="0.2">
      <c r="B13" s="112" t="s">
        <v>82</v>
      </c>
      <c r="C13" s="137">
        <f>C11/'3.retornos capital'!C17</f>
        <v>-2.6020974706971005</v>
      </c>
      <c r="D13" s="137">
        <f>D11/'3.retornos capital'!D17</f>
        <v>-2.615520282186949</v>
      </c>
      <c r="E13" s="137">
        <f>E11/'3.retornos capital'!E17</f>
        <v>-2.6496922216004477</v>
      </c>
      <c r="F13" s="137">
        <f>F11/'3.retornos capital'!F17</f>
        <v>-3.3529411764705883</v>
      </c>
      <c r="G13" s="137">
        <f>G11/'3.retornos capital'!G17</f>
        <v>-3.15</v>
      </c>
      <c r="H13" s="137">
        <f>H11/'3.retornos capital'!H17</f>
        <v>-2.9363689433741973</v>
      </c>
      <c r="I13" s="137">
        <f>I11/'3.retornos capital'!I17</f>
        <v>-4.284738041002278</v>
      </c>
      <c r="J13" s="229">
        <f>J11/'3.retornos capital'!J17</f>
        <v>-5.4235817333767224</v>
      </c>
      <c r="K13" s="137">
        <f>K11/'3.retornos capital'!K17</f>
        <v>-5.3719285740112293</v>
      </c>
      <c r="L13" s="137">
        <f>L11/'3.retornos capital'!L17</f>
        <v>-5.4112833620992236</v>
      </c>
      <c r="M13" s="137">
        <f>M11/'3.retornos capital'!M17</f>
        <v>-5.4347088311992193</v>
      </c>
      <c r="N13" s="137">
        <f>N11/'3.retornos capital'!N17</f>
        <v>-5.5328727017134911</v>
      </c>
      <c r="O13" s="232"/>
      <c r="P13" s="205"/>
      <c r="Q13" s="14"/>
      <c r="R13" s="1"/>
      <c r="S13" s="1"/>
      <c r="T13" s="1"/>
      <c r="U13" s="1"/>
      <c r="V13" s="1"/>
    </row>
    <row r="14" spans="2:22" ht="16" x14ac:dyDescent="0.2">
      <c r="B14" s="113" t="s">
        <v>25</v>
      </c>
      <c r="C14" s="46"/>
      <c r="D14" s="46"/>
      <c r="E14" s="46"/>
      <c r="F14" s="46"/>
      <c r="G14" s="46"/>
      <c r="H14" s="46"/>
      <c r="I14" s="13">
        <f>I10+I11</f>
        <v>37362</v>
      </c>
      <c r="J14" s="46">
        <f t="shared" ref="J14:N14" si="0">J10+J11</f>
        <v>35800</v>
      </c>
      <c r="K14" s="46">
        <f t="shared" si="0"/>
        <v>33200</v>
      </c>
      <c r="L14" s="46">
        <f t="shared" si="0"/>
        <v>30700</v>
      </c>
      <c r="M14" s="46">
        <f t="shared" si="0"/>
        <v>28200</v>
      </c>
      <c r="N14" s="47">
        <f t="shared" si="0"/>
        <v>27200</v>
      </c>
      <c r="O14" s="305"/>
      <c r="P14" s="305"/>
      <c r="Q14" s="14"/>
      <c r="R14" s="1"/>
      <c r="S14" s="1"/>
      <c r="T14" s="1"/>
      <c r="U14" s="1"/>
      <c r="V14" s="1"/>
    </row>
    <row r="15" spans="2:22" ht="16" x14ac:dyDescent="0.2">
      <c r="B15" s="64" t="s">
        <v>6</v>
      </c>
      <c r="C15" s="109">
        <f>'1.Income statement'!C12</f>
        <v>2081</v>
      </c>
      <c r="D15" s="109">
        <f>'1.Income statement'!D12</f>
        <v>2222</v>
      </c>
      <c r="E15" s="109">
        <f>'1.Income statement'!E12</f>
        <v>2357</v>
      </c>
      <c r="F15" s="109">
        <f>'1.Income statement'!F12</f>
        <v>2403</v>
      </c>
      <c r="G15" s="109">
        <f>'1.Income statement'!G12</f>
        <v>2155</v>
      </c>
      <c r="H15" s="228">
        <f>'1.Income statement'!H12</f>
        <v>2585</v>
      </c>
      <c r="I15" s="111">
        <f>'1.Income statement'!I12</f>
        <v>2815</v>
      </c>
      <c r="J15" s="109">
        <f>'1.Income statement'!J12</f>
        <v>2804.2979999999998</v>
      </c>
      <c r="K15" s="109">
        <f>'1.Income statement'!K12</f>
        <v>2944.5129000000002</v>
      </c>
      <c r="L15" s="109">
        <f>'1.Income statement'!L12</f>
        <v>3091.7385450000002</v>
      </c>
      <c r="M15" s="109">
        <f>'1.Income statement'!M12</f>
        <v>3246.3254722500001</v>
      </c>
      <c r="N15" s="123">
        <f>'1.Income statement'!N12</f>
        <v>3408.6417458625001</v>
      </c>
      <c r="O15" s="293"/>
      <c r="P15" s="293"/>
      <c r="Q15" s="14"/>
      <c r="R15" s="1"/>
      <c r="S15" s="1"/>
      <c r="T15" s="1"/>
      <c r="U15" s="1"/>
      <c r="V15" s="1"/>
    </row>
    <row r="16" spans="2:22" ht="16" x14ac:dyDescent="0.2">
      <c r="B16" s="64" t="s">
        <v>11</v>
      </c>
      <c r="C16" s="109">
        <f>'1.Income statement'!C15</f>
        <v>1830</v>
      </c>
      <c r="D16" s="109">
        <f>'1.Income statement'!D15</f>
        <v>1953</v>
      </c>
      <c r="E16" s="109">
        <f>'1.Income statement'!E15</f>
        <v>2060</v>
      </c>
      <c r="F16" s="109">
        <f>'1.Income statement'!F15</f>
        <v>2080</v>
      </c>
      <c r="G16" s="109">
        <f>'1.Income statement'!G15</f>
        <v>1810</v>
      </c>
      <c r="H16" s="109">
        <f>'1.Income statement'!H15</f>
        <v>2216</v>
      </c>
      <c r="I16" s="110">
        <f>'1.Income statement'!I15</f>
        <v>2418</v>
      </c>
      <c r="J16" s="109">
        <f>'1.Income statement'!J15</f>
        <v>2387.4479999999999</v>
      </c>
      <c r="K16" s="109">
        <f>'1.Income statement'!K15</f>
        <v>2506.8204000000001</v>
      </c>
      <c r="L16" s="109">
        <f>'1.Income statement'!L15</f>
        <v>2632.1614199999999</v>
      </c>
      <c r="M16" s="109">
        <f>'1.Income statement'!M15</f>
        <v>2763.769491</v>
      </c>
      <c r="N16" s="121">
        <f>'1.Income statement'!N15</f>
        <v>2901.9579655500002</v>
      </c>
      <c r="O16" s="293"/>
      <c r="P16" s="293"/>
      <c r="Q16" s="14"/>
      <c r="R16" s="1"/>
      <c r="S16" s="1"/>
      <c r="T16" s="1"/>
      <c r="U16" s="1"/>
      <c r="V16" s="1"/>
    </row>
    <row r="17" spans="2:22" ht="16" x14ac:dyDescent="0.2">
      <c r="B17" s="64" t="s">
        <v>12</v>
      </c>
      <c r="C17" s="109">
        <f>'1.Income statement'!C24</f>
        <v>1070</v>
      </c>
      <c r="D17" s="109">
        <f>'1.Income statement'!D24</f>
        <v>1161</v>
      </c>
      <c r="E17" s="109">
        <f>'1.Income statement'!E24</f>
        <v>1242</v>
      </c>
      <c r="F17" s="109">
        <f>'1.Income statement'!F24</f>
        <v>1281</v>
      </c>
      <c r="G17" s="109">
        <f>'1.Income statement'!G24</f>
        <v>1337</v>
      </c>
      <c r="H17" s="109">
        <f>'1.Income statement'!H24</f>
        <v>1617</v>
      </c>
      <c r="I17" s="110">
        <f>'1.Income statement'!I24</f>
        <v>1734</v>
      </c>
      <c r="J17" s="109">
        <f>'1.Income statement'!J24</f>
        <v>1719.3544199999997</v>
      </c>
      <c r="K17" s="109">
        <f>'1.Income statement'!K24</f>
        <v>1805.3221410000001</v>
      </c>
      <c r="L17" s="109">
        <f>'1.Income statement'!L24</f>
        <v>1895.5882480499999</v>
      </c>
      <c r="M17" s="109">
        <f>'1.Income statement'!M24</f>
        <v>1990.3676604524999</v>
      </c>
      <c r="N17" s="121">
        <f>'1.Income statement'!N24</f>
        <v>2089.8860434751255</v>
      </c>
      <c r="O17" s="293"/>
      <c r="P17" s="293"/>
      <c r="Q17" s="14"/>
      <c r="R17" s="1"/>
      <c r="S17" s="1"/>
      <c r="T17" s="1"/>
      <c r="U17" s="1"/>
      <c r="V17" s="1"/>
    </row>
    <row r="18" spans="2:22" ht="16" x14ac:dyDescent="0.2">
      <c r="B18" s="64" t="s">
        <v>13</v>
      </c>
      <c r="C18" s="109">
        <f>'2.Flujos de caja'!C15</f>
        <v>883</v>
      </c>
      <c r="D18" s="109">
        <f>'2.Flujos de caja'!D15</f>
        <v>949</v>
      </c>
      <c r="E18" s="109">
        <f>'2.Flujos de caja'!E15</f>
        <v>1050</v>
      </c>
      <c r="F18" s="109">
        <f>'2.Flujos de caja'!F15</f>
        <v>1051</v>
      </c>
      <c r="G18" s="109">
        <f>'2.Flujos de caja'!G15</f>
        <v>1160</v>
      </c>
      <c r="H18" s="109">
        <f>'2.Flujos de caja'!H15</f>
        <v>1490</v>
      </c>
      <c r="I18" s="110">
        <f>'2.Flujos de caja'!I15</f>
        <v>1673</v>
      </c>
      <c r="J18" s="109">
        <f>'2.Flujos de caja'!J15</f>
        <v>1655.3044199999995</v>
      </c>
      <c r="K18" s="109">
        <f>'2.Flujos de caja'!K15</f>
        <v>1738.069641</v>
      </c>
      <c r="L18" s="109">
        <f>'2.Flujos de caja'!L15</f>
        <v>1824.9731230500001</v>
      </c>
      <c r="M18" s="109">
        <f>'2.Flujos de caja'!M15</f>
        <v>1916.2217792025003</v>
      </c>
      <c r="N18" s="121">
        <f>'2.Flujos de caja'!N15</f>
        <v>2012.0328681626256</v>
      </c>
      <c r="O18" s="293"/>
      <c r="P18" s="293"/>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06"/>
      <c r="P20" s="306"/>
      <c r="Q20" s="5"/>
      <c r="R20" s="1"/>
      <c r="S20" s="1"/>
      <c r="T20" s="1"/>
      <c r="U20" s="1"/>
      <c r="V20" s="1"/>
    </row>
    <row r="21" spans="2:22" ht="20" thickBot="1" x14ac:dyDescent="0.25">
      <c r="B21" s="25" t="s">
        <v>21</v>
      </c>
      <c r="C21" s="117">
        <f>(L21/$Q$9)^(1/3)-1</f>
        <v>0.10629765195482155</v>
      </c>
      <c r="D21" s="117">
        <f>(N21/$Q$9)^(1/5)-1</f>
        <v>0.12366062632077846</v>
      </c>
      <c r="E21" s="60"/>
      <c r="F21" s="6" t="s">
        <v>58</v>
      </c>
      <c r="G21" s="6"/>
      <c r="H21" s="6"/>
      <c r="I21" s="256">
        <f>IF(--I11&lt;0,(I17*$Q$21-I11),IF(--I11&gt;0,I17*$Q$21))/'1.Income statement'!I27</f>
        <v>1300.5</v>
      </c>
      <c r="J21" s="257">
        <f>IF(--J11&lt;0,(J17*$Q$21-J11),IF(--J11&gt;0,J17*$Q$21))/'1.Income statement'!J27</f>
        <v>1406.7445254545453</v>
      </c>
      <c r="K21" s="257">
        <f>IF(--K11&lt;0,(K17*$Q$21-K11),IF(--K11&gt;0,K17*$Q$21))/'1.Income statement'!K27</f>
        <v>1624.7899269000002</v>
      </c>
      <c r="L21" s="257">
        <f>IF(--L11&lt;0,(L17*$Q$21-L11),IF(--L11&gt;0,L17*$Q$21))/'1.Income statement'!L27</f>
        <v>1895.5882480499999</v>
      </c>
      <c r="M21" s="257">
        <f>IF(--M11&lt;0,(M17*$Q$21-M11),IF(--M11&gt;0,M17*$Q$21))/'1.Income statement'!M27</f>
        <v>2239.1636180090622</v>
      </c>
      <c r="N21" s="258">
        <f>IF(--N11&lt;0,(N17*$Q$21-N11),IF(--N11&gt;0,N17*$Q$21))/'1.Income statement'!N27</f>
        <v>2507.8632521701506</v>
      </c>
      <c r="O21" s="130" t="s">
        <v>28</v>
      </c>
      <c r="P21" s="130"/>
      <c r="Q21" s="9">
        <v>18</v>
      </c>
      <c r="R21" s="1"/>
      <c r="S21" s="1"/>
      <c r="T21" s="1"/>
      <c r="U21" s="1"/>
      <c r="V21" s="1"/>
    </row>
    <row r="22" spans="2:22" ht="20" thickBot="1" x14ac:dyDescent="0.25">
      <c r="B22" s="25" t="s">
        <v>22</v>
      </c>
      <c r="C22" s="107">
        <f t="shared" ref="C22:C24" si="1">(L22/$Q$9)^(1/3)-1</f>
        <v>9.238605063507177E-2</v>
      </c>
      <c r="D22" s="107">
        <f t="shared" ref="D22:D24" si="2">(N22/$Q$9)^(1/5)-1</f>
        <v>0.11516121473690433</v>
      </c>
      <c r="E22" s="60"/>
      <c r="F22" s="7" t="s">
        <v>57</v>
      </c>
      <c r="G22" s="60"/>
      <c r="H22" s="60"/>
      <c r="I22" s="256">
        <f>IF(--I11&lt;0,(I18*$Q$22-I11),IF(--I11&gt;0,I18*$Q$22))/'1.Income statement'!I27</f>
        <v>1254.75</v>
      </c>
      <c r="J22" s="257">
        <f>IF(--J11&lt;0,(J18*$Q$22-J11),IF(--J11&gt;0,J18*$Q$22))/'1.Income statement'!J27</f>
        <v>1354.3399799999997</v>
      </c>
      <c r="K22" s="257">
        <f>IF(--K11&lt;0,(K18*$Q$22-K11),IF(--K11&gt;0,K18*$Q$22))/'1.Income statement'!K27</f>
        <v>1564.2626769000001</v>
      </c>
      <c r="L22" s="257">
        <f>IF(--L11&lt;0,(L18*$Q$22-L11),IF(--L11&gt;0,L18*$Q$22))/'1.Income statement'!L27</f>
        <v>1824.9731230500001</v>
      </c>
      <c r="M22" s="257">
        <f>IF(--M11&lt;0,(M18*$Q$22-M11),IF(--M11&gt;0,M18*$Q$22))/'1.Income statement'!M27</f>
        <v>2155.7495016028129</v>
      </c>
      <c r="N22" s="257">
        <f>IF(--N11&lt;0,(N18*$Q$22-N11),IF(--N11&gt;0,N18*$Q$22))/'1.Income statement'!N27</f>
        <v>2414.4394417951507</v>
      </c>
      <c r="O22" s="294" t="s">
        <v>29</v>
      </c>
      <c r="P22" s="295"/>
      <c r="Q22" s="9">
        <v>18</v>
      </c>
      <c r="R22" s="1"/>
      <c r="S22" s="1"/>
      <c r="T22" s="1"/>
      <c r="U22" s="1"/>
      <c r="V22" s="1"/>
    </row>
    <row r="23" spans="2:22" ht="20" thickBot="1" x14ac:dyDescent="0.25">
      <c r="B23" s="25" t="s">
        <v>23</v>
      </c>
      <c r="C23" s="107">
        <f t="shared" si="1"/>
        <v>0.1445561373964015</v>
      </c>
      <c r="D23" s="107">
        <f t="shared" si="2"/>
        <v>0.14606610764680328</v>
      </c>
      <c r="E23" s="60"/>
      <c r="F23" s="7" t="s">
        <v>19</v>
      </c>
      <c r="G23" s="60"/>
      <c r="H23" s="60"/>
      <c r="I23" s="259">
        <f>((I15*$Q$23)-I11)/'1.Income statement'!I27</f>
        <v>1485.3333333333333</v>
      </c>
      <c r="J23" s="260">
        <f>((J15*$Q$23)-J11)/'1.Income statement'!J27</f>
        <v>1557.2805454545453</v>
      </c>
      <c r="K23" s="260">
        <f>((K15*$Q$23)-K11)/'1.Income statement'!K27</f>
        <v>1801.15903</v>
      </c>
      <c r="L23" s="260">
        <f>((L15*$Q$23)-L11)/'1.Income statement'!L27</f>
        <v>2099.1299794444444</v>
      </c>
      <c r="M23" s="260">
        <f>((M15*$Q$23)-M11)/'1.Income statement'!M27</f>
        <v>2478.0347882187502</v>
      </c>
      <c r="N23" s="261">
        <f>((N15*$Q$23)-N11)/'1.Income statement'!N27</f>
        <v>2768.0656294716669</v>
      </c>
      <c r="O23" s="296" t="s">
        <v>30</v>
      </c>
      <c r="P23" s="296"/>
      <c r="Q23" s="9">
        <v>14</v>
      </c>
      <c r="R23" s="1"/>
      <c r="S23" s="1"/>
      <c r="T23" s="1"/>
      <c r="U23" s="1"/>
      <c r="V23" s="1"/>
    </row>
    <row r="24" spans="2:22" ht="20" thickBot="1" x14ac:dyDescent="0.25">
      <c r="B24" s="26" t="s">
        <v>24</v>
      </c>
      <c r="C24" s="107">
        <f t="shared" si="1"/>
        <v>0.10480235929204862</v>
      </c>
      <c r="D24" s="107">
        <f t="shared" si="2"/>
        <v>0.12193131981646799</v>
      </c>
      <c r="E24" s="125"/>
      <c r="F24" s="126" t="s">
        <v>20</v>
      </c>
      <c r="G24" s="125"/>
      <c r="H24" s="125"/>
      <c r="I24" s="262">
        <f>((I16*$Q$24)-I11)/'1.Income statement'!I27</f>
        <v>1354.5</v>
      </c>
      <c r="J24" s="263">
        <f>((J16*$Q$24)-J11)/'1.Income statement'!J27</f>
        <v>1400.5327272727272</v>
      </c>
      <c r="K24" s="263">
        <f>((K16*$Q$24)-K11)/'1.Income statement'!K27</f>
        <v>1620.1153000000002</v>
      </c>
      <c r="L24" s="263">
        <f>((L16*$Q$24)-L11)/'1.Income statement'!L27</f>
        <v>1887.9122944444446</v>
      </c>
      <c r="M24" s="263">
        <f>((M16*$Q$24)-M11)/'1.Income statement'!M27</f>
        <v>2228.5338978125001</v>
      </c>
      <c r="N24" s="264">
        <f>((N16*$Q$24)-N11)/'1.Income statement'!N27</f>
        <v>2488.6246322166671</v>
      </c>
      <c r="O24" s="296" t="s">
        <v>31</v>
      </c>
      <c r="P24" s="296"/>
      <c r="Q24" s="9">
        <v>15</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2" t="s">
        <v>71</v>
      </c>
      <c r="C3" s="169"/>
      <c r="D3" s="169"/>
      <c r="E3" s="169"/>
      <c r="F3" s="169"/>
      <c r="G3" s="169"/>
    </row>
    <row r="4" spans="2:9" ht="46.5" customHeight="1" x14ac:dyDescent="0.2">
      <c r="B4" s="171" t="s">
        <v>59</v>
      </c>
      <c r="C4" s="166"/>
      <c r="D4" s="166"/>
      <c r="E4" s="155"/>
      <c r="F4" s="166"/>
      <c r="G4" s="166"/>
      <c r="H4" s="166"/>
      <c r="I4" s="170"/>
    </row>
    <row r="5" spans="2:9" ht="21" customHeight="1" x14ac:dyDescent="0.2">
      <c r="B5" s="167"/>
      <c r="C5" s="166"/>
      <c r="D5" s="166"/>
      <c r="E5" s="166"/>
      <c r="F5" s="166"/>
      <c r="G5" s="166"/>
      <c r="H5" s="166"/>
      <c r="I5" s="170"/>
    </row>
    <row r="6" spans="2:9" ht="21" customHeight="1" x14ac:dyDescent="0.2">
      <c r="B6" s="307" t="s">
        <v>72</v>
      </c>
      <c r="C6" s="307"/>
      <c r="D6" s="307"/>
      <c r="E6" s="307"/>
      <c r="F6" s="307"/>
      <c r="G6" s="307"/>
      <c r="H6" s="307"/>
      <c r="I6" s="307"/>
    </row>
    <row r="7" spans="2:9" ht="21" customHeight="1" thickBot="1" x14ac:dyDescent="0.3">
      <c r="B7" s="158"/>
      <c r="C7" s="158"/>
      <c r="D7" s="158"/>
      <c r="E7" s="158"/>
      <c r="F7" s="158"/>
      <c r="G7" s="158"/>
      <c r="H7" s="158"/>
      <c r="I7" s="158"/>
    </row>
    <row r="8" spans="2:9" ht="57" customHeight="1" thickBot="1" x14ac:dyDescent="0.3">
      <c r="B8" s="175" t="s">
        <v>73</v>
      </c>
      <c r="C8" s="158"/>
      <c r="D8" s="158"/>
      <c r="E8" s="158"/>
      <c r="F8" s="158"/>
      <c r="G8" s="158"/>
      <c r="H8" s="158"/>
      <c r="I8" s="158"/>
    </row>
    <row r="9" spans="2:9" s="155" customFormat="1" ht="21" customHeight="1" x14ac:dyDescent="0.2">
      <c r="B9" s="163" t="s">
        <v>61</v>
      </c>
      <c r="C9" s="160"/>
      <c r="D9" s="160"/>
      <c r="E9" s="160"/>
      <c r="F9" s="160"/>
      <c r="G9" s="160"/>
      <c r="H9" s="160"/>
      <c r="I9" s="160"/>
    </row>
    <row r="10" spans="2:9" s="155" customFormat="1" ht="21" customHeight="1" x14ac:dyDescent="0.2">
      <c r="B10" s="161" t="s">
        <v>66</v>
      </c>
      <c r="C10" s="160"/>
      <c r="D10" s="160"/>
      <c r="E10" s="160"/>
      <c r="F10" s="160"/>
      <c r="G10" s="160"/>
      <c r="H10" s="160"/>
      <c r="I10" s="160"/>
    </row>
    <row r="11" spans="2:9" s="155" customFormat="1" ht="21" customHeight="1" x14ac:dyDescent="0.2">
      <c r="B11" s="161" t="s">
        <v>62</v>
      </c>
      <c r="C11" s="160"/>
      <c r="D11" s="160"/>
      <c r="E11" s="160"/>
      <c r="F11" s="160"/>
      <c r="G11" s="160"/>
      <c r="H11" s="160"/>
      <c r="I11" s="160"/>
    </row>
    <row r="12" spans="2:9" s="155" customFormat="1" ht="21" customHeight="1" x14ac:dyDescent="0.2">
      <c r="B12" s="161" t="s">
        <v>63</v>
      </c>
      <c r="C12" s="160"/>
      <c r="D12" s="160"/>
      <c r="E12" s="160"/>
      <c r="F12" s="160"/>
      <c r="G12" s="160"/>
      <c r="H12" s="160"/>
      <c r="I12" s="160"/>
    </row>
    <row r="13" spans="2:9" s="155" customFormat="1" ht="21" customHeight="1" x14ac:dyDescent="0.2">
      <c r="B13" s="161" t="s">
        <v>65</v>
      </c>
      <c r="C13" s="160"/>
      <c r="D13" s="160"/>
      <c r="E13" s="160"/>
      <c r="F13" s="160"/>
      <c r="G13" s="160"/>
      <c r="H13" s="160"/>
      <c r="I13" s="160"/>
    </row>
    <row r="14" spans="2:9" s="155" customFormat="1" ht="21" customHeight="1" x14ac:dyDescent="0.2">
      <c r="B14" s="161" t="s">
        <v>79</v>
      </c>
      <c r="C14" s="160"/>
      <c r="D14" s="160"/>
      <c r="E14" s="160"/>
      <c r="F14" s="160"/>
      <c r="G14" s="160"/>
      <c r="H14" s="160"/>
      <c r="I14" s="160"/>
    </row>
    <row r="15" spans="2:9" s="155" customFormat="1" ht="18" customHeight="1" x14ac:dyDescent="0.2">
      <c r="B15" s="308" t="s">
        <v>64</v>
      </c>
      <c r="C15" s="160"/>
      <c r="D15" s="160"/>
      <c r="E15" s="160"/>
      <c r="F15" s="160"/>
      <c r="G15" s="160"/>
      <c r="H15" s="160"/>
      <c r="I15" s="160"/>
    </row>
    <row r="16" spans="2:9" s="155" customFormat="1" ht="39" customHeight="1" thickBot="1" x14ac:dyDescent="0.25">
      <c r="B16" s="309"/>
      <c r="C16" s="160"/>
      <c r="D16" s="160"/>
      <c r="E16" s="160"/>
      <c r="F16" s="160"/>
      <c r="G16" s="160"/>
      <c r="H16" s="160"/>
      <c r="I16" s="160"/>
    </row>
    <row r="17" spans="2:9" s="155" customFormat="1" ht="57" customHeight="1" thickBot="1" x14ac:dyDescent="0.25">
      <c r="B17" s="176" t="s">
        <v>74</v>
      </c>
      <c r="C17" s="156"/>
      <c r="D17" s="156"/>
      <c r="E17" s="156"/>
      <c r="F17" s="156"/>
      <c r="G17" s="156"/>
      <c r="H17" s="156"/>
      <c r="I17" s="156"/>
    </row>
    <row r="18" spans="2:9" s="155" customFormat="1" ht="23.25" customHeight="1" thickBot="1" x14ac:dyDescent="0.25">
      <c r="B18" s="173" t="s">
        <v>77</v>
      </c>
      <c r="C18" s="159"/>
      <c r="D18" s="159"/>
      <c r="E18" s="159"/>
      <c r="F18" s="159"/>
      <c r="G18" s="159"/>
      <c r="H18" s="159"/>
      <c r="I18" s="159"/>
    </row>
    <row r="19" spans="2:9" ht="57" customHeight="1" thickBot="1" x14ac:dyDescent="0.25">
      <c r="B19" s="176" t="s">
        <v>75</v>
      </c>
      <c r="C19" s="159"/>
      <c r="D19" s="159"/>
      <c r="E19" s="159"/>
      <c r="F19" s="159"/>
      <c r="G19" s="159"/>
      <c r="H19" s="159"/>
      <c r="I19" s="159"/>
    </row>
    <row r="20" spans="2:9" ht="21" customHeight="1" x14ac:dyDescent="0.2">
      <c r="B20" s="310" t="s">
        <v>67</v>
      </c>
      <c r="C20" s="155"/>
      <c r="D20" s="155"/>
      <c r="E20" s="155"/>
      <c r="F20" s="155"/>
      <c r="G20" s="155"/>
      <c r="H20" s="155"/>
      <c r="I20" s="155"/>
    </row>
    <row r="21" spans="2:9" ht="21" customHeight="1" x14ac:dyDescent="0.2">
      <c r="B21" s="308"/>
      <c r="C21" s="159"/>
      <c r="D21" s="159"/>
      <c r="E21" s="159"/>
      <c r="F21" s="159"/>
      <c r="G21" s="159"/>
      <c r="H21" s="159"/>
      <c r="I21" s="159"/>
    </row>
    <row r="22" spans="2:9" ht="33" customHeight="1" thickBot="1" x14ac:dyDescent="0.25">
      <c r="B22" s="309"/>
      <c r="C22" s="159"/>
      <c r="D22" s="159"/>
      <c r="E22" s="159"/>
      <c r="F22" s="159"/>
      <c r="G22" s="159"/>
      <c r="H22" s="159"/>
      <c r="I22" s="159"/>
    </row>
    <row r="23" spans="2:9" ht="57" customHeight="1" thickBot="1" x14ac:dyDescent="0.25">
      <c r="B23" s="176" t="s">
        <v>76</v>
      </c>
      <c r="C23" s="159"/>
      <c r="D23" s="159"/>
      <c r="E23" s="159"/>
      <c r="F23" s="159"/>
      <c r="G23" s="159"/>
      <c r="H23" s="159"/>
      <c r="I23" s="159"/>
    </row>
    <row r="24" spans="2:9" ht="35.25" customHeight="1" x14ac:dyDescent="0.2">
      <c r="B24" s="163" t="s">
        <v>78</v>
      </c>
      <c r="C24" s="159"/>
      <c r="D24" s="159"/>
      <c r="E24" s="159"/>
      <c r="F24" s="159"/>
      <c r="G24" s="159"/>
      <c r="H24" s="159"/>
      <c r="I24" s="159"/>
    </row>
    <row r="25" spans="2:9" ht="72" customHeight="1" thickBot="1" x14ac:dyDescent="0.25">
      <c r="B25" s="162" t="s">
        <v>68</v>
      </c>
      <c r="C25" s="159"/>
      <c r="D25" s="159"/>
      <c r="E25" s="159"/>
      <c r="F25" s="159"/>
      <c r="G25" s="159"/>
      <c r="H25" s="159"/>
      <c r="I25" s="159"/>
    </row>
    <row r="26" spans="2:9" ht="26.25" customHeight="1" x14ac:dyDescent="0.2">
      <c r="B26" s="165"/>
      <c r="C26" s="159"/>
      <c r="D26" s="159"/>
      <c r="E26" s="159"/>
      <c r="F26" s="159"/>
      <c r="G26" s="159"/>
      <c r="H26" s="159"/>
      <c r="I26" s="159"/>
    </row>
    <row r="27" spans="2:9" ht="21" x14ac:dyDescent="0.25">
      <c r="B27" s="174" t="s">
        <v>70</v>
      </c>
      <c r="C27" s="164"/>
      <c r="D27" s="164"/>
      <c r="E27" s="164"/>
    </row>
    <row r="28" spans="2:9" ht="61.5" customHeight="1" x14ac:dyDescent="0.2">
      <c r="B28" s="168" t="s">
        <v>69</v>
      </c>
      <c r="C28" s="166"/>
      <c r="D28" s="166"/>
      <c r="E28" s="166"/>
      <c r="F28" s="166"/>
      <c r="G28" s="166"/>
      <c r="H28" s="166"/>
      <c r="I28" s="166"/>
    </row>
    <row r="29" spans="2:9" ht="28.5" customHeight="1" x14ac:dyDescent="0.2">
      <c r="B29" s="311"/>
      <c r="C29" s="311"/>
      <c r="D29" s="311"/>
      <c r="E29" s="311"/>
      <c r="F29" s="311"/>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2021-04-10T02:26:00Z</dcterms:modified>
</cp:coreProperties>
</file>