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23"/>
  <workbookPr filterPrivacy="1" defaultThemeVersion="124226"/>
  <xr:revisionPtr revIDLastSave="0" documentId="13_ncr:1_{C4461C9D-B89D-7346-AFB3-EEB8590669FD}" xr6:coauthVersionLast="46" xr6:coauthVersionMax="46" xr10:uidLastSave="{00000000-0000-0000-0000-000000000000}"/>
  <bookViews>
    <workbookView xWindow="25600" yWindow="500" windowWidth="25600" windowHeight="26220" activeTab="3" xr2:uid="{00000000-000D-0000-FFFF-FFFF00000000}"/>
  </bookViews>
  <sheets>
    <sheet name="1.Income statement" sheetId="1" r:id="rId1"/>
    <sheet name="2.Flujos de caja" sheetId="2" r:id="rId2"/>
    <sheet name="3.retornos capital" sheetId="3" r:id="rId3"/>
    <sheet name="4. Valoración" sheetId="5" r:id="rId4"/>
    <sheet name="INSTRUCCIONE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 i="3" l="1"/>
  <c r="Q10" i="3"/>
  <c r="C14" i="3"/>
  <c r="D14" i="3"/>
  <c r="E14" i="3"/>
  <c r="F14" i="3"/>
  <c r="G14" i="3"/>
  <c r="C15" i="3"/>
  <c r="D15" i="3"/>
  <c r="E15" i="3"/>
  <c r="F15" i="3"/>
  <c r="G15" i="3"/>
  <c r="C16" i="3"/>
  <c r="D16" i="3"/>
  <c r="E16" i="3"/>
  <c r="F16" i="3"/>
  <c r="G16" i="3"/>
  <c r="C17" i="3"/>
  <c r="D17" i="3"/>
  <c r="E17" i="3"/>
  <c r="F17" i="3"/>
  <c r="G17" i="3"/>
  <c r="I17" i="3"/>
  <c r="I16" i="3"/>
  <c r="I15" i="3"/>
  <c r="H17" i="3"/>
  <c r="H16" i="3"/>
  <c r="H15" i="3"/>
  <c r="I14" i="3"/>
  <c r="H14" i="3"/>
  <c r="C11" i="2"/>
  <c r="D11" i="2"/>
  <c r="E11" i="2"/>
  <c r="F11" i="2"/>
  <c r="G11" i="2"/>
  <c r="H11" i="2"/>
  <c r="I11" i="2"/>
  <c r="N11" i="1"/>
  <c r="M11" i="1"/>
  <c r="L11" i="1"/>
  <c r="K11" i="1"/>
  <c r="D14" i="1"/>
  <c r="E14" i="1"/>
  <c r="F14" i="1"/>
  <c r="G14" i="1"/>
  <c r="H14" i="1"/>
  <c r="H15" i="1"/>
  <c r="I14" i="1"/>
  <c r="F27" i="1"/>
  <c r="G27" i="1"/>
  <c r="H27" i="1"/>
  <c r="I27" i="1"/>
  <c r="H23" i="1"/>
  <c r="I23" i="1"/>
  <c r="C20" i="1"/>
  <c r="D20" i="1"/>
  <c r="E20" i="1"/>
  <c r="F20" i="1"/>
  <c r="G20" i="1"/>
  <c r="I20" i="1"/>
  <c r="H20" i="1"/>
  <c r="C10" i="1"/>
  <c r="D10" i="1"/>
  <c r="E10" i="1"/>
  <c r="F10" i="1"/>
  <c r="G10" i="1"/>
  <c r="E17" i="1"/>
  <c r="F17" i="1"/>
  <c r="G17" i="1"/>
  <c r="H17" i="1"/>
  <c r="I17" i="1"/>
  <c r="C15" i="1"/>
  <c r="D15" i="1"/>
  <c r="E15" i="1"/>
  <c r="F15" i="1"/>
  <c r="G15" i="1"/>
  <c r="I15" i="1"/>
  <c r="I12" i="1" s="1"/>
  <c r="H10" i="1"/>
  <c r="I10" i="1"/>
  <c r="J10" i="1" s="1"/>
  <c r="F31" i="3"/>
  <c r="E31" i="3"/>
  <c r="D31" i="3"/>
  <c r="C31" i="3"/>
  <c r="C20" i="2"/>
  <c r="K10" i="1" l="1"/>
  <c r="L10" i="1" s="1"/>
  <c r="M10" i="1" s="1"/>
  <c r="N10" i="1" s="1"/>
  <c r="C18" i="3"/>
  <c r="E18" i="3"/>
  <c r="G18" i="3"/>
  <c r="H18" i="3"/>
  <c r="F18" i="3"/>
  <c r="D18" i="3"/>
  <c r="I18" i="3"/>
  <c r="J11" i="1"/>
  <c r="E14" i="2" l="1"/>
  <c r="F14" i="2"/>
  <c r="G14" i="2"/>
  <c r="H14" i="2"/>
  <c r="I14" i="2"/>
  <c r="D14" i="2"/>
  <c r="C14" i="2"/>
  <c r="G16" i="1" l="1"/>
  <c r="J11" i="2" l="1"/>
  <c r="H11" i="5" l="1"/>
  <c r="I10" i="5"/>
  <c r="I11" i="5"/>
  <c r="I13" i="5" s="1"/>
  <c r="I16" i="5"/>
  <c r="I19" i="3"/>
  <c r="I10" i="3"/>
  <c r="I11" i="3"/>
  <c r="I12" i="3"/>
  <c r="J14" i="1"/>
  <c r="K14" i="1" s="1"/>
  <c r="L14" i="1" s="1"/>
  <c r="M14" i="1" s="1"/>
  <c r="N14" i="1" s="1"/>
  <c r="J17" i="1"/>
  <c r="K17" i="1" s="1"/>
  <c r="L17" i="1" s="1"/>
  <c r="M17" i="1" s="1"/>
  <c r="N17" i="1" s="1"/>
  <c r="J23" i="1"/>
  <c r="I12" i="2"/>
  <c r="I13" i="2"/>
  <c r="I14" i="5" l="1"/>
  <c r="I24" i="5"/>
  <c r="I22" i="3"/>
  <c r="I23" i="3"/>
  <c r="I11" i="1"/>
  <c r="I13" i="1"/>
  <c r="I16" i="1"/>
  <c r="I19" i="1"/>
  <c r="I21" i="1" s="1"/>
  <c r="I15" i="5" l="1"/>
  <c r="I23" i="5" s="1"/>
  <c r="I10" i="2"/>
  <c r="I15" i="2" s="1"/>
  <c r="I12" i="5"/>
  <c r="I22" i="1"/>
  <c r="I24" i="1" s="1"/>
  <c r="I13" i="3" s="1"/>
  <c r="I18" i="5" l="1"/>
  <c r="I22" i="5" s="1"/>
  <c r="I26" i="1"/>
  <c r="I21" i="3"/>
  <c r="I17" i="5"/>
  <c r="I21" i="5" s="1"/>
  <c r="I25" i="1"/>
  <c r="K23" i="1" l="1"/>
  <c r="L23" i="1" s="1"/>
  <c r="M23" i="1" s="1"/>
  <c r="N23" i="1" s="1"/>
  <c r="G11" i="5" l="1"/>
  <c r="G13" i="5" s="1"/>
  <c r="G19" i="3" l="1"/>
  <c r="F19" i="3"/>
  <c r="E19" i="3"/>
  <c r="D19" i="3"/>
  <c r="C19" i="3"/>
  <c r="G12" i="3"/>
  <c r="F12" i="3"/>
  <c r="E12" i="3"/>
  <c r="D12" i="3"/>
  <c r="C12" i="3"/>
  <c r="G11" i="3"/>
  <c r="F11" i="3"/>
  <c r="E11" i="3"/>
  <c r="D11" i="3"/>
  <c r="C11" i="3"/>
  <c r="G10" i="3"/>
  <c r="F10" i="3"/>
  <c r="E10" i="3"/>
  <c r="D10" i="3"/>
  <c r="C10" i="3"/>
  <c r="J14" i="2"/>
  <c r="K14" i="2"/>
  <c r="L14" i="2"/>
  <c r="M14" i="2"/>
  <c r="N14" i="2"/>
  <c r="G19" i="1"/>
  <c r="G21" i="1" s="1"/>
  <c r="F19" i="1"/>
  <c r="F21" i="1" s="1"/>
  <c r="E19" i="1"/>
  <c r="E22" i="1" s="1"/>
  <c r="E24" i="1" s="1"/>
  <c r="E13" i="3" s="1"/>
  <c r="E21" i="3" s="1"/>
  <c r="D19" i="1"/>
  <c r="D22" i="1" s="1"/>
  <c r="D24" i="1" s="1"/>
  <c r="D13" i="3" s="1"/>
  <c r="D21" i="3" s="1"/>
  <c r="C19" i="1"/>
  <c r="C22" i="1" s="1"/>
  <c r="C24" i="1" s="1"/>
  <c r="C13" i="3" s="1"/>
  <c r="C21" i="3" s="1"/>
  <c r="F16" i="1"/>
  <c r="E16" i="1"/>
  <c r="D16" i="1"/>
  <c r="C16" i="1"/>
  <c r="G12" i="1"/>
  <c r="G13" i="1" s="1"/>
  <c r="F12" i="1"/>
  <c r="F13" i="1" s="1"/>
  <c r="E12" i="1"/>
  <c r="E13" i="1" s="1"/>
  <c r="D12" i="1"/>
  <c r="D13" i="1" s="1"/>
  <c r="C12" i="1"/>
  <c r="C13" i="1" s="1"/>
  <c r="G11" i="1"/>
  <c r="F11" i="1"/>
  <c r="E11" i="1"/>
  <c r="D11" i="1"/>
  <c r="C11" i="1"/>
  <c r="D23" i="3" l="1"/>
  <c r="E23" i="3"/>
  <c r="C23" i="3"/>
  <c r="F23" i="3"/>
  <c r="C22" i="3"/>
  <c r="E22" i="3"/>
  <c r="G22" i="3"/>
  <c r="G23" i="3"/>
  <c r="D22" i="3"/>
  <c r="F22" i="3"/>
  <c r="E26" i="1"/>
  <c r="E25" i="1"/>
  <c r="C26" i="1"/>
  <c r="C25" i="1"/>
  <c r="D25" i="1"/>
  <c r="D26" i="1"/>
  <c r="F22" i="1"/>
  <c r="F24" i="1" s="1"/>
  <c r="F13" i="3" s="1"/>
  <c r="F21" i="3" s="1"/>
  <c r="G22" i="1"/>
  <c r="G24" i="1" s="1"/>
  <c r="G13" i="3" s="1"/>
  <c r="G21" i="3" s="1"/>
  <c r="D21" i="1"/>
  <c r="E21" i="1"/>
  <c r="C21" i="1"/>
  <c r="H12" i="1"/>
  <c r="H19" i="1"/>
  <c r="H22" i="1" s="1"/>
  <c r="H24" i="1" s="1"/>
  <c r="H26" i="1" s="1"/>
  <c r="G26" i="1" l="1"/>
  <c r="G25" i="1"/>
  <c r="F26" i="1"/>
  <c r="F25" i="1"/>
  <c r="H13" i="5" l="1"/>
  <c r="P10" i="3"/>
  <c r="J16" i="3" l="1"/>
  <c r="K16" i="3" s="1"/>
  <c r="L16" i="3" s="1"/>
  <c r="M16" i="3" s="1"/>
  <c r="N16" i="3" s="1"/>
  <c r="J17" i="3"/>
  <c r="K17" i="3" s="1"/>
  <c r="L17" i="3" s="1"/>
  <c r="M17" i="3" s="1"/>
  <c r="N17" i="3" s="1"/>
  <c r="J15" i="3"/>
  <c r="K15" i="3" s="1"/>
  <c r="L15" i="3" s="1"/>
  <c r="M15" i="3" s="1"/>
  <c r="N15" i="3" s="1"/>
  <c r="J14" i="3"/>
  <c r="K14" i="3" s="1"/>
  <c r="L14" i="3" s="1"/>
  <c r="M14" i="3" s="1"/>
  <c r="N14" i="3" s="1"/>
  <c r="C11" i="5"/>
  <c r="C13" i="5" s="1"/>
  <c r="D11" i="5"/>
  <c r="D13" i="5" s="1"/>
  <c r="E11" i="5"/>
  <c r="E13" i="5" s="1"/>
  <c r="F11" i="5"/>
  <c r="F13" i="5" s="1"/>
  <c r="C12" i="5" l="1"/>
  <c r="F12" i="5"/>
  <c r="G12" i="5"/>
  <c r="D12" i="5"/>
  <c r="E12" i="5"/>
  <c r="H19" i="3"/>
  <c r="H16" i="5" l="1"/>
  <c r="G16" i="5"/>
  <c r="F16" i="5"/>
  <c r="E16" i="5"/>
  <c r="D16" i="5"/>
  <c r="C16" i="5"/>
  <c r="N10" i="5"/>
  <c r="N14" i="5" s="1"/>
  <c r="M10" i="5"/>
  <c r="M14" i="5" s="1"/>
  <c r="L10" i="5"/>
  <c r="L14" i="5" s="1"/>
  <c r="K10" i="5"/>
  <c r="K14" i="5" s="1"/>
  <c r="J10" i="5"/>
  <c r="J14" i="5" s="1"/>
  <c r="H12" i="3" l="1"/>
  <c r="H11" i="3"/>
  <c r="H10" i="3"/>
  <c r="H23" i="3" s="1"/>
  <c r="H22" i="3" l="1"/>
  <c r="H16" i="1" l="1"/>
  <c r="C15" i="5"/>
  <c r="D15" i="5"/>
  <c r="E15" i="5"/>
  <c r="F15" i="5"/>
  <c r="G15" i="5"/>
  <c r="H15" i="5" l="1"/>
  <c r="H12" i="5"/>
  <c r="J13" i="5"/>
  <c r="J19" i="3" l="1"/>
  <c r="J18" i="3"/>
  <c r="K11" i="2"/>
  <c r="C13" i="2"/>
  <c r="D13" i="2"/>
  <c r="E13" i="2"/>
  <c r="F13" i="2"/>
  <c r="G13" i="2"/>
  <c r="H13" i="2"/>
  <c r="C12" i="2"/>
  <c r="D12" i="2"/>
  <c r="E12" i="2"/>
  <c r="F12" i="2"/>
  <c r="G12" i="2"/>
  <c r="H12" i="2"/>
  <c r="C10" i="2"/>
  <c r="D10" i="2"/>
  <c r="E10" i="2"/>
  <c r="F10" i="2"/>
  <c r="G10" i="2"/>
  <c r="H10" i="2"/>
  <c r="K21" i="1"/>
  <c r="L21" i="1"/>
  <c r="M21" i="1"/>
  <c r="N21" i="1"/>
  <c r="J21" i="1"/>
  <c r="H13" i="1"/>
  <c r="J15" i="1"/>
  <c r="H11" i="1"/>
  <c r="L11" i="2" l="1"/>
  <c r="C15" i="2"/>
  <c r="C18" i="5" s="1"/>
  <c r="F15" i="2"/>
  <c r="F18" i="5" s="1"/>
  <c r="G15" i="2"/>
  <c r="G18" i="5" s="1"/>
  <c r="D15" i="2"/>
  <c r="D18" i="5" s="1"/>
  <c r="E15" i="2"/>
  <c r="E18" i="5" s="1"/>
  <c r="K18" i="3"/>
  <c r="K13" i="5"/>
  <c r="H15" i="2"/>
  <c r="H18" i="5" s="1"/>
  <c r="K19" i="3"/>
  <c r="J16" i="5"/>
  <c r="J24" i="5" s="1"/>
  <c r="J10" i="3"/>
  <c r="J23" i="3" s="1"/>
  <c r="J12" i="2"/>
  <c r="J11" i="3"/>
  <c r="J12" i="1"/>
  <c r="J16" i="1"/>
  <c r="K15" i="1"/>
  <c r="H21" i="1"/>
  <c r="M11" i="2" l="1"/>
  <c r="L18" i="3"/>
  <c r="L13" i="5"/>
  <c r="L19" i="3"/>
  <c r="J22" i="3"/>
  <c r="K16" i="5"/>
  <c r="K24" i="5" s="1"/>
  <c r="K10" i="3"/>
  <c r="J12" i="5"/>
  <c r="J15" i="5"/>
  <c r="J23" i="5" s="1"/>
  <c r="J13" i="1"/>
  <c r="L12" i="2"/>
  <c r="K11" i="3"/>
  <c r="K12" i="2"/>
  <c r="K12" i="1"/>
  <c r="K16" i="1"/>
  <c r="L15" i="1"/>
  <c r="D16" i="2"/>
  <c r="C16" i="2"/>
  <c r="H16" i="2"/>
  <c r="G16" i="2"/>
  <c r="F16" i="2"/>
  <c r="E16" i="2"/>
  <c r="N11" i="2" l="1"/>
  <c r="M18" i="3"/>
  <c r="M13" i="5"/>
  <c r="M19" i="3"/>
  <c r="C17" i="5"/>
  <c r="G17" i="5"/>
  <c r="F17" i="5"/>
  <c r="L16" i="5"/>
  <c r="L24" i="5" s="1"/>
  <c r="C24" i="5" s="1"/>
  <c r="L10" i="3"/>
  <c r="L23" i="3" s="1"/>
  <c r="H25" i="1"/>
  <c r="M12" i="2"/>
  <c r="L11" i="3"/>
  <c r="K15" i="5"/>
  <c r="K23" i="5" s="1"/>
  <c r="K12" i="5"/>
  <c r="K13" i="1"/>
  <c r="H17" i="5"/>
  <c r="H13" i="3"/>
  <c r="H21" i="3" s="1"/>
  <c r="K22" i="3"/>
  <c r="K23" i="3"/>
  <c r="M15" i="1"/>
  <c r="L12" i="1"/>
  <c r="L16" i="1"/>
  <c r="N18" i="3" l="1"/>
  <c r="N13" i="5"/>
  <c r="N19" i="3"/>
  <c r="L22" i="3"/>
  <c r="D17" i="5"/>
  <c r="M11" i="3"/>
  <c r="L15" i="5"/>
  <c r="L23" i="5" s="1"/>
  <c r="C23" i="5" s="1"/>
  <c r="L12" i="5"/>
  <c r="L13" i="1"/>
  <c r="M16" i="5"/>
  <c r="M24" i="5" s="1"/>
  <c r="M10" i="3"/>
  <c r="E17" i="5"/>
  <c r="N15" i="1"/>
  <c r="M16" i="1"/>
  <c r="M12" i="1"/>
  <c r="N11" i="3" l="1"/>
  <c r="N12" i="2"/>
  <c r="N16" i="5"/>
  <c r="N24" i="5" s="1"/>
  <c r="D24" i="5" s="1"/>
  <c r="N10" i="3"/>
  <c r="N22" i="3" s="1"/>
  <c r="M22" i="3"/>
  <c r="M23" i="3"/>
  <c r="M15" i="5"/>
  <c r="M23" i="5" s="1"/>
  <c r="M12" i="5"/>
  <c r="M13" i="1"/>
  <c r="N16" i="1"/>
  <c r="N12" i="1"/>
  <c r="N23" i="3" l="1"/>
  <c r="N15" i="5"/>
  <c r="N23" i="5" s="1"/>
  <c r="D23" i="5" s="1"/>
  <c r="N12" i="5"/>
  <c r="N13" i="1"/>
  <c r="J10" i="2"/>
  <c r="K19" i="1"/>
  <c r="K10" i="2"/>
  <c r="L10" i="2"/>
  <c r="N10" i="2"/>
  <c r="M10" i="2"/>
  <c r="I16" i="2" l="1"/>
  <c r="N19" i="1"/>
  <c r="N20" i="1" s="1"/>
  <c r="K20" i="1"/>
  <c r="J19" i="1"/>
  <c r="L19" i="1"/>
  <c r="M19" i="1"/>
  <c r="K22" i="1" l="1"/>
  <c r="K24" i="1" s="1"/>
  <c r="K12" i="3"/>
  <c r="N13" i="2"/>
  <c r="N15" i="2" s="1"/>
  <c r="N12" i="3"/>
  <c r="N22" i="1"/>
  <c r="M20" i="1"/>
  <c r="K13" i="2"/>
  <c r="K15" i="2" s="1"/>
  <c r="L20" i="1"/>
  <c r="J20" i="1"/>
  <c r="K18" i="5" l="1"/>
  <c r="K22" i="5" s="1"/>
  <c r="N18" i="5"/>
  <c r="N22" i="5" s="1"/>
  <c r="D22" i="5" s="1"/>
  <c r="L22" i="1"/>
  <c r="L24" i="1" s="1"/>
  <c r="L12" i="3"/>
  <c r="K17" i="5"/>
  <c r="K21" i="5" s="1"/>
  <c r="K13" i="3"/>
  <c r="K21" i="3" s="1"/>
  <c r="M22" i="1"/>
  <c r="M24" i="1" s="1"/>
  <c r="M12" i="3"/>
  <c r="J22" i="1"/>
  <c r="J24" i="1" s="1"/>
  <c r="J12" i="3"/>
  <c r="K26" i="1"/>
  <c r="K25" i="1"/>
  <c r="N24" i="1"/>
  <c r="J13" i="2"/>
  <c r="J15" i="2" s="1"/>
  <c r="M13" i="2"/>
  <c r="M15" i="2" s="1"/>
  <c r="L13" i="2"/>
  <c r="L15" i="2" s="1"/>
  <c r="K16" i="2" l="1"/>
  <c r="N16" i="2"/>
  <c r="L18" i="5"/>
  <c r="L22" i="5" s="1"/>
  <c r="C22" i="5" s="1"/>
  <c r="M18" i="5"/>
  <c r="M22" i="5" s="1"/>
  <c r="J18" i="5"/>
  <c r="J22" i="5" s="1"/>
  <c r="M17" i="5"/>
  <c r="M21" i="5" s="1"/>
  <c r="M13" i="3"/>
  <c r="M21" i="3" s="1"/>
  <c r="J17" i="5"/>
  <c r="J21" i="5" s="1"/>
  <c r="J13" i="3"/>
  <c r="J21" i="3" s="1"/>
  <c r="L17" i="5"/>
  <c r="L13" i="3"/>
  <c r="L21" i="3" s="1"/>
  <c r="N17" i="5"/>
  <c r="N13" i="3"/>
  <c r="N21" i="3" s="1"/>
  <c r="N25" i="1"/>
  <c r="N26" i="1"/>
  <c r="L26" i="1"/>
  <c r="L25" i="1"/>
  <c r="J26" i="1"/>
  <c r="M26" i="1"/>
  <c r="M25" i="1"/>
  <c r="J25" i="1"/>
  <c r="J16" i="2" l="1"/>
  <c r="M16" i="2"/>
  <c r="L16" i="2"/>
  <c r="N21" i="5"/>
  <c r="D21" i="5" s="1"/>
  <c r="L21" i="5"/>
  <c r="C21"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5" authorId="0" shapeId="0" xr:uid="{00000000-0006-0000-0000-000001000000}">
      <text>
        <r>
          <rPr>
            <b/>
            <sz val="9"/>
            <color rgb="FF000000"/>
            <rFont val="Tahoma"/>
            <family val="2"/>
          </rPr>
          <t>Author:</t>
        </r>
        <r>
          <rPr>
            <sz val="9"/>
            <color rgb="FF000000"/>
            <rFont val="Tahoma"/>
            <family val="2"/>
          </rPr>
          <t xml:space="preserve">
</t>
        </r>
        <r>
          <rPr>
            <sz val="9"/>
            <color rgb="FF000000"/>
            <rFont val="Tahoma"/>
            <family val="2"/>
          </rPr>
          <t>EBIT, a veces aparece con nombres como: beneficio operativo, operating income</t>
        </r>
      </text>
    </comment>
    <comment ref="B17" authorId="0" shapeId="0" xr:uid="{00000000-0006-0000-0000-000002000000}">
      <text>
        <r>
          <rPr>
            <b/>
            <sz val="9"/>
            <color rgb="FF000000"/>
            <rFont val="Tahoma"/>
            <family val="2"/>
          </rPr>
          <t>Author:</t>
        </r>
        <r>
          <rPr>
            <sz val="9"/>
            <color rgb="FF000000"/>
            <rFont val="Tahoma"/>
            <family val="2"/>
          </rPr>
          <t xml:space="preserve">
</t>
        </r>
        <r>
          <rPr>
            <sz val="9"/>
            <color rgb="FF000000"/>
            <rFont val="Tahoma"/>
            <family val="2"/>
          </rPr>
          <t>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G17" authorId="0" shapeId="0" xr:uid="{150DA3F7-91B6-4C5C-B128-F2B8964D314B}">
      <text>
        <r>
          <rPr>
            <b/>
            <sz val="9"/>
            <color rgb="FF000000"/>
            <rFont val="Tahoma"/>
            <family val="2"/>
          </rPr>
          <t>Author:</t>
        </r>
        <r>
          <rPr>
            <sz val="9"/>
            <color rgb="FF000000"/>
            <rFont val="Tahoma"/>
            <family val="2"/>
          </rPr>
          <t xml:space="preserve">
</t>
        </r>
        <r>
          <rPr>
            <sz val="9"/>
            <color rgb="FF000000"/>
            <rFont val="Tahoma"/>
            <family val="2"/>
          </rPr>
          <t>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H17" authorId="0" shapeId="0" xr:uid="{1238ECEB-7400-4CBF-BB9B-1EFB27574DA7}">
      <text>
        <r>
          <rPr>
            <b/>
            <sz val="9"/>
            <color rgb="FF000000"/>
            <rFont val="Tahoma"/>
            <family val="2"/>
          </rPr>
          <t>Author:</t>
        </r>
        <r>
          <rPr>
            <sz val="9"/>
            <color rgb="FF000000"/>
            <rFont val="Tahoma"/>
            <family val="2"/>
          </rPr>
          <t xml:space="preserve">
</t>
        </r>
        <r>
          <rPr>
            <sz val="9"/>
            <color rgb="FF000000"/>
            <rFont val="Tahoma"/>
            <family val="2"/>
          </rPr>
          <t>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B20" authorId="0" shapeId="0" xr:uid="{00000000-0006-0000-0000-000005000000}">
      <text>
        <r>
          <rPr>
            <b/>
            <sz val="9"/>
            <color rgb="FF000000"/>
            <rFont val="Tahoma"/>
            <family val="2"/>
          </rPr>
          <t>A. Estebaran</t>
        </r>
      </text>
    </comment>
    <comment ref="D32" authorId="0" shapeId="0" xr:uid="{15072159-E5AB-B740-A728-DF04F01AE1B5}">
      <text>
        <r>
          <rPr>
            <b/>
            <sz val="10"/>
            <color rgb="FF000000"/>
            <rFont val="Tahoma"/>
            <family val="2"/>
          </rPr>
          <t xml:space="preserve">Author:
</t>
        </r>
        <r>
          <rPr>
            <sz val="10"/>
            <color rgb="FF000000"/>
            <rFont val="Calibri"/>
            <family val="2"/>
          </rPr>
          <t xml:space="preserve">EBIT, a veces aparece con nombres como: beneficio operativo, operating income
</t>
        </r>
      </text>
    </comment>
    <comment ref="E32" authorId="0" shapeId="0" xr:uid="{447F62D9-81F9-1749-8A6A-19E52A8EE8CD}">
      <text>
        <r>
          <rPr>
            <b/>
            <sz val="10"/>
            <color rgb="FF000000"/>
            <rFont val="Tahoma"/>
            <family val="2"/>
          </rPr>
          <t xml:space="preserve">Author:
</t>
        </r>
        <r>
          <rPr>
            <sz val="10"/>
            <color rgb="FF000000"/>
            <rFont val="Calibri"/>
            <family val="2"/>
          </rPr>
          <t xml:space="preserve">En la plantilla de ejemplo. Neurones no tiene deuda y mucha caja, por eso ingresa intereses en vez de pagarlos y aparece con signo negativo. Lo normal en el 90% de la empresas es que tengan pago de intereses y hay que introducir el valor de esos pagos con signo positivo.
</t>
        </r>
        <r>
          <rPr>
            <b/>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1" authorId="0" shapeId="0" xr:uid="{00000000-0006-0000-0100-000001000000}">
      <text>
        <r>
          <rPr>
            <b/>
            <sz val="9"/>
            <color rgb="FF000000"/>
            <rFont val="Tahoma"/>
            <family val="2"/>
          </rPr>
          <t>Author:</t>
        </r>
        <r>
          <rPr>
            <sz val="9"/>
            <color rgb="FF000000"/>
            <rFont val="Tahoma"/>
            <family val="2"/>
          </rPr>
          <t xml:space="preserve">
</t>
        </r>
        <r>
          <rPr>
            <sz val="9"/>
            <color rgb="FF000000"/>
            <rFont val="Tahoma"/>
            <family val="2"/>
          </rPr>
          <t>Aparece en los informes como investment in property, ó inversion en activos fijos, ó como "capital expenditures.</t>
        </r>
      </text>
    </comment>
    <comment ref="C20" authorId="0" shapeId="0" xr:uid="{D99E33BC-2211-F94A-8A74-66E1426E04BF}">
      <text>
        <r>
          <rPr>
            <b/>
            <sz val="10"/>
            <color rgb="FF000000"/>
            <rFont val="Tahoma"/>
            <family val="2"/>
          </rPr>
          <t xml:space="preserve">Author:
</t>
        </r>
        <r>
          <rPr>
            <sz val="10"/>
            <color rgb="FF000000"/>
            <rFont val="Calibri"/>
            <family val="2"/>
          </rPr>
          <t xml:space="preserve">Aparece en los informes como investment in property, ó inversion en activos fijos, ó como "capital expenditures.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5" authorId="0" shapeId="0" xr:uid="{00000000-0006-0000-0200-000001000000}">
      <text>
        <r>
          <rPr>
            <b/>
            <sz val="9"/>
            <color rgb="FF000000"/>
            <rFont val="Tahoma"/>
            <family val="2"/>
          </rPr>
          <t>Author:</t>
        </r>
        <r>
          <rPr>
            <sz val="9"/>
            <color rgb="FF000000"/>
            <rFont val="Tahoma"/>
            <family val="2"/>
          </rPr>
          <t xml:space="preserve">
</t>
        </r>
        <r>
          <rPr>
            <sz val="9"/>
            <color rgb="FF000000"/>
            <rFont val="Tahoma"/>
            <family val="2"/>
          </rPr>
          <t>Deuda que requiera pago de intereses, tanto a corto plazo como a largo plazo.</t>
        </r>
      </text>
    </comment>
    <comment ref="B17" authorId="0" shapeId="0" xr:uid="{00000000-0006-0000-0200-000002000000}">
      <text>
        <r>
          <rPr>
            <b/>
            <sz val="9"/>
            <color rgb="FF000000"/>
            <rFont val="Tahoma"/>
            <family val="2"/>
          </rPr>
          <t>Author:</t>
        </r>
        <r>
          <rPr>
            <sz val="9"/>
            <color rgb="FF000000"/>
            <rFont val="Tahoma"/>
            <family val="2"/>
          </rPr>
          <t xml:space="preserve">
</t>
        </r>
        <r>
          <rPr>
            <sz val="9"/>
            <color rgb="FF000000"/>
            <rFont val="Tahoma"/>
            <family val="2"/>
          </rPr>
          <t>Si la equity aparece con signo negativo en los informes hemos de introducir la cifra con signo negativo.</t>
        </r>
      </text>
    </comment>
    <comment ref="D31" authorId="0" shapeId="0" xr:uid="{1A34367D-336C-094D-8285-58854E42CC75}">
      <text>
        <r>
          <rPr>
            <sz val="12"/>
            <color rgb="FF000000"/>
            <rFont val="Calibri"/>
            <family val="2"/>
          </rPr>
          <t>Deuda que requiera pago de intereses, tanto a corto plazo como a largo plazo.</t>
        </r>
        <r>
          <rPr>
            <sz val="7"/>
            <color rgb="FF000000"/>
            <rFont val="Calibri"/>
            <family val="2"/>
          </rPr>
          <t xml:space="preserve">
</t>
        </r>
        <r>
          <rPr>
            <sz val="7"/>
            <color rgb="FF000000"/>
            <rFont val="Tahoma"/>
            <family val="2"/>
          </rPr>
          <t xml:space="preserve">
</t>
        </r>
      </text>
    </comment>
    <comment ref="F31" authorId="0" shapeId="0" xr:uid="{B525A2C6-994D-4A45-9669-DA3C62170EEB}">
      <text>
        <r>
          <rPr>
            <b/>
            <sz val="10"/>
            <color rgb="FF000000"/>
            <rFont val="Tahoma"/>
            <family val="2"/>
          </rPr>
          <t xml:space="preserve">Author:
</t>
        </r>
        <r>
          <rPr>
            <sz val="10"/>
            <color rgb="FF000000"/>
            <rFont val="Calibri"/>
            <family val="2"/>
            <scheme val="minor"/>
          </rPr>
          <t>Si la equity aparece con signo negativo en los informes hemos de introducir la cifra con signo negativo.</t>
        </r>
        <r>
          <rPr>
            <sz val="10"/>
            <color rgb="FF000000"/>
            <rFont val="Calibri"/>
            <family val="2"/>
            <scheme val="minor"/>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1" authorId="0" shapeId="0" xr:uid="{00000000-0006-0000-0300-000001000000}">
      <text>
        <r>
          <rPr>
            <b/>
            <sz val="9"/>
            <color rgb="FF000000"/>
            <rFont val="Tahoma"/>
            <family val="2"/>
          </rPr>
          <t>Author:</t>
        </r>
        <r>
          <rPr>
            <sz val="9"/>
            <color rgb="FF000000"/>
            <rFont val="Tahoma"/>
            <family val="2"/>
          </rPr>
          <t xml:space="preserve">
</t>
        </r>
        <r>
          <rPr>
            <sz val="9"/>
            <color rgb="FF000000"/>
            <rFont val="Tahoma"/>
            <family val="2"/>
          </rPr>
          <t xml:space="preserve">Si la empresa posee caja neta introducir con signo negativo
</t>
        </r>
      </text>
    </comment>
    <comment ref="J11" authorId="0" shapeId="0" xr:uid="{00000000-0006-0000-0300-000002000000}">
      <text>
        <r>
          <rPr>
            <b/>
            <sz val="9"/>
            <color rgb="FF000000"/>
            <rFont val="Tahoma"/>
            <family val="2"/>
          </rPr>
          <t>Author:</t>
        </r>
        <r>
          <rPr>
            <sz val="9"/>
            <color rgb="FF000000"/>
            <rFont val="Tahoma"/>
            <family val="2"/>
          </rPr>
          <t xml:space="preserve">
</t>
        </r>
        <r>
          <rPr>
            <sz val="9"/>
            <color rgb="FF000000"/>
            <rFont val="Tahoma"/>
            <family val="2"/>
          </rPr>
          <t>Si la empresa posee caja neta introducir con signo negativo</t>
        </r>
      </text>
    </comment>
    <comment ref="K11" authorId="0" shapeId="0" xr:uid="{00000000-0006-0000-0300-000003000000}">
      <text>
        <r>
          <rPr>
            <b/>
            <sz val="9"/>
            <color rgb="FF000000"/>
            <rFont val="Tahoma"/>
            <family val="2"/>
          </rPr>
          <t>Author:</t>
        </r>
        <r>
          <rPr>
            <sz val="9"/>
            <color rgb="FF000000"/>
            <rFont val="Tahoma"/>
            <family val="2"/>
          </rPr>
          <t xml:space="preserve">
</t>
        </r>
        <r>
          <rPr>
            <sz val="9"/>
            <color rgb="FF000000"/>
            <rFont val="Tahoma"/>
            <family val="2"/>
          </rPr>
          <t>Si la empresa posee caja neta introducir con signo negativo</t>
        </r>
      </text>
    </comment>
    <comment ref="N11" authorId="0" shapeId="0" xr:uid="{00000000-0006-0000-0300-000004000000}">
      <text>
        <r>
          <rPr>
            <b/>
            <sz val="9"/>
            <color indexed="81"/>
            <rFont val="Tahoma"/>
            <family val="2"/>
          </rPr>
          <t>Author:</t>
        </r>
        <r>
          <rPr>
            <sz val="9"/>
            <color indexed="81"/>
            <rFont val="Tahoma"/>
            <family val="2"/>
          </rPr>
          <t xml:space="preserve">
Si la empresa posee caja neta introducir con signo negativo</t>
        </r>
      </text>
    </comment>
  </commentList>
</comments>
</file>

<file path=xl/sharedStrings.xml><?xml version="1.0" encoding="utf-8"?>
<sst xmlns="http://schemas.openxmlformats.org/spreadsheetml/2006/main" count="105" uniqueCount="91">
  <si>
    <t>Depreciation &amp; Amortization Expense</t>
  </si>
  <si>
    <t>Pretax Income</t>
  </si>
  <si>
    <t>Income Taxes</t>
  </si>
  <si>
    <t>Consolidated Net Income</t>
  </si>
  <si>
    <t>Minority Interest</t>
  </si>
  <si>
    <t>Net Income</t>
  </si>
  <si>
    <t>EBITDA</t>
  </si>
  <si>
    <t xml:space="preserve">EBIT </t>
  </si>
  <si>
    <t>Flujo de caja libre</t>
  </si>
  <si>
    <t>Flujo de caja libre por accion</t>
  </si>
  <si>
    <t xml:space="preserve">   tax rate</t>
  </si>
  <si>
    <t>EBIT</t>
  </si>
  <si>
    <t>Net income</t>
  </si>
  <si>
    <t>FCF</t>
  </si>
  <si>
    <t>Cotización actual</t>
  </si>
  <si>
    <t>Sales</t>
  </si>
  <si>
    <t xml:space="preserve">    EBITDA margin %</t>
  </si>
  <si>
    <t xml:space="preserve">    EBIT margin %</t>
  </si>
  <si>
    <t>Net income per share ( EPS )</t>
  </si>
  <si>
    <t>Price target  EV/EBITDA</t>
  </si>
  <si>
    <t>Price target  EV/EBIT</t>
  </si>
  <si>
    <t>CAGR  by PER</t>
  </si>
  <si>
    <t>CAGR  by  P/FCF</t>
  </si>
  <si>
    <t>CAGR by EV/EBITDA</t>
  </si>
  <si>
    <t>CAGR  by EV/EBIT</t>
  </si>
  <si>
    <t>Enterprise Value ( EV )</t>
  </si>
  <si>
    <t>Market cap</t>
  </si>
  <si>
    <t>Valuation  ( millons ,except EPS )</t>
  </si>
  <si>
    <t>Multiple PER</t>
  </si>
  <si>
    <t>Multiple P/FCF</t>
  </si>
  <si>
    <t>Multiple EV/EBITDA</t>
  </si>
  <si>
    <t>Multiple EV/EBIT</t>
  </si>
  <si>
    <t>MARGEN EBIT</t>
  </si>
  <si>
    <t>CRECIMIENTO</t>
  </si>
  <si>
    <t>TAX RATE</t>
  </si>
  <si>
    <t xml:space="preserve">    Y/Y Growth %</t>
  </si>
  <si>
    <t>Income Statement (millons ,excepto EPS)</t>
  </si>
  <si>
    <t xml:space="preserve">    Margen beneficio neto %</t>
  </si>
  <si>
    <t>Cash flow Statement (millones ,excepto EPS)</t>
  </si>
  <si>
    <t>Intereses</t>
  </si>
  <si>
    <t>Capex (introducir manual)</t>
  </si>
  <si>
    <t>Tasas</t>
  </si>
  <si>
    <t>Retornos capital (millones ,excepto EPS)</t>
  </si>
  <si>
    <t>Interest</t>
  </si>
  <si>
    <t xml:space="preserve">(+) Deuda total </t>
  </si>
  <si>
    <t xml:space="preserve">(+) Goodwill </t>
  </si>
  <si>
    <t>(+) Equity</t>
  </si>
  <si>
    <t>(+) Cash and cash equivalents</t>
  </si>
  <si>
    <r>
      <rPr>
        <b/>
        <sz val="11"/>
        <color theme="1"/>
        <rFont val="Calibri"/>
        <family val="2"/>
        <scheme val="minor"/>
      </rPr>
      <t>ROE</t>
    </r>
    <r>
      <rPr>
        <sz val="11"/>
        <color theme="1"/>
        <rFont val="Calibri"/>
        <family val="2"/>
        <scheme val="minor"/>
      </rPr>
      <t xml:space="preserve"> ( net income / equity )</t>
    </r>
  </si>
  <si>
    <t>3 YEARS</t>
  </si>
  <si>
    <t>5 YEARS</t>
  </si>
  <si>
    <t>Capital empleado con goodwill</t>
  </si>
  <si>
    <t>Capital empleado sin goodwill</t>
  </si>
  <si>
    <r>
      <rPr>
        <b/>
        <sz val="11"/>
        <color theme="1"/>
        <rFont val="Calibri"/>
        <family val="2"/>
        <scheme val="minor"/>
      </rPr>
      <t>ROCE con goodwill</t>
    </r>
    <r>
      <rPr>
        <sz val="11"/>
        <color theme="1"/>
        <rFont val="Calibri"/>
        <family val="2"/>
        <scheme val="minor"/>
      </rPr>
      <t>( EBIT / Capital empleado)</t>
    </r>
  </si>
  <si>
    <r>
      <rPr>
        <b/>
        <sz val="11"/>
        <color theme="1"/>
        <rFont val="Calibri"/>
        <family val="2"/>
        <scheme val="minor"/>
      </rPr>
      <t xml:space="preserve">ROCE sin goodwill </t>
    </r>
    <r>
      <rPr>
        <sz val="11"/>
        <color theme="1"/>
        <rFont val="Calibri"/>
        <family val="2"/>
        <scheme val="minor"/>
      </rPr>
      <t>(EBIT / Capital empleado)</t>
    </r>
  </si>
  <si>
    <r>
      <rPr>
        <b/>
        <sz val="12"/>
        <rFont val="Calibri"/>
        <family val="2"/>
        <scheme val="minor"/>
      </rPr>
      <t>Interest expense/ Income</t>
    </r>
    <r>
      <rPr>
        <sz val="12"/>
        <rFont val="Calibri"/>
        <family val="2"/>
        <scheme val="minor"/>
      </rPr>
      <t xml:space="preserve"> (introducir en negativo si es un ingreso) </t>
    </r>
  </si>
  <si>
    <t>Fully diluted shares  (millions)</t>
  </si>
  <si>
    <t>Price target  P/FCF +caja</t>
  </si>
  <si>
    <t>Price target  PER+caja</t>
  </si>
  <si>
    <t>La hoja excel consta de 4 pestañas y en todas hay que rellenar datos, en concreto todas aquellas casillas que esten en sombredo gris.</t>
  </si>
  <si>
    <t xml:space="preserve">Net DEBT  (-) si es caja neta </t>
  </si>
  <si>
    <t>Ventas ( sales )</t>
  </si>
  <si>
    <t>D&amp;A ( depreciacion y amortizacion)</t>
  </si>
  <si>
    <t>intereses ( o ingresos financieros)</t>
  </si>
  <si>
    <t>En la parte derecha hemos de rellenar las 3 casillas de estimaciones futuras ( crecimiento, margenes EBIT  y tasa impositiva ) casillas P11, P16, P21. La linea de intereses minoritarios hemos de rellenarla, aunque si supone poco % sobre el total del beneficio lo podemos dejar a cero.</t>
  </si>
  <si>
    <t>impuestos (income tax )</t>
  </si>
  <si>
    <t>EBIT ( operating income)</t>
  </si>
  <si>
    <t>En la pestaña de retornos sobre el capital rellenamos de nuevo las casillas, teniendo cuidado de hacerlo siempre con el mismo signo que aparezca en los informes de la empresa (recordad que si en un informe de una empresa aparece un número entre paréntesis significa signo negativo y hay que introducir con un signo de resta delante. Esto suele suceder a veces con las casillas correspondientes a la "equity".</t>
  </si>
  <si>
    <t>Tambien hemos de rellenar la parte de net debt ( deuda neta) de la empresa, que tenemos que estimar tal y como vimos en el curso avanzado. Es un dato que hemos de introducir, no se encuentra en los informes ya que es una estimacion del futuro. Si la empresa posee caja neta en vez de deuda, debemos introducir con signo negativo para reflejarlo.</t>
  </si>
  <si>
    <t>Ante todo piensa si tiene sentido los datos que introduces, usa el sentido común. No pasa nada si los datos no son exactos, la valoración no es una ciencia exacta sino mas bien una opinion. Si salen resultados muy extraños analiza todos los datos introducidos. Practica mucho te llevará varias repeticiones usar correctamente la plantilla.</t>
  </si>
  <si>
    <t>Comentario general:</t>
  </si>
  <si>
    <t>PAUTAS PARA RELLENAR LA HOJA DE EXCEL</t>
  </si>
  <si>
    <t>En las siguientes pestañas hay que rellenar:</t>
  </si>
  <si>
    <t xml:space="preserve">Hoja de Income Statement </t>
  </si>
  <si>
    <t>Hoja de Flujos de Caja</t>
  </si>
  <si>
    <t>Hoja de Retornos capital</t>
  </si>
  <si>
    <t>Hoja de Valoración</t>
  </si>
  <si>
    <t>Hemos de rellenar las parte de capex.( según las indicaciones en la clase correspondiente )</t>
  </si>
  <si>
    <t xml:space="preserve"> tenemos que introducir el precio al que cotiza, y los multiplos de valoración. ( según las indicaciones en la clase correspondiente )</t>
  </si>
  <si>
    <t>numero de acciones diluidas / intereses minoritarios</t>
  </si>
  <si>
    <t>Minoritarios (si procede)</t>
  </si>
  <si>
    <t>Deuda neta /EBITDA</t>
  </si>
  <si>
    <t>Deuda neta/equity</t>
  </si>
  <si>
    <t>AÑO</t>
  </si>
  <si>
    <t>Cambio Moneda al US DOLLAR</t>
  </si>
  <si>
    <t xml:space="preserve">Interest expense/ Income (introducir en negativo si es un ingreso) </t>
  </si>
  <si>
    <t>MTY FOODS</t>
  </si>
  <si>
    <t>`Industry: Hotels, Restaurants and Leisure
mtygroup.com
MTY Food Group Inc. franchises and operates quick service, fast casual, and casual dining restaurants in Canada, the United States, and internationally. The company franchises and operates corporate-owned locations in the quick service restaurant and casual dining segments of the restaurant industry; and sells retail products under a multitude of banners. It also operates two distribution centers and two food processing plants. As of November 30, 2020, the company had 7,001 locations comprising 6,867 franchised, 21 joint ventures, and 113 corporate locations. The company was formerly known as iNsu Innovations Group Inc. and changed its name to MTY Food Group Inc. in July 2003. MTY Food Group Inc. was founded in 1979 and is headquartered in Saint-Laurent, Canada.</t>
  </si>
  <si>
    <t>1 AÑO</t>
  </si>
  <si>
    <t>2 AÑO</t>
  </si>
  <si>
    <t>3ER AÑO EN ADELANTE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</si>
</sst>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00\ &quot;€&quot;_-;\-* #,##0.00\ &quot;€&quot;_-;_-* &quot;-&quot;??\ &quot;€&quot;_-;_-@_-"/>
    <numFmt numFmtId="165" formatCode="#,##0.0;[Red]\-#,##0.0"/>
    <numFmt numFmtId="166" formatCode="0.0"/>
    <numFmt numFmtId="167" formatCode="0.0%"/>
    <numFmt numFmtId="168" formatCode="_-[$$-2809]* #,##0_-;\-[$$-2809]* #,##0_-;_-[$$-2809]* &quot;-&quot;??_-;_-@_-"/>
  </numFmts>
  <fonts count="38"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4"/>
      <color rgb="FF17365C"/>
      <name val="Trebuchet MS"/>
      <family val="2"/>
    </font>
    <font>
      <b/>
      <sz val="9"/>
      <name val="Trebuchet MS"/>
      <family val="2"/>
    </font>
    <font>
      <b/>
      <sz val="14"/>
      <color theme="3" tint="0.59999389629810485"/>
      <name val="Trebuchet MS"/>
      <family val="2"/>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b/>
      <sz val="11"/>
      <name val="Trebuchet MS"/>
      <family val="2"/>
    </font>
    <font>
      <b/>
      <sz val="12"/>
      <name val="Trebuchet MS"/>
      <family val="2"/>
    </font>
    <font>
      <i/>
      <sz val="12"/>
      <color theme="1"/>
      <name val="Calibri"/>
      <family val="2"/>
      <scheme val="minor"/>
    </font>
    <font>
      <b/>
      <i/>
      <sz val="14"/>
      <color theme="1"/>
      <name val="Calibri"/>
      <family val="2"/>
      <scheme val="minor"/>
    </font>
    <font>
      <sz val="12"/>
      <color theme="1"/>
      <name val="Calibri"/>
      <family val="2"/>
      <scheme val="minor"/>
    </font>
    <font>
      <b/>
      <sz val="11"/>
      <name val="Calibri"/>
      <family val="2"/>
      <scheme val="minor"/>
    </font>
    <font>
      <sz val="11"/>
      <name val="Calibri"/>
      <family val="2"/>
      <scheme val="minor"/>
    </font>
    <font>
      <b/>
      <sz val="12"/>
      <color rgb="FF17365C"/>
      <name val="Calibri"/>
      <family val="2"/>
      <scheme val="minor"/>
    </font>
    <font>
      <b/>
      <sz val="12"/>
      <name val="Calibri"/>
      <family val="2"/>
      <scheme val="minor"/>
    </font>
    <font>
      <sz val="12"/>
      <name val="Calibri"/>
      <family val="2"/>
      <scheme val="minor"/>
    </font>
    <font>
      <i/>
      <sz val="12"/>
      <name val="Calibri"/>
      <family val="2"/>
      <scheme val="minor"/>
    </font>
    <font>
      <b/>
      <sz val="11"/>
      <color rgb="FF17365C"/>
      <name val="Calibri"/>
      <family val="2"/>
      <scheme val="minor"/>
    </font>
    <font>
      <i/>
      <sz val="11"/>
      <name val="Calibri"/>
      <family val="2"/>
      <scheme val="minor"/>
    </font>
    <font>
      <sz val="11"/>
      <name val="Trebuchet MS"/>
      <family val="2"/>
    </font>
    <font>
      <b/>
      <sz val="16"/>
      <color theme="1"/>
      <name val="Calibri"/>
      <family val="2"/>
      <scheme val="minor"/>
    </font>
    <font>
      <b/>
      <u/>
      <sz val="18"/>
      <color theme="1"/>
      <name val="Calibri"/>
      <family val="2"/>
      <scheme val="minor"/>
    </font>
    <font>
      <b/>
      <sz val="12"/>
      <color theme="0"/>
      <name val="Calibri"/>
      <family val="2"/>
      <scheme val="minor"/>
    </font>
    <font>
      <sz val="12"/>
      <color theme="0"/>
      <name val="Calibri"/>
      <family val="2"/>
      <scheme val="minor"/>
    </font>
    <font>
      <b/>
      <sz val="9"/>
      <color rgb="FF000000"/>
      <name val="Tahoma"/>
      <family val="2"/>
    </font>
    <font>
      <sz val="9"/>
      <color rgb="FF000000"/>
      <name val="Tahoma"/>
      <family val="2"/>
    </font>
    <font>
      <b/>
      <sz val="11"/>
      <color theme="0"/>
      <name val="Calibri"/>
      <family val="2"/>
      <scheme val="minor"/>
    </font>
    <font>
      <b/>
      <sz val="10"/>
      <color rgb="FF000000"/>
      <name val="Tahoma"/>
      <family val="2"/>
    </font>
    <font>
      <sz val="10"/>
      <color rgb="FF000000"/>
      <name val="Calibri"/>
      <family val="2"/>
      <scheme val="minor"/>
    </font>
    <font>
      <sz val="12"/>
      <color rgb="FF000000"/>
      <name val="Calibri"/>
      <family val="2"/>
    </font>
    <font>
      <sz val="7"/>
      <color rgb="FF000000"/>
      <name val="Calibri"/>
      <family val="2"/>
    </font>
    <font>
      <sz val="7"/>
      <color rgb="FF000000"/>
      <name val="Tahoma"/>
      <family val="2"/>
    </font>
    <font>
      <sz val="10"/>
      <color rgb="FF000000"/>
      <name val="Calibri"/>
      <family val="2"/>
    </font>
  </fonts>
  <fills count="8">
    <fill>
      <patternFill patternType="none"/>
    </fill>
    <fill>
      <patternFill patternType="gray125"/>
    </fill>
    <fill>
      <patternFill patternType="solid">
        <fgColor rgb="FF00B0F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theme="3"/>
        <bgColor indexed="64"/>
      </patternFill>
    </fill>
    <fill>
      <patternFill patternType="solid">
        <fgColor theme="4" tint="0.79998168889431442"/>
        <bgColor theme="4" tint="0.79998168889431442"/>
      </patternFill>
    </fill>
  </fills>
  <borders count="49">
    <border>
      <left/>
      <right/>
      <top/>
      <bottom/>
      <diagonal/>
    </border>
    <border>
      <left/>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medium">
        <color indexed="64"/>
      </right>
      <top/>
      <bottom style="thin">
        <color indexed="64"/>
      </bottom>
      <diagonal/>
    </border>
    <border>
      <left/>
      <right style="medium">
        <color indexed="64"/>
      </right>
      <top/>
      <bottom style="thin">
        <color rgb="FF000000"/>
      </bottom>
      <diagonal/>
    </border>
    <border>
      <left/>
      <right style="medium">
        <color indexed="64"/>
      </right>
      <top style="thin">
        <color rgb="FF000000"/>
      </top>
      <bottom/>
      <diagonal/>
    </border>
    <border>
      <left style="medium">
        <color indexed="64"/>
      </left>
      <right style="medium">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rgb="FFCCCCCC"/>
      </bottom>
      <diagonal/>
    </border>
    <border>
      <left style="medium">
        <color indexed="64"/>
      </left>
      <right style="medium">
        <color indexed="64"/>
      </right>
      <top style="thin">
        <color rgb="FF000000"/>
      </top>
      <bottom/>
      <diagonal/>
    </border>
    <border>
      <left/>
      <right style="thin">
        <color indexed="64"/>
      </right>
      <top/>
      <bottom style="medium">
        <color indexed="64"/>
      </bottom>
      <diagonal/>
    </border>
    <border>
      <left style="medium">
        <color indexed="64"/>
      </left>
      <right/>
      <top/>
      <bottom style="thin">
        <color rgb="FF000000"/>
      </bottom>
      <diagonal/>
    </border>
    <border>
      <left style="thin">
        <color indexed="64"/>
      </left>
      <right/>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medium">
        <color theme="1"/>
      </left>
      <right/>
      <top/>
      <bottom/>
      <diagonal/>
    </border>
    <border>
      <left/>
      <right style="medium">
        <color theme="1"/>
      </right>
      <top style="thin">
        <color indexed="64"/>
      </top>
      <bottom/>
      <diagonal/>
    </border>
    <border>
      <left/>
      <right style="medium">
        <color theme="1"/>
      </right>
      <top style="medium">
        <color indexed="64"/>
      </top>
      <bottom style="medium">
        <color indexed="64"/>
      </bottom>
      <diagonal/>
    </border>
    <border>
      <left/>
      <right style="medium">
        <color indexed="64"/>
      </right>
      <top style="medium">
        <color theme="1"/>
      </top>
      <bottom style="medium">
        <color indexed="64"/>
      </bottom>
      <diagonal/>
    </border>
    <border>
      <left style="medium">
        <color theme="1"/>
      </left>
      <right/>
      <top style="medium">
        <color indexed="64"/>
      </top>
      <bottom style="medium">
        <color indexed="64"/>
      </bottom>
      <diagonal/>
    </border>
  </borders>
  <cellStyleXfs count="4">
    <xf numFmtId="0" fontId="0" fillId="0" borderId="0"/>
    <xf numFmtId="9"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cellStyleXfs>
  <cellXfs count="306">
    <xf numFmtId="0" fontId="0" fillId="0" borderId="0" xfId="0"/>
    <xf numFmtId="0" fontId="0" fillId="4" borderId="0" xfId="0" applyFill="1"/>
    <xf numFmtId="0" fontId="0" fillId="4" borderId="0" xfId="0" applyFill="1" applyBorder="1"/>
    <xf numFmtId="0" fontId="0" fillId="4" borderId="0" xfId="0" applyFill="1" applyBorder="1" applyAlignment="1">
      <alignment horizontal="center" wrapText="1"/>
    </xf>
    <xf numFmtId="0" fontId="9" fillId="4" borderId="0" xfId="0" applyFont="1" applyFill="1" applyBorder="1"/>
    <xf numFmtId="0" fontId="0" fillId="0" borderId="0" xfId="0" applyFill="1" applyAlignment="1">
      <alignment vertical="center"/>
    </xf>
    <xf numFmtId="0" fontId="3" fillId="4" borderId="0" xfId="0" applyFont="1" applyFill="1" applyBorder="1" applyAlignment="1">
      <alignment horizontal="left" vertical="center"/>
    </xf>
    <xf numFmtId="0" fontId="3" fillId="4" borderId="0" xfId="0" applyFont="1" applyFill="1" applyBorder="1" applyAlignment="1">
      <alignment vertical="center"/>
    </xf>
    <xf numFmtId="9" fontId="0" fillId="0" borderId="0" xfId="0" applyNumberFormat="1" applyAlignment="1">
      <alignment horizontal="left"/>
    </xf>
    <xf numFmtId="0" fontId="0" fillId="5" borderId="2" xfId="0" applyFill="1" applyBorder="1" applyAlignment="1">
      <alignment horizontal="center" vertical="center"/>
    </xf>
    <xf numFmtId="9" fontId="0" fillId="5" borderId="2" xfId="1" applyNumberFormat="1" applyFont="1" applyFill="1" applyBorder="1" applyAlignment="1">
      <alignment horizontal="center" vertical="center"/>
    </xf>
    <xf numFmtId="9" fontId="0" fillId="5" borderId="2" xfId="1" applyFont="1" applyFill="1" applyBorder="1" applyAlignment="1">
      <alignment horizontal="center" vertical="center"/>
    </xf>
    <xf numFmtId="2" fontId="3" fillId="4" borderId="9" xfId="0" applyNumberFormat="1" applyFont="1" applyFill="1" applyBorder="1" applyAlignment="1">
      <alignment horizontal="center" vertical="center" wrapText="1"/>
    </xf>
    <xf numFmtId="1" fontId="3" fillId="4" borderId="10" xfId="0" applyNumberFormat="1" applyFont="1" applyFill="1" applyBorder="1" applyAlignment="1">
      <alignment horizontal="center" vertical="center" wrapText="1"/>
    </xf>
    <xf numFmtId="0" fontId="0" fillId="4" borderId="0" xfId="0" applyFill="1" applyAlignment="1">
      <alignment vertical="center"/>
    </xf>
    <xf numFmtId="0" fontId="13" fillId="5" borderId="2" xfId="0" applyFont="1" applyFill="1" applyBorder="1" applyAlignment="1">
      <alignment horizontal="center" vertical="center" wrapText="1"/>
    </xf>
    <xf numFmtId="0" fontId="3" fillId="4" borderId="0" xfId="0" applyFont="1" applyFill="1"/>
    <xf numFmtId="167" fontId="0" fillId="5" borderId="2" xfId="1" applyNumberFormat="1" applyFont="1" applyFill="1" applyBorder="1" applyAlignment="1">
      <alignment horizontal="center" vertical="center"/>
    </xf>
    <xf numFmtId="0" fontId="0" fillId="4" borderId="0" xfId="0" applyFill="1" applyAlignment="1">
      <alignment horizontal="center" vertical="center"/>
    </xf>
    <xf numFmtId="0" fontId="3" fillId="4" borderId="0" xfId="0" applyFont="1" applyFill="1" applyAlignment="1">
      <alignment horizontal="left" vertical="center"/>
    </xf>
    <xf numFmtId="9" fontId="0" fillId="4" borderId="0" xfId="1" applyFont="1" applyFill="1" applyBorder="1" applyAlignment="1">
      <alignment horizontal="center" vertical="center"/>
    </xf>
    <xf numFmtId="9" fontId="0" fillId="4" borderId="7" xfId="1" applyFont="1" applyFill="1" applyBorder="1" applyAlignment="1">
      <alignment horizontal="center" vertical="center"/>
    </xf>
    <xf numFmtId="9" fontId="0" fillId="4" borderId="12" xfId="1" applyFont="1" applyFill="1" applyBorder="1" applyAlignment="1">
      <alignment horizontal="center" vertical="center"/>
    </xf>
    <xf numFmtId="9" fontId="0" fillId="4" borderId="17" xfId="1" applyFont="1" applyFill="1" applyBorder="1" applyAlignment="1">
      <alignment horizontal="center" vertical="center"/>
    </xf>
    <xf numFmtId="2" fontId="4" fillId="0" borderId="0" xfId="0" applyNumberFormat="1" applyFont="1" applyFill="1" applyBorder="1" applyAlignment="1" applyProtection="1">
      <alignment vertical="center"/>
    </xf>
    <xf numFmtId="0" fontId="10" fillId="4" borderId="4" xfId="0" applyFont="1" applyFill="1" applyBorder="1" applyAlignment="1">
      <alignment vertical="center"/>
    </xf>
    <xf numFmtId="0" fontId="10" fillId="4" borderId="5" xfId="0" applyFont="1" applyFill="1" applyBorder="1" applyAlignment="1">
      <alignment vertical="center"/>
    </xf>
    <xf numFmtId="0" fontId="15" fillId="4" borderId="0" xfId="0" applyFont="1" applyFill="1" applyBorder="1"/>
    <xf numFmtId="0" fontId="15" fillId="0" borderId="0" xfId="0" applyFont="1"/>
    <xf numFmtId="2" fontId="16" fillId="4" borderId="0" xfId="0" applyNumberFormat="1" applyFont="1" applyFill="1" applyBorder="1" applyAlignment="1" applyProtection="1">
      <alignment vertical="center"/>
    </xf>
    <xf numFmtId="0" fontId="15" fillId="0" borderId="0" xfId="0" applyFont="1" applyAlignment="1">
      <alignment vertical="center"/>
    </xf>
    <xf numFmtId="1" fontId="16" fillId="2" borderId="18" xfId="0" applyNumberFormat="1" applyFont="1" applyFill="1" applyBorder="1" applyAlignment="1" applyProtection="1">
      <alignment horizontal="center" vertical="center"/>
    </xf>
    <xf numFmtId="1" fontId="16" fillId="2" borderId="19" xfId="0" applyNumberFormat="1" applyFont="1" applyFill="1" applyBorder="1" applyAlignment="1" applyProtection="1">
      <alignment horizontal="center" vertical="center"/>
    </xf>
    <xf numFmtId="2" fontId="5" fillId="4" borderId="13" xfId="0" applyNumberFormat="1" applyFont="1" applyFill="1" applyBorder="1" applyAlignment="1" applyProtection="1">
      <alignment vertical="center"/>
    </xf>
    <xf numFmtId="2" fontId="5" fillId="4" borderId="14" xfId="0" applyNumberFormat="1" applyFont="1" applyFill="1" applyBorder="1" applyAlignment="1" applyProtection="1">
      <alignment vertical="center"/>
    </xf>
    <xf numFmtId="2" fontId="5" fillId="4" borderId="32" xfId="0" applyNumberFormat="1" applyFont="1" applyFill="1" applyBorder="1" applyAlignment="1" applyProtection="1">
      <alignment vertical="center"/>
    </xf>
    <xf numFmtId="0" fontId="0" fillId="4" borderId="14" xfId="0" applyFill="1" applyBorder="1" applyAlignment="1">
      <alignment horizontal="center" vertical="center" wrapText="1"/>
    </xf>
    <xf numFmtId="0" fontId="0" fillId="4" borderId="15" xfId="0" applyFill="1" applyBorder="1" applyAlignment="1">
      <alignment horizontal="center" vertical="center" wrapText="1"/>
    </xf>
    <xf numFmtId="2" fontId="0" fillId="4" borderId="7" xfId="0" applyNumberFormat="1" applyFill="1" applyBorder="1" applyAlignment="1">
      <alignment horizontal="center" vertical="center" wrapText="1"/>
    </xf>
    <xf numFmtId="2" fontId="0" fillId="4" borderId="34" xfId="0" applyNumberFormat="1" applyFill="1" applyBorder="1" applyAlignment="1">
      <alignment horizontal="center" vertical="center" wrapText="1"/>
    </xf>
    <xf numFmtId="2" fontId="0" fillId="4" borderId="17" xfId="0" applyNumberFormat="1" applyFill="1" applyBorder="1" applyAlignment="1">
      <alignment horizontal="center" vertical="center" wrapText="1"/>
    </xf>
    <xf numFmtId="0" fontId="0" fillId="0" borderId="0" xfId="0" applyAlignment="1">
      <alignment vertical="center"/>
    </xf>
    <xf numFmtId="0" fontId="3" fillId="4" borderId="0" xfId="0" applyFont="1" applyFill="1" applyAlignment="1">
      <alignment vertical="center"/>
    </xf>
    <xf numFmtId="2" fontId="12" fillId="4" borderId="13" xfId="0" applyNumberFormat="1" applyFont="1" applyFill="1" applyBorder="1" applyAlignment="1" applyProtection="1"/>
    <xf numFmtId="1" fontId="3" fillId="4" borderId="23" xfId="0" applyNumberFormat="1" applyFont="1" applyFill="1" applyBorder="1" applyAlignment="1">
      <alignment horizontal="center" vertical="center" wrapText="1"/>
    </xf>
    <xf numFmtId="1" fontId="3" fillId="4" borderId="8" xfId="0" applyNumberFormat="1" applyFont="1" applyFill="1" applyBorder="1" applyAlignment="1">
      <alignment horizontal="center" vertical="center" wrapText="1"/>
    </xf>
    <xf numFmtId="1" fontId="3" fillId="4" borderId="22" xfId="0" applyNumberFormat="1" applyFont="1" applyFill="1" applyBorder="1" applyAlignment="1">
      <alignment horizontal="center" vertical="center" wrapText="1"/>
    </xf>
    <xf numFmtId="9" fontId="0" fillId="4" borderId="0" xfId="1" applyFont="1" applyFill="1" applyBorder="1" applyAlignment="1">
      <alignment horizontal="center" vertical="center" wrapText="1"/>
    </xf>
    <xf numFmtId="9" fontId="0" fillId="4" borderId="12" xfId="1" applyFont="1" applyFill="1" applyBorder="1" applyAlignment="1">
      <alignment horizontal="center" vertical="center" wrapText="1"/>
    </xf>
    <xf numFmtId="0" fontId="0" fillId="4" borderId="14" xfId="0" applyFont="1" applyFill="1" applyBorder="1" applyAlignment="1">
      <alignment horizontal="center" wrapText="1"/>
    </xf>
    <xf numFmtId="0" fontId="0" fillId="4" borderId="15" xfId="0" applyFont="1" applyFill="1" applyBorder="1" applyAlignment="1">
      <alignment horizontal="center" wrapText="1"/>
    </xf>
    <xf numFmtId="1" fontId="0" fillId="4" borderId="24" xfId="0" applyNumberFormat="1" applyFont="1" applyFill="1" applyBorder="1" applyAlignment="1">
      <alignment horizontal="center" vertical="center" wrapText="1"/>
    </xf>
    <xf numFmtId="1" fontId="0" fillId="4" borderId="29" xfId="0" applyNumberFormat="1" applyFont="1" applyFill="1" applyBorder="1" applyAlignment="1">
      <alignment horizontal="center" vertical="center" wrapText="1"/>
    </xf>
    <xf numFmtId="1" fontId="0" fillId="4" borderId="30" xfId="0" applyNumberFormat="1" applyFont="1" applyFill="1" applyBorder="1" applyAlignment="1">
      <alignment horizontal="center" vertical="center" wrapText="1"/>
    </xf>
    <xf numFmtId="1" fontId="0" fillId="4" borderId="0" xfId="0" applyNumberFormat="1" applyFont="1" applyFill="1" applyBorder="1" applyAlignment="1">
      <alignment horizontal="center" vertical="center" wrapText="1"/>
    </xf>
    <xf numFmtId="1" fontId="0" fillId="4" borderId="12" xfId="0" applyNumberFormat="1" applyFont="1" applyFill="1" applyBorder="1" applyAlignment="1">
      <alignment horizontal="center" vertical="center" wrapText="1"/>
    </xf>
    <xf numFmtId="166" fontId="0" fillId="4" borderId="30" xfId="0" applyNumberFormat="1" applyFont="1" applyFill="1" applyBorder="1" applyAlignment="1">
      <alignment horizontal="center" vertical="center" wrapText="1"/>
    </xf>
    <xf numFmtId="166" fontId="0" fillId="4" borderId="8" xfId="0" applyNumberFormat="1" applyFont="1" applyFill="1" applyBorder="1" applyAlignment="1">
      <alignment horizontal="center" vertical="center" wrapText="1"/>
    </xf>
    <xf numFmtId="166" fontId="0" fillId="4" borderId="22"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166" fontId="0" fillId="4" borderId="0" xfId="0" applyNumberFormat="1" applyFont="1" applyFill="1" applyBorder="1" applyAlignment="1">
      <alignment horizontal="center" vertical="center" wrapText="1"/>
    </xf>
    <xf numFmtId="166" fontId="0" fillId="4" borderId="12" xfId="0" applyNumberFormat="1" applyFont="1" applyFill="1" applyBorder="1" applyAlignment="1">
      <alignment horizontal="center" vertical="center" wrapText="1"/>
    </xf>
    <xf numFmtId="2" fontId="19" fillId="4" borderId="3" xfId="0" applyNumberFormat="1" applyFont="1" applyFill="1" applyBorder="1" applyAlignment="1" applyProtection="1">
      <alignment vertical="center"/>
    </xf>
    <xf numFmtId="2" fontId="19" fillId="4" borderId="4" xfId="0" applyNumberFormat="1" applyFont="1" applyFill="1" applyBorder="1" applyAlignment="1" applyProtection="1">
      <alignment horizontal="left" vertical="center"/>
    </xf>
    <xf numFmtId="0" fontId="9" fillId="4" borderId="4" xfId="0" applyFont="1" applyFill="1" applyBorder="1" applyAlignment="1">
      <alignment horizontal="left" vertical="center"/>
    </xf>
    <xf numFmtId="0" fontId="15" fillId="4" borderId="5" xfId="0" applyFont="1" applyFill="1" applyBorder="1" applyAlignment="1">
      <alignment horizontal="left" vertical="center"/>
    </xf>
    <xf numFmtId="2" fontId="11" fillId="4" borderId="13" xfId="0" applyNumberFormat="1" applyFont="1" applyFill="1" applyBorder="1" applyAlignment="1" applyProtection="1">
      <alignment horizontal="center"/>
    </xf>
    <xf numFmtId="2" fontId="11" fillId="4" borderId="14" xfId="0" applyNumberFormat="1" applyFont="1" applyFill="1" applyBorder="1" applyAlignment="1" applyProtection="1">
      <alignment horizontal="center"/>
    </xf>
    <xf numFmtId="2" fontId="19" fillId="4" borderId="13" xfId="0" applyNumberFormat="1" applyFont="1" applyFill="1" applyBorder="1" applyAlignment="1" applyProtection="1">
      <alignment vertical="center"/>
    </xf>
    <xf numFmtId="2" fontId="20" fillId="4" borderId="16" xfId="0" applyNumberFormat="1" applyFont="1" applyFill="1" applyBorder="1" applyAlignment="1" applyProtection="1">
      <alignment horizontal="left" vertical="center"/>
    </xf>
    <xf numFmtId="2" fontId="20" fillId="4" borderId="0" xfId="0" applyNumberFormat="1" applyFont="1" applyFill="1" applyBorder="1" applyAlignment="1" applyProtection="1">
      <alignment horizontal="left" vertical="center"/>
    </xf>
    <xf numFmtId="0" fontId="0" fillId="0" borderId="0" xfId="0" applyFont="1" applyAlignment="1">
      <alignment horizontal="center" vertical="center"/>
    </xf>
    <xf numFmtId="2" fontId="16" fillId="4" borderId="13" xfId="0" applyNumberFormat="1" applyFont="1" applyFill="1" applyBorder="1" applyAlignment="1" applyProtection="1">
      <alignment horizontal="center" vertical="center"/>
    </xf>
    <xf numFmtId="2" fontId="16" fillId="4" borderId="14" xfId="0" applyNumberFormat="1" applyFont="1" applyFill="1" applyBorder="1" applyAlignment="1" applyProtection="1">
      <alignment horizontal="center" vertical="center"/>
    </xf>
    <xf numFmtId="0" fontId="0" fillId="4" borderId="14" xfId="0" applyFont="1" applyFill="1" applyBorder="1" applyAlignment="1">
      <alignment horizontal="center" vertical="center"/>
    </xf>
    <xf numFmtId="0" fontId="0" fillId="4" borderId="15" xfId="0" applyFont="1" applyFill="1" applyBorder="1" applyAlignment="1">
      <alignment horizontal="center" vertical="center"/>
    </xf>
    <xf numFmtId="38" fontId="16" fillId="4" borderId="0" xfId="0" applyNumberFormat="1" applyFont="1" applyFill="1" applyBorder="1" applyAlignment="1" applyProtection="1">
      <alignment horizontal="center" vertical="center"/>
    </xf>
    <xf numFmtId="38" fontId="16" fillId="4" borderId="12" xfId="0" applyNumberFormat="1" applyFont="1" applyFill="1" applyBorder="1" applyAlignment="1" applyProtection="1">
      <alignment horizontal="center" vertical="center"/>
    </xf>
    <xf numFmtId="9" fontId="23" fillId="4" borderId="0" xfId="1" applyFont="1" applyFill="1" applyBorder="1" applyAlignment="1" applyProtection="1">
      <alignment horizontal="center" vertical="center"/>
    </xf>
    <xf numFmtId="9" fontId="23" fillId="4" borderId="8" xfId="1" applyFont="1" applyFill="1" applyBorder="1" applyAlignment="1" applyProtection="1">
      <alignment horizontal="center" vertical="center"/>
    </xf>
    <xf numFmtId="9" fontId="23" fillId="4" borderId="22" xfId="1" applyFont="1" applyFill="1" applyBorder="1" applyAlignment="1" applyProtection="1">
      <alignment horizontal="center" vertical="center"/>
    </xf>
    <xf numFmtId="40" fontId="17" fillId="4" borderId="0" xfId="0" applyNumberFormat="1" applyFont="1" applyFill="1" applyBorder="1" applyAlignment="1" applyProtection="1">
      <alignment horizontal="center" vertical="center"/>
    </xf>
    <xf numFmtId="2" fontId="17" fillId="4" borderId="0" xfId="0" applyNumberFormat="1" applyFont="1" applyFill="1" applyBorder="1" applyAlignment="1" applyProtection="1">
      <alignment horizontal="center" vertical="center"/>
    </xf>
    <xf numFmtId="165" fontId="16" fillId="4" borderId="0" xfId="0" applyNumberFormat="1" applyFont="1" applyFill="1" applyBorder="1" applyAlignment="1" applyProtection="1">
      <alignment horizontal="center" vertical="center"/>
    </xf>
    <xf numFmtId="165" fontId="16" fillId="4" borderId="12" xfId="0" applyNumberFormat="1" applyFont="1" applyFill="1" applyBorder="1" applyAlignment="1" applyProtection="1">
      <alignment horizontal="center" vertical="center"/>
    </xf>
    <xf numFmtId="9" fontId="23" fillId="4" borderId="12" xfId="1" applyFont="1" applyFill="1" applyBorder="1" applyAlignment="1" applyProtection="1">
      <alignment horizontal="center" vertical="center"/>
    </xf>
    <xf numFmtId="38" fontId="17" fillId="4" borderId="0" xfId="0" applyNumberFormat="1" applyFont="1" applyFill="1" applyBorder="1" applyAlignment="1" applyProtection="1">
      <alignment horizontal="center" vertical="center"/>
    </xf>
    <xf numFmtId="38" fontId="17" fillId="4" borderId="12" xfId="0" applyNumberFormat="1" applyFont="1" applyFill="1" applyBorder="1" applyAlignment="1" applyProtection="1">
      <alignment horizontal="center" vertical="center"/>
    </xf>
    <xf numFmtId="2" fontId="17" fillId="4" borderId="26" xfId="0" applyNumberFormat="1" applyFont="1" applyFill="1" applyBorder="1" applyAlignment="1" applyProtection="1">
      <alignment horizontal="center" vertical="center"/>
    </xf>
    <xf numFmtId="1" fontId="16" fillId="4" borderId="1" xfId="0" applyNumberFormat="1" applyFont="1" applyFill="1" applyBorder="1" applyAlignment="1" applyProtection="1">
      <alignment horizontal="center" vertical="center"/>
    </xf>
    <xf numFmtId="1" fontId="16" fillId="4" borderId="27" xfId="0" applyNumberFormat="1" applyFont="1" applyFill="1" applyBorder="1" applyAlignment="1" applyProtection="1">
      <alignment horizontal="center" vertical="center"/>
    </xf>
    <xf numFmtId="38" fontId="17" fillId="4" borderId="1" xfId="0" applyNumberFormat="1" applyFont="1" applyFill="1" applyBorder="1" applyAlignment="1" applyProtection="1">
      <alignment horizontal="center" vertical="center"/>
    </xf>
    <xf numFmtId="38" fontId="17" fillId="4" borderId="27" xfId="0" applyNumberFormat="1" applyFont="1" applyFill="1" applyBorder="1" applyAlignment="1" applyProtection="1">
      <alignment horizontal="center" vertical="center"/>
    </xf>
    <xf numFmtId="38" fontId="16" fillId="4" borderId="1" xfId="0" applyNumberFormat="1" applyFont="1" applyFill="1" applyBorder="1" applyAlignment="1" applyProtection="1">
      <alignment horizontal="center" vertical="center"/>
    </xf>
    <xf numFmtId="38" fontId="16" fillId="4" borderId="27" xfId="0" applyNumberFormat="1" applyFont="1" applyFill="1" applyBorder="1" applyAlignment="1" applyProtection="1">
      <alignment horizontal="center" vertical="center"/>
    </xf>
    <xf numFmtId="40" fontId="16" fillId="4" borderId="0" xfId="0" applyNumberFormat="1" applyFont="1" applyFill="1" applyBorder="1" applyAlignment="1" applyProtection="1">
      <alignment horizontal="center" vertical="center"/>
    </xf>
    <xf numFmtId="40" fontId="16" fillId="4" borderId="12" xfId="0" applyNumberFormat="1" applyFont="1" applyFill="1" applyBorder="1" applyAlignment="1" applyProtection="1">
      <alignment horizontal="center" vertical="center"/>
    </xf>
    <xf numFmtId="38" fontId="17" fillId="5" borderId="7" xfId="0" applyNumberFormat="1" applyFont="1" applyFill="1" applyBorder="1" applyAlignment="1" applyProtection="1">
      <alignment horizontal="center" vertical="center"/>
    </xf>
    <xf numFmtId="0" fontId="0" fillId="4" borderId="0" xfId="0" applyFont="1" applyFill="1" applyAlignment="1">
      <alignment horizontal="center" vertical="center"/>
    </xf>
    <xf numFmtId="1" fontId="16" fillId="3" borderId="31" xfId="0" applyNumberFormat="1" applyFont="1" applyFill="1" applyBorder="1" applyAlignment="1" applyProtection="1">
      <alignment horizontal="center" vertical="center"/>
    </xf>
    <xf numFmtId="1" fontId="16" fillId="3" borderId="19" xfId="0" applyNumberFormat="1" applyFont="1" applyFill="1" applyBorder="1" applyAlignment="1" applyProtection="1">
      <alignment horizontal="center" vertical="center"/>
    </xf>
    <xf numFmtId="1" fontId="16" fillId="3" borderId="20" xfId="0" applyNumberFormat="1" applyFont="1" applyFill="1" applyBorder="1" applyAlignment="1" applyProtection="1">
      <alignment horizontal="center" vertical="center"/>
    </xf>
    <xf numFmtId="9" fontId="3" fillId="2" borderId="2" xfId="1" applyFont="1" applyFill="1" applyBorder="1" applyAlignment="1">
      <alignment horizontal="center" vertical="center" wrapText="1"/>
    </xf>
    <xf numFmtId="2" fontId="16" fillId="4" borderId="9" xfId="0" applyNumberFormat="1" applyFont="1" applyFill="1" applyBorder="1" applyAlignment="1" applyProtection="1">
      <alignment vertical="center"/>
    </xf>
    <xf numFmtId="1" fontId="16" fillId="4" borderId="0" xfId="0" applyNumberFormat="1" applyFont="1" applyFill="1" applyBorder="1" applyAlignment="1" applyProtection="1">
      <alignment horizontal="center" vertical="center"/>
    </xf>
    <xf numFmtId="1" fontId="16" fillId="4" borderId="9" xfId="0" applyNumberFormat="1" applyFont="1" applyFill="1" applyBorder="1" applyAlignment="1" applyProtection="1">
      <alignment horizontal="center" vertical="center"/>
    </xf>
    <xf numFmtId="1" fontId="16" fillId="4" borderId="11" xfId="0" applyNumberFormat="1" applyFont="1" applyFill="1" applyBorder="1" applyAlignment="1" applyProtection="1">
      <alignment horizontal="center" vertical="center"/>
    </xf>
    <xf numFmtId="0" fontId="15" fillId="0" borderId="4" xfId="0" applyFont="1" applyBorder="1"/>
    <xf numFmtId="2" fontId="19" fillId="4" borderId="25" xfId="0" applyNumberFormat="1" applyFont="1" applyFill="1" applyBorder="1" applyAlignment="1" applyProtection="1">
      <alignment horizontal="left" vertical="center"/>
    </xf>
    <xf numFmtId="0" fontId="0" fillId="4" borderId="29" xfId="0" applyFont="1" applyFill="1" applyBorder="1" applyAlignment="1">
      <alignment horizontal="center" vertical="center" wrapText="1"/>
    </xf>
    <xf numFmtId="0" fontId="0" fillId="4" borderId="11" xfId="0" applyFont="1" applyFill="1" applyBorder="1" applyAlignment="1">
      <alignment horizontal="center" vertical="center" wrapText="1"/>
    </xf>
    <xf numFmtId="2" fontId="19" fillId="4" borderId="28" xfId="0" applyNumberFormat="1" applyFont="1" applyFill="1" applyBorder="1" applyAlignment="1" applyProtection="1">
      <alignment vertical="center"/>
    </xf>
    <xf numFmtId="9" fontId="3" fillId="2" borderId="5" xfId="1" applyFont="1" applyFill="1" applyBorder="1" applyAlignment="1">
      <alignment horizontal="center" vertical="center" wrapText="1"/>
    </xf>
    <xf numFmtId="1" fontId="16" fillId="4" borderId="6" xfId="0" applyNumberFormat="1" applyFont="1" applyFill="1" applyBorder="1" applyAlignment="1" applyProtection="1">
      <alignment horizontal="center" vertical="center"/>
    </xf>
    <xf numFmtId="2" fontId="16" fillId="4" borderId="6" xfId="0" applyNumberFormat="1" applyFont="1" applyFill="1" applyBorder="1" applyAlignment="1" applyProtection="1">
      <alignment vertical="center"/>
    </xf>
    <xf numFmtId="0" fontId="0" fillId="4" borderId="12" xfId="0" applyFont="1" applyFill="1" applyBorder="1" applyAlignment="1">
      <alignment horizontal="center" vertical="center" wrapText="1"/>
    </xf>
    <xf numFmtId="1" fontId="16" fillId="4" borderId="12" xfId="0" applyNumberFormat="1" applyFont="1" applyFill="1" applyBorder="1" applyAlignment="1" applyProtection="1">
      <alignment horizontal="center" vertical="center"/>
    </xf>
    <xf numFmtId="2" fontId="3" fillId="4" borderId="12" xfId="0" applyNumberFormat="1" applyFont="1" applyFill="1" applyBorder="1" applyAlignment="1">
      <alignment horizontal="center" vertical="center" wrapText="1"/>
    </xf>
    <xf numFmtId="1" fontId="16" fillId="4" borderId="30" xfId="0" applyNumberFormat="1" applyFont="1" applyFill="1" applyBorder="1" applyAlignment="1" applyProtection="1">
      <alignment horizontal="center" vertical="center"/>
    </xf>
    <xf numFmtId="0" fontId="0" fillId="4" borderId="30" xfId="0" applyFont="1" applyFill="1" applyBorder="1" applyAlignment="1">
      <alignment horizontal="center" vertical="center" wrapText="1"/>
    </xf>
    <xf numFmtId="0" fontId="0" fillId="4" borderId="7" xfId="0" applyFont="1" applyFill="1" applyBorder="1" applyAlignment="1">
      <alignment horizontal="center" vertical="center" wrapText="1"/>
    </xf>
    <xf numFmtId="0" fontId="3" fillId="4" borderId="7" xfId="0" applyFont="1" applyFill="1" applyBorder="1" applyAlignment="1">
      <alignment vertical="center"/>
    </xf>
    <xf numFmtId="0" fontId="3" fillId="4" borderId="20" xfId="0" applyFont="1" applyFill="1" applyBorder="1" applyAlignment="1">
      <alignment horizontal="center" vertical="center" wrapText="1"/>
    </xf>
    <xf numFmtId="0" fontId="0" fillId="4" borderId="24" xfId="0" applyFont="1" applyFill="1" applyBorder="1" applyAlignment="1">
      <alignment vertical="center"/>
    </xf>
    <xf numFmtId="0" fontId="3" fillId="4" borderId="2" xfId="0" applyFont="1" applyFill="1" applyBorder="1" applyAlignment="1">
      <alignment horizontal="center" vertical="center" wrapText="1"/>
    </xf>
    <xf numFmtId="0" fontId="9" fillId="4" borderId="0" xfId="0" applyFont="1" applyFill="1" applyBorder="1" applyAlignment="1">
      <alignment vertical="center"/>
    </xf>
    <xf numFmtId="166" fontId="0" fillId="4" borderId="24" xfId="0" applyNumberFormat="1" applyFont="1" applyFill="1" applyBorder="1" applyAlignment="1">
      <alignment horizontal="center" vertical="center" wrapText="1"/>
    </xf>
    <xf numFmtId="166" fontId="0" fillId="4" borderId="23" xfId="0" applyNumberFormat="1" applyFont="1" applyFill="1" applyBorder="1" applyAlignment="1">
      <alignment horizontal="center" vertical="center" wrapText="1"/>
    </xf>
    <xf numFmtId="166" fontId="0" fillId="4" borderId="6" xfId="0" applyNumberFormat="1" applyFont="1" applyFill="1" applyBorder="1" applyAlignment="1">
      <alignment horizontal="center" vertical="center" wrapText="1"/>
    </xf>
    <xf numFmtId="9" fontId="0" fillId="4" borderId="6" xfId="1" applyFont="1" applyFill="1" applyBorder="1" applyAlignment="1">
      <alignment horizontal="center" vertical="center" wrapText="1"/>
    </xf>
    <xf numFmtId="9" fontId="0" fillId="4" borderId="6" xfId="1" applyFont="1" applyFill="1" applyBorder="1" applyAlignment="1">
      <alignment horizontal="center" vertical="center"/>
    </xf>
    <xf numFmtId="9" fontId="0" fillId="4" borderId="16" xfId="1" applyFont="1" applyFill="1" applyBorder="1" applyAlignment="1">
      <alignment horizontal="center" vertical="center"/>
    </xf>
    <xf numFmtId="2" fontId="3" fillId="4" borderId="0" xfId="0" applyNumberFormat="1" applyFont="1" applyFill="1" applyBorder="1" applyAlignment="1">
      <alignment horizontal="center" vertical="center" wrapText="1"/>
    </xf>
    <xf numFmtId="165" fontId="17" fillId="4" borderId="0" xfId="0" applyNumberFormat="1" applyFont="1" applyFill="1" applyBorder="1" applyAlignment="1" applyProtection="1">
      <alignment horizontal="center" vertical="center"/>
    </xf>
    <xf numFmtId="165" fontId="17" fillId="4" borderId="12" xfId="0" applyNumberFormat="1" applyFont="1" applyFill="1" applyBorder="1" applyAlignment="1" applyProtection="1">
      <alignment horizontal="center" vertical="center"/>
    </xf>
    <xf numFmtId="166" fontId="9" fillId="4" borderId="0" xfId="0" applyNumberFormat="1" applyFont="1" applyFill="1" applyBorder="1" applyAlignment="1">
      <alignment horizontal="center" vertical="center" wrapText="1"/>
    </xf>
    <xf numFmtId="166" fontId="9" fillId="4" borderId="21" xfId="0" applyNumberFormat="1" applyFont="1" applyFill="1" applyBorder="1" applyAlignment="1">
      <alignment horizontal="center" vertical="center" wrapText="1"/>
    </xf>
    <xf numFmtId="166" fontId="9" fillId="4" borderId="12" xfId="0" applyNumberFormat="1" applyFont="1" applyFill="1" applyBorder="1" applyAlignment="1">
      <alignment horizontal="center" vertical="center" wrapText="1"/>
    </xf>
    <xf numFmtId="166" fontId="0" fillId="4" borderId="33" xfId="0" applyNumberFormat="1" applyFill="1" applyBorder="1" applyAlignment="1">
      <alignment horizontal="center" vertical="center" wrapText="1"/>
    </xf>
    <xf numFmtId="166" fontId="0" fillId="4" borderId="29" xfId="0" applyNumberFormat="1" applyFill="1" applyBorder="1" applyAlignment="1">
      <alignment horizontal="center" vertical="center" wrapText="1"/>
    </xf>
    <xf numFmtId="166" fontId="0" fillId="4" borderId="30" xfId="0" applyNumberFormat="1" applyFill="1" applyBorder="1" applyAlignment="1">
      <alignment horizontal="center" vertical="center" wrapText="1"/>
    </xf>
    <xf numFmtId="166" fontId="0" fillId="4" borderId="0" xfId="0" applyNumberFormat="1" applyFill="1" applyBorder="1" applyAlignment="1">
      <alignment horizontal="center" vertical="center" wrapText="1"/>
    </xf>
    <xf numFmtId="166" fontId="0" fillId="4" borderId="21" xfId="0" applyNumberFormat="1" applyFill="1" applyBorder="1" applyAlignment="1">
      <alignment horizontal="center" vertical="center" wrapText="1"/>
    </xf>
    <xf numFmtId="166" fontId="0" fillId="4" borderId="12" xfId="0" applyNumberFormat="1" applyFill="1" applyBorder="1" applyAlignment="1">
      <alignment horizontal="center" vertical="center" wrapText="1"/>
    </xf>
    <xf numFmtId="166" fontId="9" fillId="4" borderId="29" xfId="0" applyNumberFormat="1" applyFont="1" applyFill="1" applyBorder="1" applyAlignment="1">
      <alignment horizontal="center" vertical="center" wrapText="1"/>
    </xf>
    <xf numFmtId="2" fontId="11" fillId="4" borderId="15" xfId="0" applyNumberFormat="1" applyFont="1" applyFill="1" applyBorder="1" applyAlignment="1" applyProtection="1">
      <alignment horizontal="center"/>
    </xf>
    <xf numFmtId="1" fontId="0" fillId="4" borderId="8" xfId="0" applyNumberFormat="1" applyFont="1" applyFill="1" applyBorder="1" applyAlignment="1">
      <alignment horizontal="center" vertical="center" wrapText="1"/>
    </xf>
    <xf numFmtId="166" fontId="0" fillId="5" borderId="29" xfId="0" applyNumberForma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40" fontId="17" fillId="5" borderId="0" xfId="0" applyNumberFormat="1" applyFont="1" applyFill="1" applyBorder="1" applyAlignment="1" applyProtection="1">
      <alignment horizontal="center" vertical="center"/>
    </xf>
    <xf numFmtId="0" fontId="10" fillId="0" borderId="0" xfId="0" applyFont="1" applyAlignment="1">
      <alignment horizontal="left"/>
    </xf>
    <xf numFmtId="0" fontId="0" fillId="0" borderId="0" xfId="0" applyAlignment="1">
      <alignment horizontal="center" wrapText="1"/>
    </xf>
    <xf numFmtId="0" fontId="0" fillId="0" borderId="0" xfId="0" applyAlignment="1">
      <alignment horizontal="left" wrapText="1"/>
    </xf>
    <xf numFmtId="0" fontId="0" fillId="0" borderId="35" xfId="0" applyBorder="1" applyAlignment="1">
      <alignment horizontal="left" vertical="center" wrapText="1"/>
    </xf>
    <xf numFmtId="0" fontId="0" fillId="0" borderId="36" xfId="0" applyBorder="1" applyAlignment="1">
      <alignment horizontal="left" vertical="center" wrapText="1"/>
    </xf>
    <xf numFmtId="0" fontId="0" fillId="0" borderId="25" xfId="0" applyBorder="1" applyAlignment="1">
      <alignment horizontal="left" vertical="center" wrapText="1"/>
    </xf>
    <xf numFmtId="0" fontId="25" fillId="0" borderId="0" xfId="0" applyFont="1" applyAlignment="1"/>
    <xf numFmtId="0" fontId="0" fillId="0" borderId="0" xfId="0" applyBorder="1" applyAlignment="1">
      <alignment horizontal="left" vertical="center" wrapText="1"/>
    </xf>
    <xf numFmtId="0" fontId="0" fillId="0" borderId="0" xfId="0" applyAlignment="1">
      <alignment vertical="center" wrapText="1"/>
    </xf>
    <xf numFmtId="0" fontId="0" fillId="0" borderId="0" xfId="0" applyFill="1" applyAlignment="1">
      <alignment vertical="center" wrapText="1"/>
    </xf>
    <xf numFmtId="0" fontId="0" fillId="0" borderId="0" xfId="0" applyFill="1" applyBorder="1" applyAlignment="1">
      <alignment vertical="center" wrapText="1"/>
    </xf>
    <xf numFmtId="0" fontId="10" fillId="0" borderId="0" xfId="0" applyFont="1" applyAlignment="1">
      <alignment vertical="center"/>
    </xf>
    <xf numFmtId="0" fontId="0" fillId="0" borderId="0" xfId="0" applyFill="1"/>
    <xf numFmtId="0" fontId="0" fillId="5" borderId="0" xfId="0" applyFill="1" applyAlignment="1">
      <alignment vertical="center" wrapText="1"/>
    </xf>
    <xf numFmtId="0" fontId="26" fillId="0" borderId="0" xfId="0" applyFont="1" applyAlignment="1">
      <alignment horizontal="center" vertical="top"/>
    </xf>
    <xf numFmtId="0" fontId="15" fillId="0" borderId="25" xfId="0" applyFont="1" applyBorder="1" applyAlignment="1">
      <alignment horizontal="left" vertical="center" wrapText="1"/>
    </xf>
    <xf numFmtId="0" fontId="25" fillId="0" borderId="0" xfId="0" applyFont="1" applyFill="1" applyBorder="1" applyAlignment="1">
      <alignment horizontal="left" vertical="center"/>
    </xf>
    <xf numFmtId="0" fontId="25" fillId="5" borderId="2" xfId="0" applyFont="1" applyFill="1" applyBorder="1" applyAlignment="1">
      <alignment horizontal="center" vertical="center"/>
    </xf>
    <xf numFmtId="0" fontId="25" fillId="5" borderId="2" xfId="0" applyFont="1" applyFill="1" applyBorder="1" applyAlignment="1">
      <alignment horizontal="center" vertical="center" wrapText="1"/>
    </xf>
    <xf numFmtId="1" fontId="16" fillId="2" borderId="20" xfId="0" applyNumberFormat="1" applyFont="1" applyFill="1" applyBorder="1" applyAlignment="1" applyProtection="1">
      <alignment horizontal="center" vertical="center"/>
    </xf>
    <xf numFmtId="1" fontId="16" fillId="4" borderId="19" xfId="0" applyNumberFormat="1" applyFont="1" applyFill="1" applyBorder="1" applyAlignment="1" applyProtection="1">
      <alignment horizontal="center" vertical="center"/>
    </xf>
    <xf numFmtId="1" fontId="16" fillId="4" borderId="20" xfId="0" applyNumberFormat="1" applyFont="1" applyFill="1" applyBorder="1" applyAlignment="1" applyProtection="1">
      <alignment horizontal="center" vertical="center"/>
    </xf>
    <xf numFmtId="2" fontId="16" fillId="4" borderId="15" xfId="0" applyNumberFormat="1" applyFont="1" applyFill="1" applyBorder="1" applyAlignment="1" applyProtection="1">
      <alignment horizontal="center" vertical="center"/>
    </xf>
    <xf numFmtId="38" fontId="17" fillId="5" borderId="12" xfId="0" applyNumberFormat="1" applyFont="1" applyFill="1" applyBorder="1" applyAlignment="1" applyProtection="1">
      <alignment horizontal="center" vertical="center"/>
    </xf>
    <xf numFmtId="2" fontId="17" fillId="4" borderId="7" xfId="0" applyNumberFormat="1" applyFont="1" applyFill="1" applyBorder="1" applyAlignment="1" applyProtection="1">
      <alignment horizontal="center" vertical="center"/>
    </xf>
    <xf numFmtId="40" fontId="17" fillId="4" borderId="17" xfId="0" applyNumberFormat="1" applyFont="1" applyFill="1" applyBorder="1" applyAlignment="1" applyProtection="1">
      <alignment horizontal="center" vertical="center"/>
    </xf>
    <xf numFmtId="38" fontId="16" fillId="4" borderId="14" xfId="0" applyNumberFormat="1" applyFont="1" applyFill="1" applyBorder="1" applyAlignment="1" applyProtection="1">
      <alignment horizontal="center" vertical="center"/>
    </xf>
    <xf numFmtId="38" fontId="16" fillId="4" borderId="15" xfId="0" applyNumberFormat="1" applyFont="1" applyFill="1" applyBorder="1" applyAlignment="1" applyProtection="1">
      <alignment horizontal="center" vertical="center"/>
    </xf>
    <xf numFmtId="38" fontId="17" fillId="4" borderId="7" xfId="0" applyNumberFormat="1" applyFont="1" applyFill="1" applyBorder="1" applyAlignment="1" applyProtection="1">
      <alignment horizontal="center" vertical="center"/>
    </xf>
    <xf numFmtId="9" fontId="23" fillId="4" borderId="19" xfId="1" applyFont="1" applyFill="1" applyBorder="1" applyAlignment="1" applyProtection="1">
      <alignment horizontal="center" vertical="center"/>
    </xf>
    <xf numFmtId="9" fontId="23" fillId="4" borderId="20" xfId="1" applyFont="1" applyFill="1" applyBorder="1" applyAlignment="1" applyProtection="1">
      <alignment horizontal="center" vertical="center"/>
    </xf>
    <xf numFmtId="9" fontId="23" fillId="4" borderId="23" xfId="1" applyFont="1" applyFill="1" applyBorder="1" applyAlignment="1" applyProtection="1">
      <alignment horizontal="center" vertical="center"/>
    </xf>
    <xf numFmtId="40" fontId="17" fillId="4" borderId="7" xfId="0" applyNumberFormat="1" applyFont="1" applyFill="1" applyBorder="1" applyAlignment="1" applyProtection="1">
      <alignment horizontal="center" vertical="center"/>
    </xf>
    <xf numFmtId="38" fontId="17" fillId="4" borderId="20" xfId="0" applyNumberFormat="1" applyFont="1" applyFill="1" applyBorder="1" applyAlignment="1" applyProtection="1">
      <alignment horizontal="center" vertical="center"/>
    </xf>
    <xf numFmtId="40" fontId="0" fillId="5" borderId="8" xfId="0" applyNumberFormat="1" applyFont="1" applyFill="1" applyBorder="1" applyAlignment="1">
      <alignment horizontal="center" vertical="center" wrapText="1"/>
    </xf>
    <xf numFmtId="0" fontId="15" fillId="4" borderId="28" xfId="0" applyFont="1" applyFill="1" applyBorder="1" applyAlignment="1">
      <alignment horizontal="left" vertical="center"/>
    </xf>
    <xf numFmtId="0" fontId="15" fillId="4" borderId="4" xfId="0" applyFont="1" applyFill="1" applyBorder="1" applyAlignment="1">
      <alignment horizontal="left" vertical="center"/>
    </xf>
    <xf numFmtId="0" fontId="15" fillId="4" borderId="25" xfId="0" applyFont="1" applyFill="1" applyBorder="1" applyAlignment="1">
      <alignment horizontal="left" vertical="center"/>
    </xf>
    <xf numFmtId="0" fontId="0" fillId="5" borderId="30" xfId="0" applyFont="1" applyFill="1" applyBorder="1" applyAlignment="1">
      <alignment horizontal="center" vertical="center" wrapText="1"/>
    </xf>
    <xf numFmtId="166" fontId="0" fillId="4" borderId="29" xfId="0" applyNumberFormat="1" applyFont="1" applyFill="1" applyBorder="1" applyAlignment="1">
      <alignment horizontal="center" vertical="center" wrapText="1"/>
    </xf>
    <xf numFmtId="40" fontId="0" fillId="4" borderId="8" xfId="0" applyNumberFormat="1" applyFont="1" applyFill="1" applyBorder="1" applyAlignment="1">
      <alignment horizontal="center" vertical="center" wrapText="1"/>
    </xf>
    <xf numFmtId="40" fontId="0" fillId="4" borderId="22" xfId="0" applyNumberFormat="1" applyFont="1" applyFill="1" applyBorder="1" applyAlignment="1">
      <alignment horizontal="center" vertical="center" wrapText="1"/>
    </xf>
    <xf numFmtId="40" fontId="17" fillId="4" borderId="12" xfId="0" applyNumberFormat="1" applyFont="1" applyFill="1" applyBorder="1" applyAlignment="1" applyProtection="1">
      <alignment horizontal="center" vertical="center"/>
    </xf>
    <xf numFmtId="0" fontId="3" fillId="4" borderId="0" xfId="0" applyFont="1" applyFill="1" applyAlignment="1">
      <alignment horizontal="left" vertical="center"/>
    </xf>
    <xf numFmtId="165" fontId="16" fillId="4" borderId="29" xfId="0" applyNumberFormat="1" applyFont="1" applyFill="1" applyBorder="1" applyAlignment="1" applyProtection="1">
      <alignment horizontal="center" vertical="center"/>
    </xf>
    <xf numFmtId="38" fontId="17" fillId="4" borderId="19" xfId="0" applyNumberFormat="1" applyFont="1" applyFill="1" applyBorder="1" applyAlignment="1" applyProtection="1">
      <alignment horizontal="center" vertical="center"/>
    </xf>
    <xf numFmtId="2" fontId="19" fillId="4" borderId="28" xfId="0" applyNumberFormat="1" applyFont="1" applyFill="1" applyBorder="1" applyAlignment="1" applyProtection="1">
      <alignment horizontal="left" vertical="center"/>
    </xf>
    <xf numFmtId="2" fontId="20" fillId="4" borderId="4" xfId="0" applyNumberFormat="1" applyFont="1" applyFill="1" applyBorder="1" applyAlignment="1" applyProtection="1">
      <alignment horizontal="left" vertical="center"/>
    </xf>
    <xf numFmtId="2" fontId="21" fillId="4" borderId="4" xfId="0" applyNumberFormat="1" applyFont="1" applyFill="1" applyBorder="1" applyAlignment="1" applyProtection="1">
      <alignment horizontal="left" vertical="center"/>
    </xf>
    <xf numFmtId="2" fontId="20" fillId="4" borderId="38" xfId="0" applyNumberFormat="1" applyFont="1" applyFill="1" applyBorder="1" applyAlignment="1" applyProtection="1">
      <alignment horizontal="left" vertical="center"/>
    </xf>
    <xf numFmtId="2" fontId="19" fillId="4" borderId="38" xfId="0" applyNumberFormat="1" applyFont="1" applyFill="1" applyBorder="1" applyAlignment="1" applyProtection="1">
      <alignment horizontal="left" vertical="center"/>
    </xf>
    <xf numFmtId="166" fontId="9" fillId="4" borderId="33" xfId="0" applyNumberFormat="1" applyFont="1" applyFill="1" applyBorder="1" applyAlignment="1">
      <alignment horizontal="center" vertical="center" wrapText="1"/>
    </xf>
    <xf numFmtId="38" fontId="17" fillId="0" borderId="0" xfId="0" applyNumberFormat="1" applyFont="1" applyFill="1" applyBorder="1" applyAlignment="1" applyProtection="1">
      <alignment horizontal="center" vertical="center"/>
    </xf>
    <xf numFmtId="0" fontId="0" fillId="4" borderId="6" xfId="0" applyFill="1" applyBorder="1" applyAlignment="1">
      <alignment vertical="center"/>
    </xf>
    <xf numFmtId="0" fontId="0" fillId="0" borderId="0" xfId="0" applyBorder="1"/>
    <xf numFmtId="2" fontId="11" fillId="4" borderId="25" xfId="0" applyNumberFormat="1" applyFont="1" applyFill="1" applyBorder="1" applyAlignment="1" applyProtection="1">
      <alignment horizontal="left"/>
    </xf>
    <xf numFmtId="2" fontId="24" fillId="4" borderId="4" xfId="0" applyNumberFormat="1" applyFont="1" applyFill="1" applyBorder="1" applyAlignment="1" applyProtection="1">
      <alignment horizontal="left"/>
    </xf>
    <xf numFmtId="0" fontId="0" fillId="4" borderId="4" xfId="0" applyFont="1" applyFill="1" applyBorder="1" applyAlignment="1">
      <alignment horizontal="left"/>
    </xf>
    <xf numFmtId="0" fontId="3" fillId="4" borderId="25" xfId="0" applyFont="1" applyFill="1" applyBorder="1" applyAlignment="1">
      <alignment horizontal="left"/>
    </xf>
    <xf numFmtId="0" fontId="0" fillId="4" borderId="4" xfId="0" applyFont="1" applyFill="1" applyBorder="1"/>
    <xf numFmtId="0" fontId="3" fillId="4" borderId="4" xfId="0" applyFont="1" applyFill="1" applyBorder="1"/>
    <xf numFmtId="0" fontId="3" fillId="4" borderId="28" xfId="0" applyFont="1" applyFill="1" applyBorder="1"/>
    <xf numFmtId="0" fontId="3" fillId="4" borderId="25" xfId="0" applyFont="1" applyFill="1" applyBorder="1"/>
    <xf numFmtId="0" fontId="0" fillId="4" borderId="5" xfId="0" applyFont="1" applyFill="1" applyBorder="1"/>
    <xf numFmtId="0" fontId="0" fillId="0" borderId="6" xfId="0" applyBorder="1"/>
    <xf numFmtId="1" fontId="16" fillId="4" borderId="29" xfId="0" applyNumberFormat="1" applyFont="1" applyFill="1" applyBorder="1" applyAlignment="1" applyProtection="1">
      <alignment horizontal="center" vertical="center"/>
    </xf>
    <xf numFmtId="2" fontId="3" fillId="4" borderId="21" xfId="0" applyNumberFormat="1" applyFont="1" applyFill="1" applyBorder="1" applyAlignment="1">
      <alignment horizontal="center" vertical="center" wrapText="1"/>
    </xf>
    <xf numFmtId="0" fontId="0" fillId="4" borderId="6" xfId="0" applyFill="1" applyBorder="1"/>
    <xf numFmtId="1" fontId="16" fillId="5" borderId="12" xfId="0" applyNumberFormat="1" applyFont="1" applyFill="1" applyBorder="1" applyAlignment="1" applyProtection="1">
      <alignment horizontal="center" vertical="center"/>
    </xf>
    <xf numFmtId="0" fontId="3" fillId="4" borderId="6" xfId="0" applyFont="1" applyFill="1" applyBorder="1" applyAlignment="1">
      <alignment horizontal="left" vertical="center"/>
    </xf>
    <xf numFmtId="38" fontId="17" fillId="0" borderId="29" xfId="0" applyNumberFormat="1" applyFont="1" applyFill="1" applyBorder="1" applyAlignment="1" applyProtection="1">
      <alignment horizontal="center" vertical="center"/>
    </xf>
    <xf numFmtId="1" fontId="16" fillId="5" borderId="0" xfId="0" applyNumberFormat="1" applyFont="1" applyFill="1" applyBorder="1" applyAlignment="1" applyProtection="1">
      <alignment horizontal="center" vertical="center"/>
    </xf>
    <xf numFmtId="1" fontId="17" fillId="4" borderId="1" xfId="0" applyNumberFormat="1" applyFont="1" applyFill="1" applyBorder="1" applyAlignment="1" applyProtection="1">
      <alignment horizontal="center" vertical="center"/>
    </xf>
    <xf numFmtId="40" fontId="17" fillId="4" borderId="40" xfId="0" applyNumberFormat="1" applyFont="1" applyFill="1" applyBorder="1" applyAlignment="1" applyProtection="1">
      <alignment horizontal="center" vertical="center"/>
    </xf>
    <xf numFmtId="38" fontId="17" fillId="5" borderId="37" xfId="0" applyNumberFormat="1" applyFont="1" applyFill="1" applyBorder="1" applyAlignment="1" applyProtection="1">
      <alignment horizontal="center" vertical="center"/>
    </xf>
    <xf numFmtId="40" fontId="0" fillId="4" borderId="41" xfId="0" applyNumberFormat="1" applyFont="1" applyFill="1" applyBorder="1" applyAlignment="1">
      <alignment horizontal="center" vertical="center" wrapText="1"/>
    </xf>
    <xf numFmtId="167" fontId="23" fillId="4" borderId="8" xfId="1" applyNumberFormat="1" applyFont="1" applyFill="1" applyBorder="1" applyAlignment="1" applyProtection="1">
      <alignment horizontal="center" vertical="center"/>
    </xf>
    <xf numFmtId="167" fontId="23" fillId="4" borderId="22" xfId="1" applyNumberFormat="1" applyFont="1" applyFill="1" applyBorder="1" applyAlignment="1" applyProtection="1">
      <alignment horizontal="center" vertical="center"/>
    </xf>
    <xf numFmtId="167" fontId="23" fillId="4" borderId="0" xfId="1" applyNumberFormat="1" applyFont="1" applyFill="1" applyBorder="1" applyAlignment="1" applyProtection="1">
      <alignment horizontal="center" vertical="center"/>
    </xf>
    <xf numFmtId="167" fontId="23" fillId="4" borderId="12" xfId="1" applyNumberFormat="1" applyFont="1" applyFill="1" applyBorder="1" applyAlignment="1" applyProtection="1">
      <alignment horizontal="center" vertical="center"/>
    </xf>
    <xf numFmtId="38" fontId="17" fillId="5" borderId="0" xfId="0" applyNumberFormat="1" applyFont="1" applyFill="1" applyAlignment="1">
      <alignment horizontal="center" vertical="center"/>
    </xf>
    <xf numFmtId="165" fontId="17" fillId="5" borderId="19" xfId="0" applyNumberFormat="1" applyFont="1" applyFill="1" applyBorder="1" applyAlignment="1">
      <alignment horizontal="center" vertical="center"/>
    </xf>
    <xf numFmtId="165" fontId="16" fillId="4" borderId="24" xfId="0" applyNumberFormat="1" applyFont="1" applyFill="1" applyBorder="1" applyAlignment="1" applyProtection="1">
      <alignment horizontal="center" vertical="center"/>
    </xf>
    <xf numFmtId="168" fontId="14" fillId="4" borderId="9" xfId="2" applyNumberFormat="1" applyFont="1" applyFill="1" applyBorder="1" applyAlignment="1">
      <alignment horizontal="center" vertical="center" wrapText="1"/>
    </xf>
    <xf numFmtId="168" fontId="14" fillId="4" borderId="0" xfId="2" applyNumberFormat="1" applyFont="1" applyFill="1" applyBorder="1" applyAlignment="1">
      <alignment horizontal="center" vertical="center" wrapText="1"/>
    </xf>
    <xf numFmtId="168" fontId="14" fillId="4" borderId="12" xfId="2" applyNumberFormat="1" applyFont="1" applyFill="1" applyBorder="1" applyAlignment="1">
      <alignment horizontal="center" vertical="center" wrapText="1"/>
    </xf>
    <xf numFmtId="168" fontId="14" fillId="4" borderId="9" xfId="2" applyNumberFormat="1" applyFont="1" applyFill="1" applyBorder="1" applyAlignment="1">
      <alignment horizontal="left" vertical="center" wrapText="1"/>
    </xf>
    <xf numFmtId="168" fontId="14" fillId="4" borderId="0" xfId="2" applyNumberFormat="1" applyFont="1" applyFill="1" applyBorder="1" applyAlignment="1">
      <alignment horizontal="left" vertical="center" wrapText="1"/>
    </xf>
    <xf numFmtId="168" fontId="14" fillId="4" borderId="12" xfId="2" applyNumberFormat="1" applyFont="1" applyFill="1" applyBorder="1" applyAlignment="1">
      <alignment horizontal="left" vertical="center" wrapText="1"/>
    </xf>
    <xf numFmtId="168" fontId="14" fillId="4" borderId="39" xfId="2" applyNumberFormat="1" applyFont="1" applyFill="1" applyBorder="1" applyAlignment="1">
      <alignment horizontal="left" vertical="center" wrapText="1"/>
    </xf>
    <xf numFmtId="168" fontId="14" fillId="4" borderId="7" xfId="2" applyNumberFormat="1" applyFont="1" applyFill="1" applyBorder="1" applyAlignment="1">
      <alignment horizontal="left" vertical="center" wrapText="1"/>
    </xf>
    <xf numFmtId="168" fontId="14" fillId="4" borderId="17" xfId="2" applyNumberFormat="1" applyFont="1" applyFill="1" applyBorder="1" applyAlignment="1">
      <alignment horizontal="left" vertical="center" wrapText="1"/>
    </xf>
    <xf numFmtId="0" fontId="27" fillId="6" borderId="0" xfId="0" applyFont="1" applyFill="1" applyAlignment="1">
      <alignment vertical="center"/>
    </xf>
    <xf numFmtId="2" fontId="31" fillId="6" borderId="0" xfId="0" applyNumberFormat="1" applyFont="1" applyFill="1" applyAlignment="1">
      <alignment horizontal="center" vertical="center"/>
    </xf>
    <xf numFmtId="2" fontId="31" fillId="6" borderId="0" xfId="0" applyNumberFormat="1" applyFont="1" applyFill="1" applyAlignment="1">
      <alignment horizontal="center" vertical="center" wrapText="1"/>
    </xf>
    <xf numFmtId="0" fontId="28" fillId="6" borderId="0" xfId="0" applyFont="1" applyFill="1" applyAlignment="1">
      <alignment horizontal="center" vertical="center"/>
    </xf>
    <xf numFmtId="0" fontId="0" fillId="0" borderId="2" xfId="0" applyFont="1" applyBorder="1" applyAlignment="1">
      <alignment horizontal="center" vertical="center"/>
    </xf>
    <xf numFmtId="43" fontId="0" fillId="0" borderId="0" xfId="3" applyFont="1" applyAlignment="1">
      <alignment horizontal="center" vertical="center"/>
    </xf>
    <xf numFmtId="0" fontId="27" fillId="6" borderId="42" xfId="0" applyFont="1" applyFill="1" applyBorder="1" applyAlignment="1">
      <alignment vertical="center"/>
    </xf>
    <xf numFmtId="0" fontId="1" fillId="7" borderId="42" xfId="0" applyFont="1" applyFill="1" applyBorder="1" applyAlignment="1">
      <alignment vertical="center"/>
    </xf>
    <xf numFmtId="43" fontId="0" fillId="7" borderId="43" xfId="3" applyNumberFormat="1" applyFont="1" applyFill="1" applyBorder="1" applyAlignment="1">
      <alignment horizontal="center" vertical="center"/>
    </xf>
    <xf numFmtId="0" fontId="1" fillId="0" borderId="42" xfId="0" applyFont="1" applyBorder="1" applyAlignment="1">
      <alignment vertical="center"/>
    </xf>
    <xf numFmtId="43" fontId="0" fillId="0" borderId="43" xfId="3" applyNumberFormat="1" applyFont="1" applyBorder="1" applyAlignment="1">
      <alignment horizontal="center" vertical="center"/>
    </xf>
    <xf numFmtId="2" fontId="31" fillId="6" borderId="43" xfId="0" applyNumberFormat="1" applyFont="1" applyFill="1" applyBorder="1" applyAlignment="1">
      <alignment horizontal="center" vertical="center" wrapText="1"/>
    </xf>
    <xf numFmtId="38" fontId="16" fillId="4" borderId="44" xfId="0" applyNumberFormat="1" applyFont="1" applyFill="1" applyBorder="1" applyAlignment="1" applyProtection="1">
      <alignment horizontal="center" vertical="center"/>
    </xf>
    <xf numFmtId="38" fontId="17" fillId="5" borderId="45" xfId="0" applyNumberFormat="1" applyFont="1" applyFill="1" applyBorder="1" applyAlignment="1">
      <alignment horizontal="center" vertical="center"/>
    </xf>
    <xf numFmtId="165" fontId="17" fillId="5" borderId="46" xfId="0" applyNumberFormat="1" applyFont="1" applyFill="1" applyBorder="1" applyAlignment="1">
      <alignment horizontal="center" vertical="center"/>
    </xf>
    <xf numFmtId="38" fontId="17" fillId="5" borderId="47" xfId="0" applyNumberFormat="1" applyFont="1" applyFill="1" applyBorder="1" applyAlignment="1" applyProtection="1">
      <alignment horizontal="center" vertical="center"/>
    </xf>
    <xf numFmtId="165" fontId="17" fillId="5" borderId="48" xfId="0" applyNumberFormat="1" applyFont="1" applyFill="1" applyBorder="1" applyAlignment="1">
      <alignment horizontal="center" vertical="center"/>
    </xf>
    <xf numFmtId="0" fontId="0" fillId="5" borderId="29" xfId="0" applyFont="1" applyFill="1" applyBorder="1" applyAlignment="1">
      <alignment horizontal="center" vertical="center" wrapText="1"/>
    </xf>
    <xf numFmtId="2" fontId="18" fillId="0" borderId="3" xfId="0" applyNumberFormat="1" applyFont="1" applyFill="1" applyBorder="1" applyAlignment="1" applyProtection="1">
      <alignment horizontal="center" vertical="center"/>
    </xf>
    <xf numFmtId="2" fontId="18" fillId="0" borderId="4" xfId="0" applyNumberFormat="1" applyFont="1" applyFill="1" applyBorder="1" applyAlignment="1" applyProtection="1">
      <alignment horizontal="center" vertical="center"/>
    </xf>
    <xf numFmtId="2" fontId="18" fillId="0" borderId="6" xfId="0" applyNumberFormat="1" applyFont="1" applyFill="1" applyBorder="1" applyAlignment="1" applyProtection="1">
      <alignment horizontal="center" vertical="center"/>
    </xf>
    <xf numFmtId="2" fontId="22" fillId="0" borderId="13" xfId="0" applyNumberFormat="1" applyFont="1" applyFill="1" applyBorder="1" applyAlignment="1" applyProtection="1">
      <alignment horizontal="left" vertical="top" wrapText="1"/>
    </xf>
    <xf numFmtId="2" fontId="22" fillId="0" borderId="14" xfId="0" applyNumberFormat="1" applyFont="1" applyFill="1" applyBorder="1" applyAlignment="1" applyProtection="1">
      <alignment horizontal="left" vertical="top"/>
    </xf>
    <xf numFmtId="2" fontId="22" fillId="0" borderId="15" xfId="0" applyNumberFormat="1" applyFont="1" applyFill="1" applyBorder="1" applyAlignment="1" applyProtection="1">
      <alignment horizontal="left" vertical="top"/>
    </xf>
    <xf numFmtId="2" fontId="22" fillId="0" borderId="6" xfId="0" applyNumberFormat="1" applyFont="1" applyFill="1" applyBorder="1" applyAlignment="1" applyProtection="1">
      <alignment horizontal="left" vertical="top"/>
    </xf>
    <xf numFmtId="2" fontId="22" fillId="0" borderId="0" xfId="0" applyNumberFormat="1" applyFont="1" applyFill="1" applyBorder="1" applyAlignment="1" applyProtection="1">
      <alignment horizontal="left" vertical="top"/>
    </xf>
    <xf numFmtId="2" fontId="22" fillId="0" borderId="12" xfId="0" applyNumberFormat="1" applyFont="1" applyFill="1" applyBorder="1" applyAlignment="1" applyProtection="1">
      <alignment horizontal="left" vertical="top"/>
    </xf>
    <xf numFmtId="2" fontId="22" fillId="0" borderId="16" xfId="0" applyNumberFormat="1" applyFont="1" applyFill="1" applyBorder="1" applyAlignment="1" applyProtection="1">
      <alignment horizontal="left" vertical="top"/>
    </xf>
    <xf numFmtId="2" fontId="22" fillId="0" borderId="7" xfId="0" applyNumberFormat="1" applyFont="1" applyFill="1" applyBorder="1" applyAlignment="1" applyProtection="1">
      <alignment horizontal="left" vertical="top"/>
    </xf>
    <xf numFmtId="2" fontId="22" fillId="0" borderId="17" xfId="0" applyNumberFormat="1" applyFont="1" applyFill="1" applyBorder="1" applyAlignment="1" applyProtection="1">
      <alignment horizontal="left" vertical="top"/>
    </xf>
    <xf numFmtId="2" fontId="20" fillId="4" borderId="4" xfId="0" applyNumberFormat="1" applyFont="1" applyFill="1" applyBorder="1" applyAlignment="1" applyProtection="1">
      <alignment horizontal="left" vertical="center" wrapText="1"/>
    </xf>
    <xf numFmtId="2" fontId="20" fillId="4" borderId="25" xfId="0" applyNumberFormat="1" applyFont="1" applyFill="1" applyBorder="1" applyAlignment="1" applyProtection="1">
      <alignment horizontal="left" vertical="center" wrapText="1"/>
    </xf>
    <xf numFmtId="2" fontId="18" fillId="0" borderId="5" xfId="0" applyNumberFormat="1" applyFont="1" applyFill="1" applyBorder="1" applyAlignment="1" applyProtection="1">
      <alignment horizontal="center" vertical="center"/>
    </xf>
    <xf numFmtId="2" fontId="4" fillId="0" borderId="13" xfId="0" applyNumberFormat="1" applyFont="1" applyFill="1" applyBorder="1" applyAlignment="1" applyProtection="1">
      <alignment horizontal="center" vertical="center"/>
    </xf>
    <xf numFmtId="2" fontId="4" fillId="0" borderId="14" xfId="0" applyNumberFormat="1" applyFont="1" applyFill="1" applyBorder="1" applyAlignment="1" applyProtection="1">
      <alignment horizontal="center" vertical="center"/>
    </xf>
    <xf numFmtId="2" fontId="4" fillId="0" borderId="15" xfId="0" applyNumberFormat="1" applyFont="1" applyFill="1" applyBorder="1" applyAlignment="1" applyProtection="1">
      <alignment horizontal="center" vertical="center"/>
    </xf>
    <xf numFmtId="2" fontId="4" fillId="0" borderId="6" xfId="0" applyNumberFormat="1" applyFont="1" applyFill="1" applyBorder="1" applyAlignment="1" applyProtection="1">
      <alignment horizontal="center" vertical="center"/>
    </xf>
    <xf numFmtId="2" fontId="4" fillId="0" borderId="0" xfId="0" applyNumberFormat="1" applyFont="1" applyFill="1" applyBorder="1" applyAlignment="1" applyProtection="1">
      <alignment horizontal="center" vertical="center"/>
    </xf>
    <xf numFmtId="2" fontId="4" fillId="0" borderId="12" xfId="0" applyNumberFormat="1" applyFont="1" applyFill="1" applyBorder="1" applyAlignment="1" applyProtection="1">
      <alignment horizontal="center" vertical="center"/>
    </xf>
    <xf numFmtId="2" fontId="4" fillId="0" borderId="3" xfId="0" applyNumberFormat="1" applyFont="1" applyFill="1" applyBorder="1" applyAlignment="1" applyProtection="1">
      <alignment horizontal="center" vertical="center"/>
    </xf>
    <xf numFmtId="2" fontId="4" fillId="0" borderId="4" xfId="0" applyNumberFormat="1" applyFont="1" applyFill="1" applyBorder="1" applyAlignment="1" applyProtection="1">
      <alignment horizontal="center" vertical="center"/>
    </xf>
    <xf numFmtId="0" fontId="9" fillId="4" borderId="0" xfId="0" applyFont="1" applyFill="1" applyAlignment="1">
      <alignment horizontal="left" vertical="center"/>
    </xf>
    <xf numFmtId="0" fontId="9" fillId="4" borderId="12" xfId="0" applyFont="1" applyFill="1" applyBorder="1" applyAlignment="1">
      <alignment horizontal="left" vertical="center"/>
    </xf>
    <xf numFmtId="0" fontId="0" fillId="4" borderId="0" xfId="0" applyFill="1" applyAlignment="1">
      <alignment horizontal="center" vertical="center"/>
    </xf>
    <xf numFmtId="0" fontId="3" fillId="4" borderId="0" xfId="0" applyFont="1" applyFill="1" applyAlignment="1">
      <alignment horizontal="left" vertical="center"/>
    </xf>
    <xf numFmtId="0" fontId="9" fillId="4" borderId="6" xfId="0" applyFont="1" applyFill="1" applyBorder="1" applyAlignment="1">
      <alignment vertical="center"/>
    </xf>
    <xf numFmtId="0" fontId="9" fillId="4" borderId="12" xfId="0" applyFont="1" applyFill="1" applyBorder="1" applyAlignment="1">
      <alignment vertical="center"/>
    </xf>
    <xf numFmtId="0" fontId="9" fillId="4" borderId="0" xfId="0" applyFont="1" applyFill="1" applyBorder="1" applyAlignment="1">
      <alignment vertical="center"/>
    </xf>
    <xf numFmtId="2" fontId="6" fillId="0" borderId="13" xfId="0" applyNumberFormat="1" applyFont="1" applyFill="1" applyBorder="1" applyAlignment="1" applyProtection="1">
      <alignment horizontal="center" vertical="center"/>
    </xf>
    <xf numFmtId="2" fontId="6" fillId="0" borderId="14" xfId="0" applyNumberFormat="1" applyFont="1" applyFill="1" applyBorder="1" applyAlignment="1" applyProtection="1">
      <alignment horizontal="center" vertical="center"/>
    </xf>
    <xf numFmtId="2" fontId="6" fillId="0" borderId="15" xfId="0" applyNumberFormat="1" applyFont="1" applyFill="1" applyBorder="1" applyAlignment="1" applyProtection="1">
      <alignment horizontal="center" vertical="center"/>
    </xf>
    <xf numFmtId="2" fontId="6" fillId="0" borderId="6" xfId="0" applyNumberFormat="1" applyFont="1" applyFill="1" applyBorder="1" applyAlignment="1" applyProtection="1">
      <alignment horizontal="center" vertical="center"/>
    </xf>
    <xf numFmtId="2" fontId="6" fillId="0" borderId="0" xfId="0" applyNumberFormat="1" applyFont="1" applyFill="1" applyBorder="1" applyAlignment="1" applyProtection="1">
      <alignment horizontal="center" vertical="center"/>
    </xf>
    <xf numFmtId="2" fontId="6" fillId="0" borderId="12" xfId="0" applyNumberFormat="1" applyFont="1" applyFill="1" applyBorder="1" applyAlignment="1" applyProtection="1">
      <alignment horizontal="center" vertical="center"/>
    </xf>
    <xf numFmtId="2" fontId="6" fillId="0" borderId="7" xfId="0" applyNumberFormat="1" applyFont="1" applyFill="1" applyBorder="1" applyAlignment="1" applyProtection="1">
      <alignment horizontal="center" vertical="center"/>
    </xf>
    <xf numFmtId="2" fontId="6" fillId="0" borderId="17" xfId="0" applyNumberFormat="1" applyFont="1" applyFill="1" applyBorder="1" applyAlignment="1" applyProtection="1">
      <alignment horizontal="center" vertical="center"/>
    </xf>
    <xf numFmtId="0" fontId="3" fillId="0" borderId="0" xfId="0" applyFont="1" applyFill="1" applyAlignment="1">
      <alignment horizontal="left" vertical="center"/>
    </xf>
    <xf numFmtId="0" fontId="0" fillId="0" borderId="0" xfId="0" applyFill="1" applyBorder="1" applyAlignment="1">
      <alignment horizontal="center" vertical="center"/>
    </xf>
    <xf numFmtId="0" fontId="0" fillId="0" borderId="0" xfId="0" applyFont="1" applyAlignment="1">
      <alignment horizontal="left"/>
    </xf>
    <xf numFmtId="0" fontId="0" fillId="0" borderId="35" xfId="0" applyBorder="1" applyAlignment="1">
      <alignment horizontal="left" vertical="center" wrapText="1"/>
    </xf>
    <xf numFmtId="0" fontId="0" fillId="0" borderId="28" xfId="0" applyBorder="1" applyAlignment="1">
      <alignment horizontal="left" vertical="center" wrapText="1"/>
    </xf>
    <xf numFmtId="0" fontId="0" fillId="0" borderId="25" xfId="0" applyBorder="1" applyAlignment="1">
      <alignment horizontal="left" vertical="center" wrapText="1"/>
    </xf>
    <xf numFmtId="0" fontId="0" fillId="0" borderId="0" xfId="0" applyAlignment="1">
      <alignment horizontal="center"/>
    </xf>
  </cellXfs>
  <cellStyles count="4">
    <cellStyle name="Comma" xfId="3" builtinId="3"/>
    <cellStyle name="Currency" xfId="2" builtinId="4"/>
    <cellStyle name="Normal" xfId="0" builtinId="0"/>
    <cellStyle name="Percent" xfId="1" builtinId="5"/>
  </cellStyles>
  <dxfs count="10">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numFmt numFmtId="2" formatCode="0.00"/>
      <fill>
        <patternFill patternType="solid">
          <fgColor indexed="64"/>
          <bgColor theme="3"/>
        </patternFill>
      </fill>
      <alignment horizontal="center" vertical="center"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Valor Intrínseco</a:t>
            </a:r>
          </a:p>
          <a:p>
            <a:pPr>
              <a:defRPr/>
            </a:pPr>
            <a:r>
              <a:rPr lang="en-US"/>
              <a:t>EV / EVITDA</a:t>
            </a:r>
          </a:p>
        </c:rich>
      </c:tx>
      <c:overlay val="0"/>
    </c:title>
    <c:autoTitleDeleted val="0"/>
    <c:plotArea>
      <c:layout/>
      <c:lineChart>
        <c:grouping val="stacked"/>
        <c:varyColors val="0"/>
        <c:ser>
          <c:idx val="0"/>
          <c:order val="0"/>
          <c:tx>
            <c:v>Valor Intrínseco</c:v>
          </c:tx>
          <c:marker>
            <c:symbol val="none"/>
          </c:marker>
          <c:val>
            <c:numRef>
              <c:f>'4. Valoración'!$I$23:$N$23</c:f>
              <c:numCache>
                <c:formatCode>_-[$$-2809]* #,##0_-;\-[$$-2809]* #,##0_-;_-[$$-2809]* "-"??_-;_-@_-</c:formatCode>
                <c:ptCount val="6"/>
                <c:pt idx="0">
                  <c:v>57.042916666666663</c:v>
                </c:pt>
                <c:pt idx="1">
                  <c:v>68.352312499999996</c:v>
                </c:pt>
                <c:pt idx="2">
                  <c:v>76.879977659574465</c:v>
                </c:pt>
                <c:pt idx="3">
                  <c:v>89.298517032608686</c:v>
                </c:pt>
                <c:pt idx="4">
                  <c:v>103.89204317144443</c:v>
                </c:pt>
                <c:pt idx="5">
                  <c:v>121.22967976582613</c:v>
                </c:pt>
              </c:numCache>
            </c:numRef>
          </c:val>
          <c:smooth val="0"/>
          <c:extLst>
            <c:ext xmlns:c16="http://schemas.microsoft.com/office/drawing/2014/chart" uri="{C3380CC4-5D6E-409C-BE32-E72D297353CC}">
              <c16:uniqueId val="{00000000-A06F-4451-AAE0-D4FFAE5046A5}"/>
            </c:ext>
          </c:extLst>
        </c:ser>
        <c:dLbls>
          <c:showLegendKey val="0"/>
          <c:showVal val="0"/>
          <c:showCatName val="0"/>
          <c:showSerName val="0"/>
          <c:showPercent val="0"/>
          <c:showBubbleSize val="0"/>
        </c:dLbls>
        <c:smooth val="0"/>
        <c:axId val="202931200"/>
        <c:axId val="202973952"/>
      </c:lineChart>
      <c:catAx>
        <c:axId val="202931200"/>
        <c:scaling>
          <c:orientation val="minMax"/>
        </c:scaling>
        <c:delete val="0"/>
        <c:axPos val="b"/>
        <c:numFmt formatCode="0" sourceLinked="1"/>
        <c:majorTickMark val="out"/>
        <c:minorTickMark val="none"/>
        <c:tickLblPos val="nextTo"/>
        <c:crossAx val="202973952"/>
        <c:crosses val="autoZero"/>
        <c:auto val="1"/>
        <c:lblAlgn val="ctr"/>
        <c:lblOffset val="100"/>
        <c:noMultiLvlLbl val="0"/>
      </c:catAx>
      <c:valAx>
        <c:axId val="202973952"/>
        <c:scaling>
          <c:orientation val="minMax"/>
        </c:scaling>
        <c:delete val="0"/>
        <c:axPos val="l"/>
        <c:majorGridlines/>
        <c:numFmt formatCode="_-[$$-2809]* #,##0_-;\-[$$-2809]* #,##0_-;_-[$$-2809]* &quot;-&quot;??_-;_-@_-" sourceLinked="1"/>
        <c:majorTickMark val="out"/>
        <c:minorTickMark val="none"/>
        <c:tickLblPos val="nextTo"/>
        <c:crossAx val="202931200"/>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634999</xdr:colOff>
      <xdr:row>1</xdr:row>
      <xdr:rowOff>115454</xdr:rowOff>
    </xdr:from>
    <xdr:to>
      <xdr:col>1</xdr:col>
      <xdr:colOff>2522680</xdr:colOff>
      <xdr:row>6</xdr:row>
      <xdr:rowOff>161636</xdr:rowOff>
    </xdr:to>
    <xdr:pic>
      <xdr:nvPicPr>
        <xdr:cNvPr id="3" name="Picture 2" descr="Download MTY Food Group Logo in SVG Vector or PNG File Format - Logo.wine">
          <a:extLst>
            <a:ext uri="{FF2B5EF4-FFF2-40B4-BE49-F238E27FC236}">
              <a16:creationId xmlns:a16="http://schemas.microsoft.com/office/drawing/2014/main" id="{595C289B-0F73-B644-8C23-D3CA99E0CF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8999" y="334818"/>
          <a:ext cx="1887681" cy="12584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4</xdr:col>
      <xdr:colOff>274781</xdr:colOff>
      <xdr:row>6</xdr:row>
      <xdr:rowOff>305954</xdr:rowOff>
    </xdr:to>
    <xdr:pic>
      <xdr:nvPicPr>
        <xdr:cNvPr id="2" name="Picture 1" descr="Download MTY Food Group Logo in SVG Vector or PNG File Format - Logo.wine">
          <a:extLst>
            <a:ext uri="{FF2B5EF4-FFF2-40B4-BE49-F238E27FC236}">
              <a16:creationId xmlns:a16="http://schemas.microsoft.com/office/drawing/2014/main" id="{004B245C-0A70-334C-8B05-AB7D648FA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215900"/>
          <a:ext cx="1887681" cy="12584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3</xdr:col>
      <xdr:colOff>655781</xdr:colOff>
      <xdr:row>6</xdr:row>
      <xdr:rowOff>305954</xdr:rowOff>
    </xdr:to>
    <xdr:pic>
      <xdr:nvPicPr>
        <xdr:cNvPr id="2" name="Picture 1" descr="Download MTY Food Group Logo in SVG Vector or PNG File Format - Logo.wine">
          <a:extLst>
            <a:ext uri="{FF2B5EF4-FFF2-40B4-BE49-F238E27FC236}">
              <a16:creationId xmlns:a16="http://schemas.microsoft.com/office/drawing/2014/main" id="{7E2AB40D-9A72-BB4A-A26D-724335DC5D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97300" y="203200"/>
          <a:ext cx="1887681" cy="12584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704850</xdr:colOff>
      <xdr:row>25</xdr:row>
      <xdr:rowOff>61912</xdr:rowOff>
    </xdr:from>
    <xdr:to>
      <xdr:col>10</xdr:col>
      <xdr:colOff>355600</xdr:colOff>
      <xdr:row>42</xdr:row>
      <xdr:rowOff>114300</xdr:rowOff>
    </xdr:to>
    <xdr:graphicFrame macro="">
      <xdr:nvGraphicFramePr>
        <xdr:cNvPr id="3" name="2 Gráfico">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0</xdr:colOff>
      <xdr:row>1</xdr:row>
      <xdr:rowOff>0</xdr:rowOff>
    </xdr:from>
    <xdr:to>
      <xdr:col>4</xdr:col>
      <xdr:colOff>312881</xdr:colOff>
      <xdr:row>6</xdr:row>
      <xdr:rowOff>305954</xdr:rowOff>
    </xdr:to>
    <xdr:pic>
      <xdr:nvPicPr>
        <xdr:cNvPr id="4" name="Picture 3" descr="Download MTY Food Group Logo in SVG Vector or PNG File Format - Logo.wine">
          <a:extLst>
            <a:ext uri="{FF2B5EF4-FFF2-40B4-BE49-F238E27FC236}">
              <a16:creationId xmlns:a16="http://schemas.microsoft.com/office/drawing/2014/main" id="{FBA45E7F-D355-3A44-A03F-9C0F1FD3F20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9900" y="203200"/>
          <a:ext cx="1887681" cy="12584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39A2ED-8EA9-4449-8DA2-357623310A15}" name="Table2" displayName="Table2" ref="B32:I59" totalsRowShown="0" headerRowDxfId="9" dataDxfId="8">
  <autoFilter ref="B32:I59" xr:uid="{164C46DC-FCF0-164B-809A-82DEF960FE17}"/>
  <tableColumns count="8">
    <tableColumn id="1" xr3:uid="{DB360F68-6BEF-0A4E-BA18-ABEC92D305D6}" name="AÑO" dataDxfId="7"/>
    <tableColumn id="2" xr3:uid="{1AB20566-ED90-D84C-8DCD-84076AC3C15A}" name="Sales" dataDxfId="6" dataCellStyle="Comma"/>
    <tableColumn id="3" xr3:uid="{577D1FD3-0450-024F-8BC5-D1A5DCDF1F57}" name="EBIT " dataDxfId="5" dataCellStyle="Comma"/>
    <tableColumn id="4" xr3:uid="{E13985A5-8050-2540-9760-4CA3612CDA8B}" name="Interest expense/ Income (introducir en negativo si es un ingreso) " dataDxfId="4" dataCellStyle="Comma"/>
    <tableColumn id="5" xr3:uid="{324AD866-A44D-3F4B-9E06-B5B0860DBC8A}" name="Income Taxes" dataDxfId="3" dataCellStyle="Comma"/>
    <tableColumn id="6" xr3:uid="{358CF496-9AF3-2C4D-9FDF-55A1099BCE50}" name="Minority Interest" dataDxfId="2" dataCellStyle="Comma"/>
    <tableColumn id="7" xr3:uid="{77AC8B48-0771-D341-914B-D813A6B67393}" name="Fully diluted shares  (millions)" dataDxfId="1"/>
    <tableColumn id="8" xr3:uid="{6F4F1C56-9B1C-BB4A-A4C1-A6822123CED5}" name="Depreciation &amp; Amortization Expense" dataDxfId="0"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59"/>
  <sheetViews>
    <sheetView topLeftCell="A3" zoomScale="110" zoomScaleNormal="110" workbookViewId="0">
      <selection activeCell="F26" sqref="F26:I26"/>
    </sheetView>
  </sheetViews>
  <sheetFormatPr baseColWidth="10" defaultColWidth="11.5" defaultRowHeight="16" outlineLevelRow="1" x14ac:dyDescent="0.2"/>
  <cols>
    <col min="1" max="1" width="3.33203125" style="41" customWidth="1"/>
    <col min="2" max="2" width="42.33203125" style="30" customWidth="1"/>
    <col min="3" max="4" width="11" style="71" customWidth="1"/>
    <col min="5" max="5" width="20" style="71" customWidth="1"/>
    <col min="6" max="6" width="13.33203125" style="71" customWidth="1"/>
    <col min="7" max="7" width="14.33203125" style="71" customWidth="1"/>
    <col min="8" max="8" width="16.83203125" style="71" customWidth="1"/>
    <col min="9" max="9" width="17.33203125" style="71" customWidth="1"/>
    <col min="10" max="14" width="11" style="71" customWidth="1"/>
    <col min="15" max="15" width="14.5" style="41" customWidth="1"/>
    <col min="16" max="16384" width="11.5" style="41"/>
  </cols>
  <sheetData>
    <row r="1" spans="2:19" ht="17" thickBot="1" x14ac:dyDescent="0.25"/>
    <row r="2" spans="2:19" ht="30" customHeight="1" x14ac:dyDescent="0.2">
      <c r="B2" s="261" t="s">
        <v>86</v>
      </c>
      <c r="C2" s="264" t="s">
        <v>87</v>
      </c>
      <c r="D2" s="265"/>
      <c r="E2" s="265"/>
      <c r="F2" s="265"/>
      <c r="G2" s="265"/>
      <c r="H2" s="265"/>
      <c r="I2" s="265"/>
      <c r="J2" s="265"/>
      <c r="K2" s="265"/>
      <c r="L2" s="265"/>
      <c r="M2" s="265"/>
      <c r="N2" s="266"/>
      <c r="O2" s="24"/>
      <c r="P2" s="24"/>
      <c r="Q2" s="14"/>
      <c r="R2" s="14"/>
    </row>
    <row r="3" spans="2:19" ht="16" customHeight="1" x14ac:dyDescent="0.2">
      <c r="B3" s="262"/>
      <c r="C3" s="267"/>
      <c r="D3" s="268"/>
      <c r="E3" s="268"/>
      <c r="F3" s="268"/>
      <c r="G3" s="268"/>
      <c r="H3" s="268"/>
      <c r="I3" s="268"/>
      <c r="J3" s="268"/>
      <c r="K3" s="268"/>
      <c r="L3" s="268"/>
      <c r="M3" s="268"/>
      <c r="N3" s="269"/>
      <c r="O3" s="24"/>
      <c r="P3" s="24"/>
      <c r="Q3" s="14"/>
      <c r="R3" s="14"/>
    </row>
    <row r="4" spans="2:19" ht="16" customHeight="1" x14ac:dyDescent="0.2">
      <c r="B4" s="262"/>
      <c r="C4" s="267"/>
      <c r="D4" s="268"/>
      <c r="E4" s="268"/>
      <c r="F4" s="268"/>
      <c r="G4" s="268"/>
      <c r="H4" s="268"/>
      <c r="I4" s="268"/>
      <c r="J4" s="268"/>
      <c r="K4" s="268"/>
      <c r="L4" s="268"/>
      <c r="M4" s="268"/>
      <c r="N4" s="269"/>
      <c r="O4" s="24"/>
      <c r="P4" s="24"/>
      <c r="Q4" s="14"/>
      <c r="R4" s="14"/>
    </row>
    <row r="5" spans="2:19" ht="16" customHeight="1" x14ac:dyDescent="0.2">
      <c r="B5" s="262"/>
      <c r="C5" s="267"/>
      <c r="D5" s="268"/>
      <c r="E5" s="268"/>
      <c r="F5" s="268"/>
      <c r="G5" s="268"/>
      <c r="H5" s="268"/>
      <c r="I5" s="268"/>
      <c r="J5" s="268"/>
      <c r="K5" s="268"/>
      <c r="L5" s="268"/>
      <c r="M5" s="268"/>
      <c r="N5" s="269"/>
      <c r="O5" s="24"/>
      <c r="P5" s="24"/>
      <c r="Q5" s="14"/>
      <c r="R5" s="14"/>
    </row>
    <row r="6" spans="2:19" ht="16" customHeight="1" x14ac:dyDescent="0.2">
      <c r="B6" s="262"/>
      <c r="C6" s="267"/>
      <c r="D6" s="268"/>
      <c r="E6" s="268"/>
      <c r="F6" s="268"/>
      <c r="G6" s="268"/>
      <c r="H6" s="268"/>
      <c r="I6" s="268"/>
      <c r="J6" s="268"/>
      <c r="K6" s="268"/>
      <c r="L6" s="268"/>
      <c r="M6" s="268"/>
      <c r="N6" s="269"/>
      <c r="O6" s="24"/>
      <c r="P6" s="24"/>
      <c r="Q6" s="14"/>
    </row>
    <row r="7" spans="2:19" ht="16" customHeight="1" thickBot="1" x14ac:dyDescent="0.25">
      <c r="B7" s="262"/>
      <c r="C7" s="270"/>
      <c r="D7" s="271"/>
      <c r="E7" s="271"/>
      <c r="F7" s="271"/>
      <c r="G7" s="271"/>
      <c r="H7" s="271"/>
      <c r="I7" s="271"/>
      <c r="J7" s="271"/>
      <c r="K7" s="271"/>
      <c r="L7" s="271"/>
      <c r="M7" s="271"/>
      <c r="N7" s="272"/>
      <c r="O7" s="24"/>
      <c r="P7" s="24"/>
      <c r="Q7" s="14"/>
    </row>
    <row r="8" spans="2:19" ht="16" customHeight="1" thickBot="1" x14ac:dyDescent="0.25">
      <c r="B8" s="263"/>
      <c r="C8" s="31">
        <v>2014</v>
      </c>
      <c r="D8" s="32">
        <v>2015</v>
      </c>
      <c r="E8" s="32">
        <v>2016</v>
      </c>
      <c r="F8" s="32">
        <v>2017</v>
      </c>
      <c r="G8" s="32">
        <v>2018</v>
      </c>
      <c r="H8" s="32">
        <v>2019</v>
      </c>
      <c r="I8" s="170">
        <v>2020</v>
      </c>
      <c r="J8" s="100">
        <v>2021</v>
      </c>
      <c r="K8" s="100">
        <v>2022</v>
      </c>
      <c r="L8" s="100">
        <v>2023</v>
      </c>
      <c r="M8" s="100">
        <v>2024</v>
      </c>
      <c r="N8" s="101">
        <v>2025</v>
      </c>
      <c r="O8" s="14"/>
      <c r="P8" s="14"/>
      <c r="Q8" s="14"/>
    </row>
    <row r="9" spans="2:19" ht="16" customHeight="1" x14ac:dyDescent="0.2">
      <c r="B9" s="68" t="s">
        <v>36</v>
      </c>
      <c r="C9" s="72"/>
      <c r="D9" s="73"/>
      <c r="E9" s="73"/>
      <c r="F9" s="73"/>
      <c r="G9" s="73"/>
      <c r="H9" s="73"/>
      <c r="I9" s="173"/>
      <c r="J9" s="73"/>
      <c r="K9" s="73"/>
      <c r="L9" s="73"/>
      <c r="M9" s="74"/>
      <c r="N9" s="75"/>
      <c r="O9" s="14"/>
      <c r="P9" s="14"/>
      <c r="Q9" s="14"/>
    </row>
    <row r="10" spans="2:19" ht="16" customHeight="1" thickBot="1" x14ac:dyDescent="0.25">
      <c r="B10" s="63" t="s">
        <v>15</v>
      </c>
      <c r="C10" s="231">
        <f t="shared" ref="C10:G10" si="0">INDEX($B$33:$I$59,MATCH(C8,$B$33:$B$59,0),2)</f>
        <v>0</v>
      </c>
      <c r="D10" s="231">
        <f t="shared" si="0"/>
        <v>0</v>
      </c>
      <c r="E10" s="231">
        <f t="shared" si="0"/>
        <v>191</v>
      </c>
      <c r="F10" s="231">
        <f t="shared" si="0"/>
        <v>276</v>
      </c>
      <c r="G10" s="231">
        <f t="shared" si="0"/>
        <v>412</v>
      </c>
      <c r="H10" s="231">
        <f>INDEX($B$33:$I$59,MATCH(H8,$B$33:$B$59,0),2)</f>
        <v>551</v>
      </c>
      <c r="I10" s="174">
        <f>INDEX($B$33:$I$59,MATCH(I8,$B$33:$B$59,0),2)</f>
        <v>511</v>
      </c>
      <c r="J10" s="76">
        <f>(I10*$J$11)+I10</f>
        <v>536.54999999999995</v>
      </c>
      <c r="K10" s="76">
        <f>(J10*$K$11)+J10</f>
        <v>584.83949999999993</v>
      </c>
      <c r="L10" s="76">
        <f>(K10*$L$11)+K10</f>
        <v>666.71702999999991</v>
      </c>
      <c r="M10" s="76">
        <f>(L10*$M$11)+L10</f>
        <v>760.05741419999993</v>
      </c>
      <c r="N10" s="77">
        <f>(M10*$N$11)+M10</f>
        <v>866.46545218799997</v>
      </c>
      <c r="O10" s="14"/>
      <c r="P10" s="14" t="s">
        <v>88</v>
      </c>
      <c r="Q10" s="14" t="s">
        <v>89</v>
      </c>
      <c r="R10" s="41" t="s">
        <v>90</v>
      </c>
    </row>
    <row r="11" spans="2:19" ht="15.75" customHeight="1" thickBot="1" x14ac:dyDescent="0.25">
      <c r="B11" s="199" t="s">
        <v>35</v>
      </c>
      <c r="C11" s="79" t="e">
        <f>(C10-#REF!)/#REF!</f>
        <v>#REF!</v>
      </c>
      <c r="D11" s="79" t="e">
        <f t="shared" ref="D11" si="1">(D10-C10)/C10</f>
        <v>#DIV/0!</v>
      </c>
      <c r="E11" s="79" t="e">
        <f t="shared" ref="E11" si="2">(E10-D10)/D10</f>
        <v>#DIV/0!</v>
      </c>
      <c r="F11" s="79">
        <f t="shared" ref="F11" si="3">(F10-E10)/E10</f>
        <v>0.44502617801047123</v>
      </c>
      <c r="G11" s="79">
        <f t="shared" ref="G11" si="4">(G10-F10)/F10</f>
        <v>0.49275362318840582</v>
      </c>
      <c r="H11" s="79">
        <f t="shared" ref="H11:I11" si="5">(H10-G10)/G10</f>
        <v>0.33737864077669905</v>
      </c>
      <c r="I11" s="79">
        <f t="shared" si="5"/>
        <v>-7.2595281306715068E-2</v>
      </c>
      <c r="J11" s="182">
        <f t="shared" ref="J11" si="6">$P$11</f>
        <v>0.05</v>
      </c>
      <c r="K11" s="79">
        <f>$Q$11</f>
        <v>0.09</v>
      </c>
      <c r="L11" s="79">
        <f>$R$11</f>
        <v>0.14000000000000001</v>
      </c>
      <c r="M11" s="79">
        <f>$R$11</f>
        <v>0.14000000000000001</v>
      </c>
      <c r="N11" s="80">
        <f>$R$11</f>
        <v>0.14000000000000001</v>
      </c>
      <c r="O11" s="42" t="s">
        <v>33</v>
      </c>
      <c r="P11" s="10">
        <v>0.05</v>
      </c>
      <c r="Q11" s="10">
        <v>0.09</v>
      </c>
      <c r="R11" s="10">
        <v>0.14000000000000001</v>
      </c>
      <c r="S11"/>
    </row>
    <row r="12" spans="2:19" ht="16" customHeight="1" x14ac:dyDescent="0.2">
      <c r="B12" s="201" t="s">
        <v>6</v>
      </c>
      <c r="C12" s="83">
        <f t="shared" ref="C12:I12" si="7">C15+C14</f>
        <v>0</v>
      </c>
      <c r="D12" s="83">
        <f t="shared" si="7"/>
        <v>0</v>
      </c>
      <c r="E12" s="83">
        <f t="shared" si="7"/>
        <v>66.88</v>
      </c>
      <c r="F12" s="83">
        <f t="shared" si="7"/>
        <v>93.800000000000011</v>
      </c>
      <c r="G12" s="83">
        <f t="shared" si="7"/>
        <v>124.85</v>
      </c>
      <c r="H12" s="195">
        <f t="shared" si="7"/>
        <v>147.4</v>
      </c>
      <c r="I12" s="195">
        <f t="shared" si="7"/>
        <v>137.31</v>
      </c>
      <c r="J12" s="233">
        <f t="shared" ref="J12:N12" si="8">J15+J14</f>
        <v>157.5735</v>
      </c>
      <c r="K12" s="83">
        <f t="shared" si="8"/>
        <v>169.744575</v>
      </c>
      <c r="L12" s="83">
        <f t="shared" si="8"/>
        <v>188.75891474999997</v>
      </c>
      <c r="M12" s="83">
        <f t="shared" si="8"/>
        <v>210.19776702749999</v>
      </c>
      <c r="N12" s="84">
        <f t="shared" si="8"/>
        <v>234.388688834475</v>
      </c>
      <c r="O12" s="14"/>
      <c r="P12" s="18"/>
      <c r="Q12" s="14"/>
    </row>
    <row r="13" spans="2:19" ht="16" customHeight="1" x14ac:dyDescent="0.2">
      <c r="B13" s="199" t="s">
        <v>16</v>
      </c>
      <c r="C13" s="79" t="e">
        <f>(C12/C10)</f>
        <v>#DIV/0!</v>
      </c>
      <c r="D13" s="79" t="e">
        <f>(D12/D10)</f>
        <v>#DIV/0!</v>
      </c>
      <c r="E13" s="79">
        <f>(E12/E10)</f>
        <v>0.3501570680628272</v>
      </c>
      <c r="F13" s="79">
        <f>(F12/F10)</f>
        <v>0.33985507246376817</v>
      </c>
      <c r="G13" s="79">
        <f>(G12/G10)</f>
        <v>0.30303398058252423</v>
      </c>
      <c r="H13" s="79">
        <f t="shared" ref="H13:I13" si="9">(H12/H10)</f>
        <v>0.26751361161524501</v>
      </c>
      <c r="I13" s="80">
        <f t="shared" si="9"/>
        <v>0.26870841487279845</v>
      </c>
      <c r="J13" s="182">
        <f>J12/J10</f>
        <v>0.29367906066536204</v>
      </c>
      <c r="K13" s="79">
        <f>K12/K10</f>
        <v>0.29024129697122036</v>
      </c>
      <c r="L13" s="79">
        <f>L12/L10</f>
        <v>0.28311698405243974</v>
      </c>
      <c r="M13" s="79">
        <f>M12/M10</f>
        <v>0.27655511689040507</v>
      </c>
      <c r="N13" s="80">
        <f>N12/N10</f>
        <v>0.27051129187274148</v>
      </c>
      <c r="O13" s="14"/>
      <c r="P13" s="14"/>
      <c r="Q13" s="14"/>
    </row>
    <row r="14" spans="2:19" ht="16" customHeight="1" thickBot="1" x14ac:dyDescent="0.25">
      <c r="B14" s="198" t="s">
        <v>0</v>
      </c>
      <c r="C14" s="231"/>
      <c r="D14" s="231">
        <f t="shared" ref="D14:H14" si="10">INDEX($B$33:$I$59,MATCH(D8,$B$33:$B$59,0),8)</f>
        <v>0</v>
      </c>
      <c r="E14" s="231">
        <f t="shared" si="10"/>
        <v>12.84</v>
      </c>
      <c r="F14" s="231">
        <f t="shared" si="10"/>
        <v>22.9</v>
      </c>
      <c r="G14" s="231">
        <f t="shared" si="10"/>
        <v>27.5</v>
      </c>
      <c r="H14" s="231">
        <f t="shared" si="10"/>
        <v>33.21</v>
      </c>
      <c r="I14" s="225">
        <f>INDEX($B$33:$I$59,MATCH(I8,$B$33:$B$59,0),8)</f>
        <v>47.87</v>
      </c>
      <c r="J14" s="223">
        <f>(I14*$P$11)+I14</f>
        <v>50.263500000000001</v>
      </c>
      <c r="K14" s="221">
        <f t="shared" ref="K14:N14" si="11">(J14*$P$11)+J14</f>
        <v>52.776674999999997</v>
      </c>
      <c r="L14" s="223">
        <f t="shared" si="11"/>
        <v>55.415508750000001</v>
      </c>
      <c r="M14" s="203">
        <f t="shared" si="11"/>
        <v>58.1862841875</v>
      </c>
      <c r="N14" s="223">
        <f t="shared" si="11"/>
        <v>61.095598396874998</v>
      </c>
      <c r="O14" s="204"/>
      <c r="P14" s="14"/>
      <c r="Q14" s="14"/>
    </row>
    <row r="15" spans="2:19" ht="16" customHeight="1" outlineLevel="1" thickBot="1" x14ac:dyDescent="0.25">
      <c r="B15" s="63" t="s">
        <v>7</v>
      </c>
      <c r="C15" s="231">
        <f t="shared" ref="C15:G15" si="12">INDEX($B$33:$I$59,MATCH(C8,$B$33:$B$59,0),3)</f>
        <v>0</v>
      </c>
      <c r="D15" s="231">
        <f t="shared" si="12"/>
        <v>0</v>
      </c>
      <c r="E15" s="231">
        <f t="shared" si="12"/>
        <v>54.04</v>
      </c>
      <c r="F15" s="231">
        <f t="shared" si="12"/>
        <v>70.900000000000006</v>
      </c>
      <c r="G15" s="231">
        <f t="shared" si="12"/>
        <v>97.35</v>
      </c>
      <c r="H15" s="231">
        <f>INDEX($B$33:$I$59,MATCH(H8,$B$33:$B$59,0),3)</f>
        <v>114.19</v>
      </c>
      <c r="I15" s="231">
        <f>INDEX($B$33:$I$59,MATCH(I8,$B$33:$B$59,0),3)</f>
        <v>89.44</v>
      </c>
      <c r="J15" s="255">
        <f>J10*$P$16</f>
        <v>107.31</v>
      </c>
      <c r="K15" s="76">
        <f>K10*$P$16</f>
        <v>116.96789999999999</v>
      </c>
      <c r="L15" s="76">
        <f>L10*$P$16</f>
        <v>133.34340599999999</v>
      </c>
      <c r="M15" s="76">
        <f>M10*$P$16</f>
        <v>152.01148283999999</v>
      </c>
      <c r="N15" s="77">
        <f>N10*$P$16</f>
        <v>173.2930904376</v>
      </c>
      <c r="O15" s="14"/>
      <c r="P15" s="14"/>
      <c r="Q15" s="14"/>
    </row>
    <row r="16" spans="2:19" ht="16" customHeight="1" outlineLevel="1" thickBot="1" x14ac:dyDescent="0.25">
      <c r="B16" s="199" t="s">
        <v>17</v>
      </c>
      <c r="C16" s="227" t="e">
        <f t="shared" ref="C16:I16" si="13">(C15/C10)</f>
        <v>#DIV/0!</v>
      </c>
      <c r="D16" s="227" t="e">
        <f t="shared" si="13"/>
        <v>#DIV/0!</v>
      </c>
      <c r="E16" s="227">
        <f t="shared" si="13"/>
        <v>0.28293193717277487</v>
      </c>
      <c r="F16" s="227">
        <f t="shared" si="13"/>
        <v>0.25688405797101449</v>
      </c>
      <c r="G16" s="227">
        <f>(G15/G10)</f>
        <v>0.23628640776699028</v>
      </c>
      <c r="H16" s="227">
        <f t="shared" si="13"/>
        <v>0.20724137931034484</v>
      </c>
      <c r="I16" s="228">
        <f t="shared" si="13"/>
        <v>0.1750293542074364</v>
      </c>
      <c r="J16" s="229">
        <f t="shared" ref="J16:N16" si="14">(J15/J10)</f>
        <v>0.2</v>
      </c>
      <c r="K16" s="229">
        <f t="shared" si="14"/>
        <v>0.2</v>
      </c>
      <c r="L16" s="229">
        <f t="shared" si="14"/>
        <v>0.2</v>
      </c>
      <c r="M16" s="229">
        <f t="shared" si="14"/>
        <v>0.2</v>
      </c>
      <c r="N16" s="230">
        <f t="shared" si="14"/>
        <v>0.2</v>
      </c>
      <c r="O16" s="42" t="s">
        <v>32</v>
      </c>
      <c r="P16" s="17">
        <v>0.2</v>
      </c>
      <c r="Q16" s="14"/>
    </row>
    <row r="17" spans="2:17" ht="16" customHeight="1" outlineLevel="1" x14ac:dyDescent="0.2">
      <c r="B17" s="273" t="s">
        <v>55</v>
      </c>
      <c r="C17" s="231"/>
      <c r="D17" s="231"/>
      <c r="E17" s="231">
        <f t="shared" ref="E17:H17" si="15">INDEX($B$33:$I$59,MATCH(E8,$B$33:$B$59,0),4)</f>
        <v>3.6</v>
      </c>
      <c r="F17" s="231">
        <f t="shared" si="15"/>
        <v>10</v>
      </c>
      <c r="G17" s="231">
        <f t="shared" si="15"/>
        <v>11</v>
      </c>
      <c r="H17" s="231">
        <f t="shared" si="15"/>
        <v>17</v>
      </c>
      <c r="I17" s="256">
        <f>INDEX($B$33:$I$59,MATCH(I8,$B$33:$B$59,0),4)</f>
        <v>18.829999999999998</v>
      </c>
      <c r="J17" s="133">
        <f>(I17*$P$11)+I17</f>
        <v>19.7715</v>
      </c>
      <c r="K17" s="133">
        <f t="shared" ref="K17:N17" si="16">(J17*$P$11)+J17</f>
        <v>20.760075000000001</v>
      </c>
      <c r="L17" s="133">
        <f t="shared" si="16"/>
        <v>21.798078750000002</v>
      </c>
      <c r="M17" s="133">
        <f t="shared" si="16"/>
        <v>22.887982687500003</v>
      </c>
      <c r="N17" s="134">
        <f t="shared" si="16"/>
        <v>24.032381821875003</v>
      </c>
      <c r="O17" s="14"/>
      <c r="P17" s="14"/>
      <c r="Q17" s="14"/>
    </row>
    <row r="18" spans="2:17" ht="16" customHeight="1" outlineLevel="1" thickBot="1" x14ac:dyDescent="0.25">
      <c r="B18" s="274"/>
      <c r="C18" s="175"/>
      <c r="D18" s="175"/>
      <c r="E18" s="175"/>
      <c r="F18" s="175"/>
      <c r="G18" s="183"/>
      <c r="H18" s="183"/>
      <c r="I18" s="176"/>
      <c r="J18" s="82"/>
      <c r="K18" s="82"/>
      <c r="L18" s="82"/>
      <c r="M18" s="82"/>
      <c r="N18" s="88"/>
      <c r="O18" s="14"/>
      <c r="P18" s="14"/>
      <c r="Q18" s="14"/>
    </row>
    <row r="19" spans="2:17" ht="16" customHeight="1" thickBot="1" x14ac:dyDescent="0.25">
      <c r="B19" s="197" t="s">
        <v>1</v>
      </c>
      <c r="C19" s="171">
        <f t="shared" ref="C19:I19" si="17">C15-C17</f>
        <v>0</v>
      </c>
      <c r="D19" s="171">
        <f t="shared" si="17"/>
        <v>0</v>
      </c>
      <c r="E19" s="171">
        <f t="shared" si="17"/>
        <v>50.44</v>
      </c>
      <c r="F19" s="171">
        <f t="shared" si="17"/>
        <v>60.900000000000006</v>
      </c>
      <c r="G19" s="171">
        <f t="shared" si="17"/>
        <v>86.35</v>
      </c>
      <c r="H19" s="171">
        <f t="shared" si="17"/>
        <v>97.19</v>
      </c>
      <c r="I19" s="172">
        <f t="shared" si="17"/>
        <v>70.61</v>
      </c>
      <c r="J19" s="89">
        <f t="shared" ref="J19:N19" si="18">J15-J17-J18</f>
        <v>87.538499999999999</v>
      </c>
      <c r="K19" s="89">
        <f t="shared" si="18"/>
        <v>96.207824999999985</v>
      </c>
      <c r="L19" s="89">
        <f t="shared" si="18"/>
        <v>111.54532724999999</v>
      </c>
      <c r="M19" s="89">
        <f t="shared" si="18"/>
        <v>129.12350015249999</v>
      </c>
      <c r="N19" s="90">
        <f t="shared" si="18"/>
        <v>149.26070861572501</v>
      </c>
      <c r="O19" s="14"/>
      <c r="P19" s="14"/>
      <c r="Q19" s="14"/>
    </row>
    <row r="20" spans="2:17" ht="16" customHeight="1" collapsed="1" thickBot="1" x14ac:dyDescent="0.25">
      <c r="B20" s="198" t="s">
        <v>2</v>
      </c>
      <c r="C20" s="232">
        <f t="shared" ref="C20:G20" si="19">INDEX($B$33:$I$59,MATCH(C8,$B$33:$B$59,0),5)</f>
        <v>0</v>
      </c>
      <c r="D20" s="232">
        <f t="shared" si="19"/>
        <v>0</v>
      </c>
      <c r="E20" s="232">
        <f t="shared" si="19"/>
        <v>13.8</v>
      </c>
      <c r="F20" s="232">
        <f t="shared" si="19"/>
        <v>12.8</v>
      </c>
      <c r="G20" s="232">
        <f t="shared" si="19"/>
        <v>-16.100000000000001</v>
      </c>
      <c r="H20" s="232">
        <f>INDEX($B$33:$I$59,MATCH(H8,$B$33:$B$59,0),5)</f>
        <v>20</v>
      </c>
      <c r="I20" s="257">
        <f>INDEX($B$33:$I$59,MATCH(I8,$B$33:$B$59,0),5)</f>
        <v>15</v>
      </c>
      <c r="J20" s="86">
        <f>J19*J21</f>
        <v>18.383084999999998</v>
      </c>
      <c r="K20" s="86">
        <f t="shared" ref="K20:N20" si="20">K19*K21</f>
        <v>20.203643249999995</v>
      </c>
      <c r="L20" s="86">
        <f t="shared" si="20"/>
        <v>23.424518722499997</v>
      </c>
      <c r="M20" s="86">
        <f t="shared" si="20"/>
        <v>27.115935032024996</v>
      </c>
      <c r="N20" s="87">
        <f t="shared" si="20"/>
        <v>31.344748809302249</v>
      </c>
      <c r="O20" s="14"/>
      <c r="P20" s="14"/>
      <c r="Q20" s="14"/>
    </row>
    <row r="21" spans="2:17" ht="16" customHeight="1" thickBot="1" x14ac:dyDescent="0.25">
      <c r="B21" s="199" t="s">
        <v>10</v>
      </c>
      <c r="C21" s="180" t="e">
        <f>(C20/C19)</f>
        <v>#DIV/0!</v>
      </c>
      <c r="D21" s="180" t="e">
        <f>(D20/D19)</f>
        <v>#DIV/0!</v>
      </c>
      <c r="E21" s="180">
        <f>(E20/E19)</f>
        <v>0.27359238699444888</v>
      </c>
      <c r="F21" s="180">
        <f>(F20/F19)</f>
        <v>0.21018062397372742</v>
      </c>
      <c r="G21" s="180">
        <f>(G20/G19)</f>
        <v>-0.1864504921829763</v>
      </c>
      <c r="H21" s="180">
        <f t="shared" ref="H21:I21" si="21">(H20/H19)</f>
        <v>0.20578248791027884</v>
      </c>
      <c r="I21" s="181">
        <f t="shared" si="21"/>
        <v>0.21243449936269651</v>
      </c>
      <c r="J21" s="78">
        <f>$P$21</f>
        <v>0.21</v>
      </c>
      <c r="K21" s="78">
        <f t="shared" ref="K21:N21" si="22">$P$21</f>
        <v>0.21</v>
      </c>
      <c r="L21" s="78">
        <f t="shared" si="22"/>
        <v>0.21</v>
      </c>
      <c r="M21" s="78">
        <f t="shared" si="22"/>
        <v>0.21</v>
      </c>
      <c r="N21" s="85">
        <f t="shared" si="22"/>
        <v>0.21</v>
      </c>
      <c r="O21" s="42" t="s">
        <v>34</v>
      </c>
      <c r="P21" s="11">
        <v>0.21</v>
      </c>
      <c r="Q21" s="14"/>
    </row>
    <row r="22" spans="2:17" ht="16" customHeight="1" thickBot="1" x14ac:dyDescent="0.25">
      <c r="B22" s="200" t="s">
        <v>3</v>
      </c>
      <c r="C22" s="179">
        <f>C19-C20</f>
        <v>0</v>
      </c>
      <c r="D22" s="179">
        <f>D19-D20</f>
        <v>0</v>
      </c>
      <c r="E22" s="179">
        <f>E19-E20</f>
        <v>36.64</v>
      </c>
      <c r="F22" s="179">
        <f>F19-F20</f>
        <v>48.100000000000009</v>
      </c>
      <c r="G22" s="179">
        <f>G19-G20</f>
        <v>102.44999999999999</v>
      </c>
      <c r="H22" s="196">
        <f t="shared" ref="H22:I22" si="23">H19-H20</f>
        <v>77.19</v>
      </c>
      <c r="I22" s="184">
        <f t="shared" si="23"/>
        <v>55.61</v>
      </c>
      <c r="J22" s="91">
        <f t="shared" ref="J22:N22" si="24">J19-J20</f>
        <v>69.155415000000005</v>
      </c>
      <c r="K22" s="91">
        <f t="shared" si="24"/>
        <v>76.004181749999987</v>
      </c>
      <c r="L22" s="91">
        <f t="shared" si="24"/>
        <v>88.120808527499989</v>
      </c>
      <c r="M22" s="91">
        <f t="shared" si="24"/>
        <v>102.00756512047499</v>
      </c>
      <c r="N22" s="92">
        <f t="shared" si="24"/>
        <v>117.91595980642276</v>
      </c>
      <c r="O22" s="14"/>
      <c r="P22" s="14"/>
      <c r="Q22" s="14"/>
    </row>
    <row r="23" spans="2:17" ht="16" customHeight="1" thickBot="1" x14ac:dyDescent="0.25">
      <c r="B23" s="198" t="s">
        <v>4</v>
      </c>
      <c r="C23" s="150"/>
      <c r="D23" s="150"/>
      <c r="E23" s="150"/>
      <c r="F23" s="150"/>
      <c r="G23" s="150"/>
      <c r="H23" s="150">
        <f>INDEX($B$33:$I$59,MATCH(H8,$B$33:$B$59,0),6)</f>
        <v>0.06</v>
      </c>
      <c r="I23" s="150">
        <f>INDEX($B$33:$I$59,MATCH(I8,$B$33:$B$59,0),6)</f>
        <v>0.21</v>
      </c>
      <c r="J23" s="224">
        <f>I23*(1+$P$11)</f>
        <v>0.2205</v>
      </c>
      <c r="K23" s="81">
        <f t="shared" ref="K23:N23" si="25">J23*(1+$P$11)</f>
        <v>0.23152500000000001</v>
      </c>
      <c r="L23" s="81">
        <f t="shared" si="25"/>
        <v>0.24310125000000002</v>
      </c>
      <c r="M23" s="81">
        <f t="shared" si="25"/>
        <v>0.25525631250000003</v>
      </c>
      <c r="N23" s="193">
        <f t="shared" si="25"/>
        <v>0.26801912812500006</v>
      </c>
      <c r="O23" s="14"/>
      <c r="P23" s="14"/>
      <c r="Q23" s="14"/>
    </row>
    <row r="24" spans="2:17" ht="16" customHeight="1" x14ac:dyDescent="0.2">
      <c r="B24" s="201" t="s">
        <v>5</v>
      </c>
      <c r="C24" s="177">
        <f>C22-C23</f>
        <v>0</v>
      </c>
      <c r="D24" s="177">
        <f>D22-D23</f>
        <v>0</v>
      </c>
      <c r="E24" s="177">
        <f>E22-E23</f>
        <v>36.64</v>
      </c>
      <c r="F24" s="177">
        <f>F22-F23</f>
        <v>48.100000000000009</v>
      </c>
      <c r="G24" s="177">
        <f>G22-G23</f>
        <v>102.44999999999999</v>
      </c>
      <c r="H24" s="177">
        <f t="shared" ref="H24:I24" si="26">H22-H23</f>
        <v>77.13</v>
      </c>
      <c r="I24" s="178">
        <f t="shared" si="26"/>
        <v>55.4</v>
      </c>
      <c r="J24" s="93">
        <f t="shared" ref="J24:N24" si="27">J22-J23</f>
        <v>68.934915000000004</v>
      </c>
      <c r="K24" s="93">
        <f t="shared" si="27"/>
        <v>75.772656749999982</v>
      </c>
      <c r="L24" s="93">
        <f t="shared" si="27"/>
        <v>87.877707277499994</v>
      </c>
      <c r="M24" s="93">
        <f t="shared" si="27"/>
        <v>101.752308807975</v>
      </c>
      <c r="N24" s="94">
        <f t="shared" si="27"/>
        <v>117.64794067829776</v>
      </c>
      <c r="O24" s="14"/>
      <c r="P24" s="14"/>
      <c r="Q24" s="14"/>
    </row>
    <row r="25" spans="2:17" ht="16" customHeight="1" x14ac:dyDescent="0.2">
      <c r="B25" s="199" t="s">
        <v>37</v>
      </c>
      <c r="C25" s="78" t="e">
        <f t="shared" ref="C25:I25" si="28">C24/C10</f>
        <v>#DIV/0!</v>
      </c>
      <c r="D25" s="78" t="e">
        <f t="shared" si="28"/>
        <v>#DIV/0!</v>
      </c>
      <c r="E25" s="78">
        <f t="shared" si="28"/>
        <v>0.19183246073298429</v>
      </c>
      <c r="F25" s="78">
        <f t="shared" si="28"/>
        <v>0.17427536231884061</v>
      </c>
      <c r="G25" s="78">
        <f t="shared" si="28"/>
        <v>0.24866504854368929</v>
      </c>
      <c r="H25" s="78">
        <f t="shared" si="28"/>
        <v>0.13998185117967332</v>
      </c>
      <c r="I25" s="85">
        <f t="shared" si="28"/>
        <v>0.10841487279843444</v>
      </c>
      <c r="J25" s="78">
        <f t="shared" ref="J25:N25" si="29">J24/J10</f>
        <v>0.12847808219178083</v>
      </c>
      <c r="K25" s="78">
        <f t="shared" si="29"/>
        <v>0.12956145532235766</v>
      </c>
      <c r="L25" s="78">
        <f t="shared" si="29"/>
        <v>0.13180660358638208</v>
      </c>
      <c r="M25" s="78">
        <f t="shared" si="29"/>
        <v>0.13387450330324666</v>
      </c>
      <c r="N25" s="85">
        <f t="shared" si="29"/>
        <v>0.13577914777930614</v>
      </c>
      <c r="O25" s="14"/>
      <c r="P25" s="14"/>
      <c r="Q25" s="14"/>
    </row>
    <row r="26" spans="2:17" ht="16" customHeight="1" thickBot="1" x14ac:dyDescent="0.25">
      <c r="B26" s="63" t="s">
        <v>18</v>
      </c>
      <c r="C26" s="95" t="e">
        <f>C24/C27</f>
        <v>#DIV/0!</v>
      </c>
      <c r="D26" s="95" t="e">
        <f>D24/D27</f>
        <v>#DIV/0!</v>
      </c>
      <c r="E26" s="95" t="e">
        <f>E24/E27</f>
        <v>#DIV/0!</v>
      </c>
      <c r="F26" s="95">
        <f>F24/F27</f>
        <v>1.9240000000000004</v>
      </c>
      <c r="G26" s="95">
        <f>G24/G27</f>
        <v>4.0979999999999999</v>
      </c>
      <c r="H26" s="95">
        <f t="shared" ref="H26:I26" si="30">H24/H27</f>
        <v>3.2137499999999997</v>
      </c>
      <c r="I26" s="96">
        <f t="shared" si="30"/>
        <v>2.3083333333333331</v>
      </c>
      <c r="J26" s="95">
        <f>J24/J27</f>
        <v>2.8722881250000003</v>
      </c>
      <c r="K26" s="95">
        <f t="shared" ref="K26:N26" si="31">K24/K27</f>
        <v>3.2243683723404248</v>
      </c>
      <c r="L26" s="95">
        <f>L24/L27</f>
        <v>3.8207698816304343</v>
      </c>
      <c r="M26" s="95">
        <f t="shared" si="31"/>
        <v>4.5223248359100001</v>
      </c>
      <c r="N26" s="96">
        <f t="shared" si="31"/>
        <v>5.3476336671953524</v>
      </c>
      <c r="O26" s="14"/>
      <c r="P26" s="14"/>
      <c r="Q26" s="14"/>
    </row>
    <row r="27" spans="2:17" ht="16" customHeight="1" thickBot="1" x14ac:dyDescent="0.25">
      <c r="B27" s="69" t="s">
        <v>56</v>
      </c>
      <c r="C27" s="259"/>
      <c r="D27" s="232"/>
      <c r="E27" s="232"/>
      <c r="F27" s="232">
        <f t="shared" ref="F27:H27" si="32">INDEX($B$33:$I$59,MATCH(F8,$B$33:$B$59,0),7)</f>
        <v>25</v>
      </c>
      <c r="G27" s="232">
        <f t="shared" si="32"/>
        <v>25</v>
      </c>
      <c r="H27" s="232">
        <f t="shared" si="32"/>
        <v>24</v>
      </c>
      <c r="I27" s="258">
        <f>INDEX($B$33:$I$59,MATCH(I8,$B$33:$B$59,0),7)</f>
        <v>24</v>
      </c>
      <c r="J27" s="97">
        <v>24</v>
      </c>
      <c r="K27" s="97">
        <v>23.5</v>
      </c>
      <c r="L27" s="97">
        <v>23</v>
      </c>
      <c r="M27" s="97">
        <v>22.5</v>
      </c>
      <c r="N27" s="97">
        <v>22</v>
      </c>
      <c r="O27" s="204"/>
      <c r="P27" s="14"/>
      <c r="Q27" s="14"/>
    </row>
    <row r="28" spans="2:17" ht="16" customHeight="1" x14ac:dyDescent="0.2">
      <c r="B28" s="70"/>
      <c r="C28" s="81"/>
      <c r="D28" s="81"/>
      <c r="E28" s="81"/>
      <c r="F28" s="81"/>
      <c r="G28" s="81"/>
      <c r="H28" s="81"/>
      <c r="I28" s="81"/>
      <c r="J28" s="81"/>
      <c r="K28" s="81"/>
      <c r="L28" s="82"/>
      <c r="M28" s="98"/>
      <c r="N28" s="98"/>
      <c r="O28" s="14"/>
      <c r="P28" s="14"/>
      <c r="Q28" s="14"/>
    </row>
    <row r="29" spans="2:17" ht="16" customHeight="1" x14ac:dyDescent="0.2">
      <c r="B29" s="70"/>
      <c r="C29" s="82"/>
      <c r="D29" s="82"/>
      <c r="E29" s="82"/>
      <c r="F29" s="82"/>
      <c r="G29" s="82"/>
      <c r="H29" s="82"/>
      <c r="I29" s="82"/>
      <c r="J29" s="81"/>
      <c r="K29" s="81"/>
      <c r="L29" s="82"/>
      <c r="M29" s="98"/>
      <c r="N29" s="98"/>
      <c r="O29" s="14"/>
      <c r="P29" s="14"/>
      <c r="Q29" s="14"/>
    </row>
    <row r="30" spans="2:17" ht="16" customHeight="1" thickBot="1" x14ac:dyDescent="0.25">
      <c r="B30" s="70"/>
      <c r="C30" s="81"/>
      <c r="D30" s="81"/>
      <c r="E30" s="81"/>
      <c r="F30" s="81"/>
      <c r="G30" s="81"/>
      <c r="H30" s="81"/>
      <c r="I30" s="81"/>
      <c r="J30" s="81"/>
      <c r="K30" s="81"/>
      <c r="L30" s="81"/>
      <c r="M30" s="98"/>
      <c r="N30" s="98"/>
    </row>
    <row r="31" spans="2:17" ht="40" customHeight="1" thickBot="1" x14ac:dyDescent="0.25">
      <c r="B31" s="246" t="s">
        <v>84</v>
      </c>
      <c r="C31" s="247">
        <v>1</v>
      </c>
    </row>
    <row r="32" spans="2:17" ht="64" x14ac:dyDescent="0.2">
      <c r="B32" s="243" t="s">
        <v>83</v>
      </c>
      <c r="C32" s="244" t="s">
        <v>15</v>
      </c>
      <c r="D32" s="244" t="s">
        <v>7</v>
      </c>
      <c r="E32" s="245" t="s">
        <v>85</v>
      </c>
      <c r="F32" s="244" t="s">
        <v>2</v>
      </c>
      <c r="G32" s="244" t="s">
        <v>4</v>
      </c>
      <c r="H32" s="245" t="s">
        <v>56</v>
      </c>
      <c r="I32" s="245" t="s">
        <v>0</v>
      </c>
    </row>
    <row r="33" spans="2:9" x14ac:dyDescent="0.2">
      <c r="B33" s="30">
        <v>2020</v>
      </c>
      <c r="C33" s="248">
        <v>511</v>
      </c>
      <c r="D33" s="248">
        <v>89.44</v>
      </c>
      <c r="E33" s="248">
        <v>18.829999999999998</v>
      </c>
      <c r="F33" s="248">
        <v>15</v>
      </c>
      <c r="G33" s="248">
        <v>0.21</v>
      </c>
      <c r="H33" s="71">
        <v>24</v>
      </c>
      <c r="I33" s="248">
        <v>47.87</v>
      </c>
    </row>
    <row r="34" spans="2:9" x14ac:dyDescent="0.2">
      <c r="B34" s="30">
        <v>2019</v>
      </c>
      <c r="C34" s="248">
        <v>551</v>
      </c>
      <c r="D34" s="248">
        <v>114.19</v>
      </c>
      <c r="E34" s="248">
        <v>17</v>
      </c>
      <c r="F34" s="248">
        <v>20</v>
      </c>
      <c r="G34" s="248">
        <v>0.06</v>
      </c>
      <c r="H34" s="71">
        <v>24</v>
      </c>
      <c r="I34" s="248">
        <v>33.21</v>
      </c>
    </row>
    <row r="35" spans="2:9" x14ac:dyDescent="0.2">
      <c r="B35" s="30">
        <v>2018</v>
      </c>
      <c r="C35" s="248">
        <v>412</v>
      </c>
      <c r="D35" s="248">
        <v>97.35</v>
      </c>
      <c r="E35" s="248">
        <v>11</v>
      </c>
      <c r="F35" s="248">
        <v>-16.100000000000001</v>
      </c>
      <c r="G35" s="248">
        <v>0.41</v>
      </c>
      <c r="H35" s="71">
        <v>25</v>
      </c>
      <c r="I35" s="248">
        <v>27.5</v>
      </c>
    </row>
    <row r="36" spans="2:9" x14ac:dyDescent="0.2">
      <c r="B36" s="30">
        <v>2017</v>
      </c>
      <c r="C36" s="248">
        <v>276</v>
      </c>
      <c r="D36" s="248">
        <v>70.900000000000006</v>
      </c>
      <c r="E36" s="248">
        <v>10</v>
      </c>
      <c r="F36" s="248">
        <v>12.8</v>
      </c>
      <c r="G36" s="248">
        <v>0.35</v>
      </c>
      <c r="H36" s="71">
        <v>25</v>
      </c>
      <c r="I36" s="248">
        <v>22.9</v>
      </c>
    </row>
    <row r="37" spans="2:9" x14ac:dyDescent="0.2">
      <c r="B37" s="30">
        <v>2016</v>
      </c>
      <c r="C37" s="248">
        <v>191</v>
      </c>
      <c r="D37" s="248">
        <v>54.04</v>
      </c>
      <c r="E37" s="248">
        <v>3.6</v>
      </c>
      <c r="F37" s="248">
        <v>13.8</v>
      </c>
      <c r="G37" s="248">
        <v>0.45</v>
      </c>
      <c r="I37" s="248">
        <v>12.84</v>
      </c>
    </row>
    <row r="38" spans="2:9" x14ac:dyDescent="0.2">
      <c r="B38" s="30">
        <v>2015</v>
      </c>
      <c r="C38" s="248"/>
      <c r="D38" s="248"/>
      <c r="E38" s="248"/>
      <c r="F38" s="248"/>
      <c r="G38" s="248"/>
      <c r="I38" s="248"/>
    </row>
    <row r="39" spans="2:9" x14ac:dyDescent="0.2">
      <c r="B39" s="30">
        <v>2014</v>
      </c>
      <c r="C39" s="248"/>
      <c r="D39" s="248"/>
      <c r="E39" s="248"/>
      <c r="F39" s="248"/>
      <c r="G39" s="248"/>
      <c r="I39" s="248"/>
    </row>
    <row r="40" spans="2:9" x14ac:dyDescent="0.2">
      <c r="C40" s="248"/>
      <c r="D40" s="248"/>
      <c r="E40" s="248"/>
      <c r="F40" s="248"/>
      <c r="G40" s="248"/>
      <c r="I40" s="248"/>
    </row>
    <row r="41" spans="2:9" x14ac:dyDescent="0.2">
      <c r="C41" s="248"/>
      <c r="D41" s="248"/>
      <c r="E41" s="248"/>
      <c r="F41" s="248"/>
      <c r="G41" s="248"/>
      <c r="I41" s="248"/>
    </row>
    <row r="42" spans="2:9" x14ac:dyDescent="0.2">
      <c r="C42" s="248"/>
      <c r="D42" s="248"/>
      <c r="E42" s="248"/>
      <c r="F42" s="248"/>
      <c r="G42" s="248"/>
      <c r="I42" s="248"/>
    </row>
    <row r="43" spans="2:9" x14ac:dyDescent="0.2">
      <c r="C43" s="248"/>
      <c r="D43" s="248"/>
      <c r="E43" s="248"/>
      <c r="F43" s="248"/>
      <c r="G43" s="248"/>
      <c r="I43" s="248"/>
    </row>
    <row r="44" spans="2:9" x14ac:dyDescent="0.2">
      <c r="C44" s="248"/>
      <c r="D44" s="248"/>
      <c r="E44" s="248"/>
      <c r="F44" s="248"/>
      <c r="G44" s="248"/>
      <c r="I44" s="248"/>
    </row>
    <row r="45" spans="2:9" x14ac:dyDescent="0.2">
      <c r="C45" s="248"/>
      <c r="D45" s="248"/>
      <c r="E45" s="248"/>
      <c r="F45" s="248"/>
      <c r="G45" s="248"/>
      <c r="I45" s="248"/>
    </row>
    <row r="46" spans="2:9" x14ac:dyDescent="0.2">
      <c r="C46" s="248"/>
      <c r="D46" s="248"/>
      <c r="E46" s="248"/>
      <c r="F46" s="248"/>
      <c r="G46" s="248"/>
      <c r="I46" s="248"/>
    </row>
    <row r="47" spans="2:9" x14ac:dyDescent="0.2">
      <c r="C47" s="248"/>
      <c r="D47" s="248"/>
      <c r="E47" s="248"/>
      <c r="F47" s="248"/>
      <c r="G47" s="248"/>
      <c r="I47" s="248"/>
    </row>
    <row r="48" spans="2:9" x14ac:dyDescent="0.2">
      <c r="C48" s="248"/>
      <c r="D48" s="248"/>
      <c r="E48" s="248"/>
      <c r="F48" s="248"/>
      <c r="G48" s="248"/>
      <c r="I48" s="248"/>
    </row>
    <row r="49" spans="3:9" x14ac:dyDescent="0.2">
      <c r="C49" s="248"/>
      <c r="D49" s="248"/>
      <c r="E49" s="248"/>
      <c r="F49" s="248"/>
      <c r="G49" s="248"/>
      <c r="I49" s="248"/>
    </row>
    <row r="50" spans="3:9" x14ac:dyDescent="0.2">
      <c r="C50" s="248"/>
      <c r="D50" s="248"/>
      <c r="E50" s="248"/>
      <c r="F50" s="248"/>
      <c r="G50" s="248"/>
      <c r="I50" s="248"/>
    </row>
    <row r="51" spans="3:9" x14ac:dyDescent="0.2">
      <c r="C51" s="248"/>
      <c r="D51" s="248"/>
      <c r="E51" s="248"/>
      <c r="F51" s="248"/>
      <c r="G51" s="248"/>
      <c r="I51" s="248"/>
    </row>
    <row r="52" spans="3:9" x14ac:dyDescent="0.2">
      <c r="C52" s="248"/>
      <c r="D52" s="248"/>
      <c r="E52" s="248"/>
      <c r="F52" s="248"/>
      <c r="G52" s="248"/>
      <c r="I52" s="248"/>
    </row>
    <row r="53" spans="3:9" x14ac:dyDescent="0.2">
      <c r="C53" s="248"/>
      <c r="D53" s="248"/>
      <c r="E53" s="248"/>
      <c r="F53" s="248"/>
      <c r="G53" s="248"/>
      <c r="I53" s="248"/>
    </row>
    <row r="54" spans="3:9" x14ac:dyDescent="0.2">
      <c r="C54" s="248"/>
      <c r="D54" s="248"/>
      <c r="E54" s="248"/>
      <c r="F54" s="248"/>
      <c r="G54" s="248"/>
      <c r="I54" s="248"/>
    </row>
    <row r="55" spans="3:9" x14ac:dyDescent="0.2">
      <c r="C55" s="248"/>
      <c r="D55" s="248"/>
      <c r="E55" s="248"/>
      <c r="F55" s="248"/>
      <c r="G55" s="248"/>
      <c r="I55" s="248"/>
    </row>
    <row r="56" spans="3:9" x14ac:dyDescent="0.2">
      <c r="C56" s="248"/>
      <c r="D56" s="248"/>
      <c r="E56" s="248"/>
      <c r="F56" s="248"/>
      <c r="G56" s="248"/>
      <c r="I56" s="248"/>
    </row>
    <row r="57" spans="3:9" x14ac:dyDescent="0.2">
      <c r="C57" s="248"/>
      <c r="D57" s="248"/>
      <c r="E57" s="248"/>
      <c r="F57" s="248"/>
      <c r="G57" s="248"/>
      <c r="I57" s="248"/>
    </row>
    <row r="58" spans="3:9" x14ac:dyDescent="0.2">
      <c r="C58" s="248"/>
      <c r="D58" s="248"/>
      <c r="E58" s="248"/>
      <c r="F58" s="248"/>
      <c r="G58" s="248"/>
      <c r="I58" s="248"/>
    </row>
    <row r="59" spans="3:9" x14ac:dyDescent="0.2">
      <c r="C59" s="248"/>
      <c r="D59" s="248"/>
      <c r="E59" s="248"/>
      <c r="F59" s="248"/>
      <c r="G59" s="248"/>
      <c r="I59" s="248"/>
    </row>
  </sheetData>
  <mergeCells count="3">
    <mergeCell ref="B2:B8"/>
    <mergeCell ref="C2:N7"/>
    <mergeCell ref="B17:B18"/>
  </mergeCells>
  <pageMargins left="0.7" right="0.7" top="0.75" bottom="0.75" header="0.3" footer="0.3"/>
  <pageSetup paperSize="9" orientation="portrait" r:id="rId1"/>
  <drawing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47"/>
  <sheetViews>
    <sheetView topLeftCell="B1" workbookViewId="0">
      <selection activeCell="B20" sqref="B20:C47"/>
    </sheetView>
  </sheetViews>
  <sheetFormatPr baseColWidth="10" defaultColWidth="9.1640625" defaultRowHeight="16" x14ac:dyDescent="0.2"/>
  <cols>
    <col min="1" max="1" width="3.5" customWidth="1"/>
    <col min="2" max="2" width="46.5" style="28" customWidth="1"/>
    <col min="3" max="3" width="11.6640625" bestFit="1" customWidth="1"/>
    <col min="4" max="5" width="9.5" bestFit="1" customWidth="1"/>
    <col min="6" max="14" width="10.5" bestFit="1" customWidth="1"/>
  </cols>
  <sheetData>
    <row r="1" spans="2:15" ht="17" thickBot="1" x14ac:dyDescent="0.25"/>
    <row r="2" spans="2:15" ht="15" customHeight="1" x14ac:dyDescent="0.2">
      <c r="B2" s="261"/>
      <c r="C2" s="276"/>
      <c r="D2" s="277"/>
      <c r="E2" s="277"/>
      <c r="F2" s="277"/>
      <c r="G2" s="277"/>
      <c r="H2" s="277"/>
      <c r="I2" s="277"/>
      <c r="J2" s="277"/>
      <c r="K2" s="277"/>
      <c r="L2" s="277"/>
      <c r="M2" s="277"/>
      <c r="N2" s="278"/>
    </row>
    <row r="3" spans="2:15" ht="15" customHeight="1" x14ac:dyDescent="0.2">
      <c r="B3" s="262"/>
      <c r="C3" s="279"/>
      <c r="D3" s="280"/>
      <c r="E3" s="280"/>
      <c r="F3" s="280"/>
      <c r="G3" s="280"/>
      <c r="H3" s="280"/>
      <c r="I3" s="280"/>
      <c r="J3" s="280"/>
      <c r="K3" s="280"/>
      <c r="L3" s="280"/>
      <c r="M3" s="280"/>
      <c r="N3" s="281"/>
    </row>
    <row r="4" spans="2:15" ht="15" customHeight="1" x14ac:dyDescent="0.2">
      <c r="B4" s="262"/>
      <c r="C4" s="279"/>
      <c r="D4" s="280"/>
      <c r="E4" s="280"/>
      <c r="F4" s="280"/>
      <c r="G4" s="280"/>
      <c r="H4" s="280"/>
      <c r="I4" s="280"/>
      <c r="J4" s="280"/>
      <c r="K4" s="280"/>
      <c r="L4" s="280"/>
      <c r="M4" s="280"/>
      <c r="N4" s="281"/>
    </row>
    <row r="5" spans="2:15" ht="15" customHeight="1" x14ac:dyDescent="0.2">
      <c r="B5" s="262"/>
      <c r="C5" s="279"/>
      <c r="D5" s="280"/>
      <c r="E5" s="280"/>
      <c r="F5" s="280"/>
      <c r="G5" s="280"/>
      <c r="H5" s="280"/>
      <c r="I5" s="280"/>
      <c r="J5" s="280"/>
      <c r="K5" s="280"/>
      <c r="L5" s="280"/>
      <c r="M5" s="280"/>
      <c r="N5" s="281"/>
    </row>
    <row r="6" spans="2:15" ht="15" customHeight="1" x14ac:dyDescent="0.2">
      <c r="B6" s="262"/>
      <c r="C6" s="279"/>
      <c r="D6" s="280"/>
      <c r="E6" s="280"/>
      <c r="F6" s="280"/>
      <c r="G6" s="280"/>
      <c r="H6" s="280"/>
      <c r="I6" s="280"/>
      <c r="J6" s="280"/>
      <c r="K6" s="280"/>
      <c r="L6" s="280"/>
      <c r="M6" s="280"/>
      <c r="N6" s="281"/>
    </row>
    <row r="7" spans="2:15" ht="48.75" customHeight="1" thickBot="1" x14ac:dyDescent="0.25">
      <c r="B7" s="262"/>
      <c r="C7" s="279"/>
      <c r="D7" s="280"/>
      <c r="E7" s="280"/>
      <c r="F7" s="280"/>
      <c r="G7" s="280"/>
      <c r="H7" s="280"/>
      <c r="I7" s="280"/>
      <c r="J7" s="280"/>
      <c r="K7" s="280"/>
      <c r="L7" s="280"/>
      <c r="M7" s="280"/>
      <c r="N7" s="281"/>
    </row>
    <row r="8" spans="2:15" ht="18.75" customHeight="1" thickBot="1" x14ac:dyDescent="0.25">
      <c r="B8" s="275"/>
      <c r="C8" s="32">
        <v>2014</v>
      </c>
      <c r="D8" s="32">
        <v>2015</v>
      </c>
      <c r="E8" s="32">
        <v>2016</v>
      </c>
      <c r="F8" s="32">
        <v>2017</v>
      </c>
      <c r="G8" s="32">
        <v>2018</v>
      </c>
      <c r="H8" s="32">
        <v>2019</v>
      </c>
      <c r="I8" s="32">
        <v>2020</v>
      </c>
      <c r="J8" s="99">
        <v>2021</v>
      </c>
      <c r="K8" s="100">
        <v>2022</v>
      </c>
      <c r="L8" s="100">
        <v>2023</v>
      </c>
      <c r="M8" s="100">
        <v>2024</v>
      </c>
      <c r="N8" s="101">
        <v>2025</v>
      </c>
    </row>
    <row r="9" spans="2:15" x14ac:dyDescent="0.2">
      <c r="B9" s="62" t="s">
        <v>38</v>
      </c>
      <c r="C9" s="33"/>
      <c r="D9" s="34"/>
      <c r="E9" s="34"/>
      <c r="F9" s="34"/>
      <c r="G9" s="34"/>
      <c r="H9" s="34"/>
      <c r="I9" s="34"/>
      <c r="J9" s="35"/>
      <c r="K9" s="34"/>
      <c r="L9" s="34"/>
      <c r="M9" s="36"/>
      <c r="N9" s="37"/>
    </row>
    <row r="10" spans="2:15" x14ac:dyDescent="0.2">
      <c r="B10" s="63" t="s">
        <v>6</v>
      </c>
      <c r="C10" s="135">
        <f>'1.Income statement'!C12</f>
        <v>0</v>
      </c>
      <c r="D10" s="135">
        <f>'1.Income statement'!D12</f>
        <v>0</v>
      </c>
      <c r="E10" s="135">
        <f>'1.Income statement'!E12</f>
        <v>66.88</v>
      </c>
      <c r="F10" s="135">
        <f>'1.Income statement'!F12</f>
        <v>93.800000000000011</v>
      </c>
      <c r="G10" s="135">
        <f>'1.Income statement'!G12</f>
        <v>124.85</v>
      </c>
      <c r="H10" s="135">
        <f>'1.Income statement'!H12</f>
        <v>147.4</v>
      </c>
      <c r="I10" s="135">
        <f>'1.Income statement'!I12</f>
        <v>137.31</v>
      </c>
      <c r="J10" s="136">
        <f>'1.Income statement'!J12</f>
        <v>157.5735</v>
      </c>
      <c r="K10" s="135">
        <f>'1.Income statement'!K12</f>
        <v>169.744575</v>
      </c>
      <c r="L10" s="135">
        <f>'1.Income statement'!L12</f>
        <v>188.75891474999997</v>
      </c>
      <c r="M10" s="135">
        <f>'1.Income statement'!M12</f>
        <v>210.19776702749999</v>
      </c>
      <c r="N10" s="137">
        <f>'1.Income statement'!N12</f>
        <v>234.388688834475</v>
      </c>
    </row>
    <row r="11" spans="2:15" x14ac:dyDescent="0.2">
      <c r="B11" s="186" t="s">
        <v>40</v>
      </c>
      <c r="C11" s="147">
        <f t="shared" ref="C11:H11" si="0">INDEX($B$21:$C$199,MATCH(C8,$B$21:$B$27,0),2)</f>
        <v>0</v>
      </c>
      <c r="D11" s="147">
        <f t="shared" si="0"/>
        <v>0</v>
      </c>
      <c r="E11" s="147">
        <f t="shared" si="0"/>
        <v>0</v>
      </c>
      <c r="F11" s="147">
        <f t="shared" si="0"/>
        <v>0</v>
      </c>
      <c r="G11" s="147">
        <f t="shared" si="0"/>
        <v>6.5</v>
      </c>
      <c r="H11" s="147">
        <f t="shared" si="0"/>
        <v>5.17</v>
      </c>
      <c r="I11" s="147">
        <f>INDEX($B$21:$C$199,MATCH(I8,$B$21:$B$27,0),2)</f>
        <v>4.2</v>
      </c>
      <c r="J11" s="138">
        <f>(I11*'1.Income statement'!$P$11)+'2.Flujos de caja'!I11</f>
        <v>4.41</v>
      </c>
      <c r="K11" s="139">
        <f>(J11*'1.Income statement'!$P$11)+'2.Flujos de caja'!J11</f>
        <v>4.6305000000000005</v>
      </c>
      <c r="L11" s="139">
        <f>(K11*'1.Income statement'!$P$11)+'2.Flujos de caja'!K11</f>
        <v>4.8620250000000009</v>
      </c>
      <c r="M11" s="139">
        <f>(L11*'1.Income statement'!$P$11)+'2.Flujos de caja'!L11</f>
        <v>5.1051262500000014</v>
      </c>
      <c r="N11" s="140">
        <f>(M11*'1.Income statement'!$P$11)+'2.Flujos de caja'!M11</f>
        <v>5.3603825625000017</v>
      </c>
    </row>
    <row r="12" spans="2:15" x14ac:dyDescent="0.2">
      <c r="B12" s="187" t="s">
        <v>39</v>
      </c>
      <c r="C12" s="141">
        <f>'1.Income statement'!C17</f>
        <v>0</v>
      </c>
      <c r="D12" s="141">
        <f>'1.Income statement'!D17</f>
        <v>0</v>
      </c>
      <c r="E12" s="141">
        <f>'1.Income statement'!E17</f>
        <v>3.6</v>
      </c>
      <c r="F12" s="141">
        <f>'1.Income statement'!F17</f>
        <v>10</v>
      </c>
      <c r="G12" s="141">
        <f>'1.Income statement'!G17</f>
        <v>11</v>
      </c>
      <c r="H12" s="141">
        <f>'1.Income statement'!H17</f>
        <v>17</v>
      </c>
      <c r="I12" s="141">
        <f>'1.Income statement'!I17</f>
        <v>18.829999999999998</v>
      </c>
      <c r="J12" s="142">
        <f>'1.Income statement'!J17</f>
        <v>19.7715</v>
      </c>
      <c r="K12" s="141">
        <f>'1.Income statement'!K17</f>
        <v>20.760075000000001</v>
      </c>
      <c r="L12" s="141">
        <f>'1.Income statement'!L17</f>
        <v>21.798078750000002</v>
      </c>
      <c r="M12" s="141">
        <f>'1.Income statement'!M17</f>
        <v>22.887982687500003</v>
      </c>
      <c r="N12" s="143">
        <f>'1.Income statement'!N17</f>
        <v>24.032381821875003</v>
      </c>
    </row>
    <row r="13" spans="2:15" x14ac:dyDescent="0.2">
      <c r="B13" s="187" t="s">
        <v>41</v>
      </c>
      <c r="C13" s="141">
        <f>'1.Income statement'!C20</f>
        <v>0</v>
      </c>
      <c r="D13" s="141">
        <f>'1.Income statement'!D20</f>
        <v>0</v>
      </c>
      <c r="E13" s="141">
        <f>'1.Income statement'!E20</f>
        <v>13.8</v>
      </c>
      <c r="F13" s="141">
        <f>'1.Income statement'!F20</f>
        <v>12.8</v>
      </c>
      <c r="G13" s="141">
        <f>'1.Income statement'!G20</f>
        <v>-16.100000000000001</v>
      </c>
      <c r="H13" s="141">
        <f>'1.Income statement'!H20</f>
        <v>20</v>
      </c>
      <c r="I13" s="141">
        <f>'1.Income statement'!I20</f>
        <v>15</v>
      </c>
      <c r="J13" s="142">
        <f>'1.Income statement'!J20</f>
        <v>18.383084999999998</v>
      </c>
      <c r="K13" s="141">
        <f>'1.Income statement'!K20</f>
        <v>20.203643249999995</v>
      </c>
      <c r="L13" s="141">
        <f>'1.Income statement'!L20</f>
        <v>23.424518722499997</v>
      </c>
      <c r="M13" s="141">
        <f>'1.Income statement'!M20</f>
        <v>27.115935032024996</v>
      </c>
      <c r="N13" s="143">
        <f>'1.Income statement'!N20</f>
        <v>31.344748809302249</v>
      </c>
    </row>
    <row r="14" spans="2:15" x14ac:dyDescent="0.2">
      <c r="B14" s="188" t="s">
        <v>80</v>
      </c>
      <c r="C14" s="185">
        <f>'1.Income statement'!C23</f>
        <v>0</v>
      </c>
      <c r="D14" s="185">
        <f>'1.Income statement'!D23</f>
        <v>0</v>
      </c>
      <c r="E14" s="185">
        <f>'1.Income statement'!E23</f>
        <v>0</v>
      </c>
      <c r="F14" s="185">
        <f>'1.Income statement'!F23</f>
        <v>0</v>
      </c>
      <c r="G14" s="185">
        <f>'1.Income statement'!G23</f>
        <v>0</v>
      </c>
      <c r="H14" s="185">
        <f>'1.Income statement'!H23</f>
        <v>0.06</v>
      </c>
      <c r="I14" s="185">
        <f>'1.Income statement'!I23</f>
        <v>0.21</v>
      </c>
      <c r="J14" s="226">
        <f>'1.Income statement'!J23</f>
        <v>0.2205</v>
      </c>
      <c r="K14" s="191">
        <f>'1.Income statement'!K23</f>
        <v>0.23152500000000001</v>
      </c>
      <c r="L14" s="191">
        <f>'1.Income statement'!L23</f>
        <v>0.24310125000000002</v>
      </c>
      <c r="M14" s="191">
        <f>'1.Income statement'!M23</f>
        <v>0.25525631250000003</v>
      </c>
      <c r="N14" s="192">
        <f>'1.Income statement'!N23</f>
        <v>0.26801912812500006</v>
      </c>
    </row>
    <row r="15" spans="2:15" x14ac:dyDescent="0.2">
      <c r="B15" s="64" t="s">
        <v>8</v>
      </c>
      <c r="C15" s="144">
        <f t="shared" ref="C15:J15" si="1">C10-C11-C12-C13-C14</f>
        <v>0</v>
      </c>
      <c r="D15" s="144">
        <f t="shared" si="1"/>
        <v>0</v>
      </c>
      <c r="E15" s="144">
        <f t="shared" si="1"/>
        <v>49.47999999999999</v>
      </c>
      <c r="F15" s="144">
        <f t="shared" si="1"/>
        <v>71.000000000000014</v>
      </c>
      <c r="G15" s="144">
        <f t="shared" si="1"/>
        <v>123.44999999999999</v>
      </c>
      <c r="H15" s="144">
        <f t="shared" si="1"/>
        <v>105.17000000000002</v>
      </c>
      <c r="I15" s="144">
        <f t="shared" si="1"/>
        <v>99.070000000000022</v>
      </c>
      <c r="J15" s="202">
        <f t="shared" si="1"/>
        <v>114.788415</v>
      </c>
      <c r="K15" s="144">
        <f t="shared" ref="K15:M15" si="2">K10-K11-K12-K13-K14</f>
        <v>123.91883174999998</v>
      </c>
      <c r="L15" s="144">
        <f t="shared" si="2"/>
        <v>138.43119102750001</v>
      </c>
      <c r="M15" s="144">
        <f t="shared" si="2"/>
        <v>154.83346674547499</v>
      </c>
      <c r="N15" s="144">
        <f>N10-N11-N12-N13-N14</f>
        <v>173.38315651267277</v>
      </c>
      <c r="O15" s="215"/>
    </row>
    <row r="16" spans="2:15" ht="17" thickBot="1" x14ac:dyDescent="0.25">
      <c r="B16" s="65" t="s">
        <v>9</v>
      </c>
      <c r="C16" s="38" t="e">
        <f>C15/'1.Income statement'!C27</f>
        <v>#DIV/0!</v>
      </c>
      <c r="D16" s="38" t="e">
        <f>D15/'1.Income statement'!D27</f>
        <v>#DIV/0!</v>
      </c>
      <c r="E16" s="38" t="e">
        <f>E15/'1.Income statement'!E27</f>
        <v>#DIV/0!</v>
      </c>
      <c r="F16" s="38">
        <f>F15/'1.Income statement'!F27</f>
        <v>2.8400000000000007</v>
      </c>
      <c r="G16" s="38">
        <f>G15/'1.Income statement'!G27</f>
        <v>4.9379999999999997</v>
      </c>
      <c r="H16" s="38">
        <f>H15/'1.Income statement'!H27</f>
        <v>4.382083333333334</v>
      </c>
      <c r="I16" s="38">
        <f>I15/'1.Income statement'!I27</f>
        <v>4.1279166666666676</v>
      </c>
      <c r="J16" s="39">
        <f>J15/'1.Income statement'!J27</f>
        <v>4.782850625</v>
      </c>
      <c r="K16" s="38">
        <f>K15/'1.Income statement'!K27</f>
        <v>5.273141776595744</v>
      </c>
      <c r="L16" s="38">
        <f>L15/'1.Income statement'!L27</f>
        <v>6.0187474359782609</v>
      </c>
      <c r="M16" s="38">
        <f>M15/'1.Income statement'!M27</f>
        <v>6.8814874109099993</v>
      </c>
      <c r="N16" s="40">
        <f>N15/'1.Income statement'!N27</f>
        <v>7.8810525687578528</v>
      </c>
      <c r="O16" s="205"/>
    </row>
    <row r="17" spans="2:14" x14ac:dyDescent="0.2">
      <c r="B17" s="27"/>
      <c r="C17" s="3"/>
      <c r="D17" s="3"/>
      <c r="E17" s="3"/>
      <c r="F17" s="3"/>
      <c r="G17" s="3"/>
      <c r="H17" s="3"/>
      <c r="I17" s="3"/>
      <c r="J17" s="3"/>
      <c r="K17" s="3"/>
      <c r="L17" s="3"/>
      <c r="M17" s="3"/>
      <c r="N17" s="3"/>
    </row>
    <row r="18" spans="2:14" x14ac:dyDescent="0.2">
      <c r="B18" s="4"/>
      <c r="C18" s="3"/>
      <c r="D18" s="3"/>
      <c r="E18" s="3"/>
      <c r="F18" s="3"/>
      <c r="G18" s="3"/>
      <c r="H18" s="3"/>
      <c r="I18" s="3"/>
      <c r="J18" s="3"/>
      <c r="K18" s="3"/>
      <c r="L18" s="3"/>
      <c r="M18" s="3"/>
      <c r="N18" s="3"/>
    </row>
    <row r="20" spans="2:14" ht="48" x14ac:dyDescent="0.2">
      <c r="B20" s="249" t="s">
        <v>83</v>
      </c>
      <c r="C20" s="254" t="str">
        <f>B11</f>
        <v>Capex (introducir manual)</v>
      </c>
    </row>
    <row r="21" spans="2:14" x14ac:dyDescent="0.2">
      <c r="B21" s="250">
        <v>2020</v>
      </c>
      <c r="C21" s="251">
        <v>4.2</v>
      </c>
    </row>
    <row r="22" spans="2:14" x14ac:dyDescent="0.2">
      <c r="B22" s="252">
        <v>2019</v>
      </c>
      <c r="C22" s="253">
        <v>5.17</v>
      </c>
    </row>
    <row r="23" spans="2:14" x14ac:dyDescent="0.2">
      <c r="B23" s="250">
        <v>2018</v>
      </c>
      <c r="C23" s="251">
        <v>6.5</v>
      </c>
    </row>
    <row r="24" spans="2:14" x14ac:dyDescent="0.2">
      <c r="B24" s="252">
        <v>2017</v>
      </c>
      <c r="C24" s="253"/>
    </row>
    <row r="25" spans="2:14" x14ac:dyDescent="0.2">
      <c r="B25" s="250">
        <v>2016</v>
      </c>
      <c r="C25" s="251"/>
    </row>
    <row r="26" spans="2:14" x14ac:dyDescent="0.2">
      <c r="B26" s="252">
        <v>2015</v>
      </c>
      <c r="C26" s="253"/>
    </row>
    <row r="27" spans="2:14" x14ac:dyDescent="0.2">
      <c r="B27" s="250">
        <v>2014</v>
      </c>
      <c r="C27" s="251"/>
    </row>
    <row r="28" spans="2:14" x14ac:dyDescent="0.2">
      <c r="B28" s="252"/>
      <c r="C28" s="253"/>
    </row>
    <row r="29" spans="2:14" x14ac:dyDescent="0.2">
      <c r="B29" s="250"/>
      <c r="C29" s="251"/>
    </row>
    <row r="30" spans="2:14" x14ac:dyDescent="0.2">
      <c r="B30" s="252"/>
      <c r="C30" s="253"/>
    </row>
    <row r="31" spans="2:14" x14ac:dyDescent="0.2">
      <c r="B31" s="250"/>
      <c r="C31" s="251"/>
    </row>
    <row r="32" spans="2:14" x14ac:dyDescent="0.2">
      <c r="B32" s="252"/>
      <c r="C32" s="253"/>
    </row>
    <row r="33" spans="2:3" x14ac:dyDescent="0.2">
      <c r="B33" s="250"/>
      <c r="C33" s="251"/>
    </row>
    <row r="34" spans="2:3" x14ac:dyDescent="0.2">
      <c r="B34" s="252"/>
      <c r="C34" s="253"/>
    </row>
    <row r="35" spans="2:3" x14ac:dyDescent="0.2">
      <c r="B35" s="250"/>
      <c r="C35" s="251"/>
    </row>
    <row r="36" spans="2:3" x14ac:dyDescent="0.2">
      <c r="B36" s="252"/>
      <c r="C36" s="253"/>
    </row>
    <row r="37" spans="2:3" x14ac:dyDescent="0.2">
      <c r="B37" s="250"/>
      <c r="C37" s="251"/>
    </row>
    <row r="38" spans="2:3" x14ac:dyDescent="0.2">
      <c r="B38" s="252"/>
      <c r="C38" s="253"/>
    </row>
    <row r="39" spans="2:3" x14ac:dyDescent="0.2">
      <c r="B39" s="250"/>
      <c r="C39" s="251"/>
    </row>
    <row r="40" spans="2:3" x14ac:dyDescent="0.2">
      <c r="B40" s="252"/>
      <c r="C40" s="253"/>
    </row>
    <row r="41" spans="2:3" x14ac:dyDescent="0.2">
      <c r="B41" s="250"/>
      <c r="C41" s="251"/>
    </row>
    <row r="42" spans="2:3" x14ac:dyDescent="0.2">
      <c r="B42" s="252"/>
      <c r="C42" s="253"/>
    </row>
    <row r="43" spans="2:3" x14ac:dyDescent="0.2">
      <c r="B43" s="250"/>
      <c r="C43" s="251"/>
    </row>
    <row r="44" spans="2:3" x14ac:dyDescent="0.2">
      <c r="B44" s="252"/>
      <c r="C44" s="253"/>
    </row>
    <row r="45" spans="2:3" x14ac:dyDescent="0.2">
      <c r="B45" s="250"/>
      <c r="C45" s="251"/>
    </row>
    <row r="46" spans="2:3" x14ac:dyDescent="0.2">
      <c r="B46" s="252"/>
      <c r="C46" s="253"/>
    </row>
    <row r="47" spans="2:3" x14ac:dyDescent="0.2">
      <c r="B47" s="250"/>
      <c r="C47" s="251"/>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R58"/>
  <sheetViews>
    <sheetView workbookViewId="0">
      <selection activeCell="N15" sqref="N15"/>
    </sheetView>
  </sheetViews>
  <sheetFormatPr baseColWidth="10" defaultColWidth="9.1640625" defaultRowHeight="15" x14ac:dyDescent="0.2"/>
  <cols>
    <col min="1" max="1" width="4.1640625" customWidth="1"/>
    <col min="2" max="2" width="31.33203125" customWidth="1"/>
    <col min="3" max="3" width="16.1640625" customWidth="1"/>
    <col min="4" max="4" width="12" customWidth="1"/>
    <col min="5" max="5" width="11.83203125" customWidth="1"/>
    <col min="6" max="6" width="11" customWidth="1"/>
    <col min="15" max="15" width="13.83203125" customWidth="1"/>
  </cols>
  <sheetData>
    <row r="1" spans="2:18" ht="16" thickBot="1" x14ac:dyDescent="0.25"/>
    <row r="2" spans="2:18" ht="15" customHeight="1" x14ac:dyDescent="0.2">
      <c r="B2" s="282"/>
      <c r="C2" s="276"/>
      <c r="D2" s="277"/>
      <c r="E2" s="277"/>
      <c r="F2" s="277"/>
      <c r="G2" s="277"/>
      <c r="H2" s="277"/>
      <c r="I2" s="277"/>
      <c r="J2" s="277"/>
      <c r="K2" s="277"/>
      <c r="L2" s="277"/>
      <c r="M2" s="277"/>
      <c r="N2" s="278"/>
    </row>
    <row r="3" spans="2:18" ht="15" customHeight="1" x14ac:dyDescent="0.2">
      <c r="B3" s="283"/>
      <c r="C3" s="279"/>
      <c r="D3" s="280"/>
      <c r="E3" s="280"/>
      <c r="F3" s="280"/>
      <c r="G3" s="280"/>
      <c r="H3" s="280"/>
      <c r="I3" s="280"/>
      <c r="J3" s="280"/>
      <c r="K3" s="280"/>
      <c r="L3" s="280"/>
      <c r="M3" s="280"/>
      <c r="N3" s="281"/>
    </row>
    <row r="4" spans="2:18" ht="15" customHeight="1" x14ac:dyDescent="0.2">
      <c r="B4" s="283"/>
      <c r="C4" s="279"/>
      <c r="D4" s="280"/>
      <c r="E4" s="280"/>
      <c r="F4" s="280"/>
      <c r="G4" s="280"/>
      <c r="H4" s="280"/>
      <c r="I4" s="280"/>
      <c r="J4" s="280"/>
      <c r="K4" s="280"/>
      <c r="L4" s="280"/>
      <c r="M4" s="280"/>
      <c r="N4" s="281"/>
    </row>
    <row r="5" spans="2:18" ht="15" customHeight="1" x14ac:dyDescent="0.2">
      <c r="B5" s="283"/>
      <c r="C5" s="279"/>
      <c r="D5" s="280"/>
      <c r="E5" s="280"/>
      <c r="F5" s="280"/>
      <c r="G5" s="280"/>
      <c r="H5" s="280"/>
      <c r="I5" s="280"/>
      <c r="J5" s="280"/>
      <c r="K5" s="280"/>
      <c r="L5" s="280"/>
      <c r="M5" s="280"/>
      <c r="N5" s="281"/>
    </row>
    <row r="6" spans="2:18" ht="15" customHeight="1" x14ac:dyDescent="0.2">
      <c r="B6" s="283"/>
      <c r="C6" s="279"/>
      <c r="D6" s="280"/>
      <c r="E6" s="280"/>
      <c r="F6" s="280"/>
      <c r="G6" s="280"/>
      <c r="H6" s="280"/>
      <c r="I6" s="280"/>
      <c r="J6" s="280"/>
      <c r="K6" s="280"/>
      <c r="L6" s="280"/>
      <c r="M6" s="280"/>
      <c r="N6" s="281"/>
    </row>
    <row r="7" spans="2:18" ht="48.75" customHeight="1" thickBot="1" x14ac:dyDescent="0.25">
      <c r="B7" s="283"/>
      <c r="C7" s="279"/>
      <c r="D7" s="280"/>
      <c r="E7" s="280"/>
      <c r="F7" s="280"/>
      <c r="G7" s="280"/>
      <c r="H7" s="280"/>
      <c r="I7" s="280"/>
      <c r="J7" s="280"/>
      <c r="K7" s="280"/>
      <c r="L7" s="280"/>
      <c r="M7" s="280"/>
      <c r="N7" s="281"/>
    </row>
    <row r="8" spans="2:18" ht="18.75" customHeight="1" thickBot="1" x14ac:dyDescent="0.25">
      <c r="B8" s="283"/>
      <c r="C8" s="32">
        <v>2014</v>
      </c>
      <c r="D8" s="32">
        <v>2015</v>
      </c>
      <c r="E8" s="32">
        <v>2016</v>
      </c>
      <c r="F8" s="32">
        <v>2017</v>
      </c>
      <c r="G8" s="32">
        <v>2018</v>
      </c>
      <c r="H8" s="32">
        <v>2019</v>
      </c>
      <c r="I8" s="32">
        <v>2020</v>
      </c>
      <c r="J8" s="99">
        <v>2021</v>
      </c>
      <c r="K8" s="100">
        <v>2022</v>
      </c>
      <c r="L8" s="100">
        <v>2023</v>
      </c>
      <c r="M8" s="100">
        <v>2024</v>
      </c>
      <c r="N8" s="101">
        <v>2025</v>
      </c>
    </row>
    <row r="9" spans="2:18" ht="17" thickBot="1" x14ac:dyDescent="0.25">
      <c r="B9" s="43" t="s">
        <v>42</v>
      </c>
      <c r="C9" s="66"/>
      <c r="D9" s="67"/>
      <c r="E9" s="67"/>
      <c r="F9" s="67"/>
      <c r="G9" s="67"/>
      <c r="H9" s="67"/>
      <c r="I9" s="145"/>
      <c r="J9" s="66"/>
      <c r="K9" s="67"/>
      <c r="L9" s="67"/>
      <c r="M9" s="49"/>
      <c r="N9" s="50"/>
    </row>
    <row r="10" spans="2:18" ht="16" thickBot="1" x14ac:dyDescent="0.25">
      <c r="B10" s="206" t="s">
        <v>11</v>
      </c>
      <c r="C10" s="45">
        <f>'1.Income statement'!C15</f>
        <v>0</v>
      </c>
      <c r="D10" s="45">
        <f>'1.Income statement'!D15</f>
        <v>0</v>
      </c>
      <c r="E10" s="45">
        <f>'1.Income statement'!E15</f>
        <v>54.04</v>
      </c>
      <c r="F10" s="45">
        <f>'1.Income statement'!F15</f>
        <v>70.900000000000006</v>
      </c>
      <c r="G10" s="45">
        <f>'1.Income statement'!G15</f>
        <v>97.35</v>
      </c>
      <c r="H10" s="45">
        <f>'1.Income statement'!H15</f>
        <v>114.19</v>
      </c>
      <c r="I10" s="45">
        <f>'1.Income statement'!I15</f>
        <v>89.44</v>
      </c>
      <c r="J10" s="44">
        <f>'1.Income statement'!J15</f>
        <v>107.31</v>
      </c>
      <c r="K10" s="45">
        <f>'1.Income statement'!K15</f>
        <v>116.96789999999999</v>
      </c>
      <c r="L10" s="45">
        <f>'1.Income statement'!L15</f>
        <v>133.34340599999999</v>
      </c>
      <c r="M10" s="45">
        <f>'1.Income statement'!M15</f>
        <v>152.01148283999999</v>
      </c>
      <c r="N10" s="46">
        <f>'1.Income statement'!N15</f>
        <v>173.2930904376</v>
      </c>
      <c r="O10" s="16" t="s">
        <v>33</v>
      </c>
      <c r="P10" s="10">
        <f>'1.Income statement'!$P$11</f>
        <v>0.05</v>
      </c>
      <c r="Q10" s="10">
        <f>'1.Income statement'!Q11</f>
        <v>0.09</v>
      </c>
      <c r="R10" s="10">
        <f>'1.Income statement'!R11</f>
        <v>0.14000000000000001</v>
      </c>
    </row>
    <row r="11" spans="2:18" x14ac:dyDescent="0.2">
      <c r="B11" s="207" t="s">
        <v>43</v>
      </c>
      <c r="C11" s="52">
        <f>'1.Income statement'!C17</f>
        <v>0</v>
      </c>
      <c r="D11" s="52">
        <f>'1.Income statement'!D17</f>
        <v>0</v>
      </c>
      <c r="E11" s="52">
        <f>'1.Income statement'!E17</f>
        <v>3.6</v>
      </c>
      <c r="F11" s="52">
        <f>'1.Income statement'!F17</f>
        <v>10</v>
      </c>
      <c r="G11" s="52">
        <f>'1.Income statement'!G17</f>
        <v>11</v>
      </c>
      <c r="H11" s="52">
        <f>'1.Income statement'!H17</f>
        <v>17</v>
      </c>
      <c r="I11" s="52">
        <f>'1.Income statement'!I17</f>
        <v>18.829999999999998</v>
      </c>
      <c r="J11" s="51">
        <f>'1.Income statement'!J17</f>
        <v>19.7715</v>
      </c>
      <c r="K11" s="52">
        <f>'1.Income statement'!K17</f>
        <v>20.760075000000001</v>
      </c>
      <c r="L11" s="52">
        <f>'1.Income statement'!L17</f>
        <v>21.798078750000002</v>
      </c>
      <c r="M11" s="52">
        <f>'1.Income statement'!M17</f>
        <v>22.887982687500003</v>
      </c>
      <c r="N11" s="53">
        <f>'1.Income statement'!N17</f>
        <v>24.032381821875003</v>
      </c>
    </row>
    <row r="12" spans="2:18" x14ac:dyDescent="0.2">
      <c r="B12" s="208" t="s">
        <v>41</v>
      </c>
      <c r="C12" s="54">
        <f>'1.Income statement'!C20</f>
        <v>0</v>
      </c>
      <c r="D12" s="54">
        <f>'1.Income statement'!D20</f>
        <v>0</v>
      </c>
      <c r="E12" s="54">
        <f>'1.Income statement'!E20</f>
        <v>13.8</v>
      </c>
      <c r="F12" s="54">
        <f>'1.Income statement'!F20</f>
        <v>12.8</v>
      </c>
      <c r="G12" s="54">
        <f>'1.Income statement'!G20</f>
        <v>-16.100000000000001</v>
      </c>
      <c r="H12" s="54">
        <f>'1.Income statement'!H20</f>
        <v>20</v>
      </c>
      <c r="I12" s="55">
        <f>'1.Income statement'!I20</f>
        <v>15</v>
      </c>
      <c r="J12" s="54">
        <f>'1.Income statement'!J20</f>
        <v>18.383084999999998</v>
      </c>
      <c r="K12" s="54">
        <f>'1.Income statement'!K20</f>
        <v>20.203643249999995</v>
      </c>
      <c r="L12" s="54">
        <f>'1.Income statement'!L20</f>
        <v>23.424518722499997</v>
      </c>
      <c r="M12" s="54">
        <f>'1.Income statement'!M20</f>
        <v>27.115935032024996</v>
      </c>
      <c r="N12" s="55">
        <f>'1.Income statement'!N20</f>
        <v>31.344748809302249</v>
      </c>
    </row>
    <row r="13" spans="2:18" x14ac:dyDescent="0.2">
      <c r="B13" s="209" t="s">
        <v>12</v>
      </c>
      <c r="C13" s="45">
        <f>'1.Income statement'!C24</f>
        <v>0</v>
      </c>
      <c r="D13" s="45">
        <f>'1.Income statement'!D24</f>
        <v>0</v>
      </c>
      <c r="E13" s="45">
        <f>'1.Income statement'!E24</f>
        <v>36.64</v>
      </c>
      <c r="F13" s="45">
        <f>'1.Income statement'!F24</f>
        <v>48.100000000000009</v>
      </c>
      <c r="G13" s="45">
        <f>'1.Income statement'!G24</f>
        <v>102.44999999999999</v>
      </c>
      <c r="H13" s="45">
        <f>'1.Income statement'!H24</f>
        <v>77.13</v>
      </c>
      <c r="I13" s="45">
        <f>'1.Income statement'!I24</f>
        <v>55.4</v>
      </c>
      <c r="J13" s="44">
        <f>'1.Income statement'!J24</f>
        <v>68.934915000000004</v>
      </c>
      <c r="K13" s="45">
        <f>'1.Income statement'!K24</f>
        <v>75.772656749999982</v>
      </c>
      <c r="L13" s="45">
        <f>'1.Income statement'!L24</f>
        <v>87.877707277499994</v>
      </c>
      <c r="M13" s="45">
        <f>'1.Income statement'!M24</f>
        <v>101.752308807975</v>
      </c>
      <c r="N13" s="46">
        <f>'1.Income statement'!N24</f>
        <v>117.64794067829776</v>
      </c>
    </row>
    <row r="14" spans="2:18" x14ac:dyDescent="0.2">
      <c r="B14" s="210" t="s">
        <v>47</v>
      </c>
      <c r="C14" s="260">
        <f t="shared" ref="C14:G14" si="0">INDEX($B$32:$F$52,MATCH(C$8,$B$32:$B$52,0),2)</f>
        <v>0</v>
      </c>
      <c r="D14" s="260">
        <f t="shared" si="0"/>
        <v>0</v>
      </c>
      <c r="E14" s="260">
        <f t="shared" si="0"/>
        <v>36</v>
      </c>
      <c r="F14" s="260">
        <f t="shared" si="0"/>
        <v>56</v>
      </c>
      <c r="G14" s="260">
        <f t="shared" si="0"/>
        <v>32</v>
      </c>
      <c r="H14" s="260">
        <f>INDEX($B$32:$F$52,MATCH(H$8,$B$32:$B$52,0),2)</f>
        <v>50</v>
      </c>
      <c r="I14" s="189">
        <f>INDEX($B$32:$F$52,MATCH(I$8,$B$32:$B$52,0),2)</f>
        <v>44</v>
      </c>
      <c r="J14" s="54">
        <f>I14*$P$10+I14</f>
        <v>46.2</v>
      </c>
      <c r="K14" s="54">
        <f>J14*$Q$10+J14</f>
        <v>50.358000000000004</v>
      </c>
      <c r="L14" s="54">
        <f>K14*$R$10+K14</f>
        <v>57.408120000000004</v>
      </c>
      <c r="M14" s="54">
        <f t="shared" ref="M14:N14" si="1">L14*$R$10+L14</f>
        <v>65.44525680000001</v>
      </c>
      <c r="N14" s="54">
        <f t="shared" si="1"/>
        <v>74.607592752000016</v>
      </c>
      <c r="O14" s="215"/>
    </row>
    <row r="15" spans="2:18" x14ac:dyDescent="0.2">
      <c r="B15" s="211" t="s">
        <v>44</v>
      </c>
      <c r="C15" s="260">
        <f t="shared" ref="C15:G15" si="2">INDEX($B$32:$F$52,MATCH(C$8,$B$32:$B$52,0),3)</f>
        <v>0</v>
      </c>
      <c r="D15" s="260">
        <f t="shared" si="2"/>
        <v>0</v>
      </c>
      <c r="E15" s="260">
        <f t="shared" si="2"/>
        <v>257</v>
      </c>
      <c r="F15" s="260">
        <f t="shared" si="2"/>
        <v>230</v>
      </c>
      <c r="G15" s="260">
        <f t="shared" si="2"/>
        <v>276</v>
      </c>
      <c r="H15" s="260">
        <f>INDEX($B$32:$F$52,MATCH(H$8,$B$32:$B$52,0),3)</f>
        <v>541</v>
      </c>
      <c r="I15" s="189">
        <f>INDEX($B$32:$F$52,MATCH(I$8,$B$32:$B$52,0),3)</f>
        <v>460</v>
      </c>
      <c r="J15" s="54">
        <f t="shared" ref="J15:J17" si="3">I15*$P$10+I15</f>
        <v>483</v>
      </c>
      <c r="K15" s="54">
        <f>J15*$Q$10+J15</f>
        <v>526.47</v>
      </c>
      <c r="L15" s="54">
        <f t="shared" ref="L15:N15" si="4">K15*$R$10+K15</f>
        <v>600.17579999999998</v>
      </c>
      <c r="M15" s="54">
        <f t="shared" si="4"/>
        <v>684.20041200000003</v>
      </c>
      <c r="N15" s="54">
        <f t="shared" si="4"/>
        <v>779.98846967999998</v>
      </c>
      <c r="O15" s="215"/>
    </row>
    <row r="16" spans="2:18" x14ac:dyDescent="0.2">
      <c r="B16" s="210" t="s">
        <v>45</v>
      </c>
      <c r="C16" s="260">
        <f t="shared" ref="C16:G16" si="5">INDEX($B$32:$F$52,MATCH(C$8,$B$32:$B$52,0),4)</f>
        <v>0</v>
      </c>
      <c r="D16" s="260">
        <f t="shared" si="5"/>
        <v>0</v>
      </c>
      <c r="E16" s="260">
        <f t="shared" si="5"/>
        <v>0</v>
      </c>
      <c r="F16" s="260">
        <f t="shared" si="5"/>
        <v>226</v>
      </c>
      <c r="G16" s="260">
        <f t="shared" si="5"/>
        <v>357</v>
      </c>
      <c r="H16" s="260">
        <f>INDEX($B$32:$F$52,MATCH(H$8,$B$32:$B$52,0),4)</f>
        <v>510</v>
      </c>
      <c r="I16" s="189">
        <f>INDEX($B$32:$F$52,MATCH(I$8,$B$32:$B$52,0),4)</f>
        <v>439</v>
      </c>
      <c r="J16" s="54">
        <f t="shared" si="3"/>
        <v>460.95</v>
      </c>
      <c r="K16" s="54">
        <f>J16*$Q$10+J16</f>
        <v>502.43549999999999</v>
      </c>
      <c r="L16" s="54">
        <f t="shared" ref="L16:N16" si="6">K16*$R$10+K16</f>
        <v>572.77647000000002</v>
      </c>
      <c r="M16" s="54">
        <f t="shared" si="6"/>
        <v>652.9651758</v>
      </c>
      <c r="N16" s="54">
        <f t="shared" si="6"/>
        <v>744.380300412</v>
      </c>
      <c r="O16" s="215"/>
    </row>
    <row r="17" spans="2:15" x14ac:dyDescent="0.2">
      <c r="B17" s="210" t="s">
        <v>46</v>
      </c>
      <c r="C17" s="260">
        <f t="shared" ref="C17:G17" si="7">INDEX($B$32:$F$52,MATCH(C$8,$B$32:$B$52,0),5)</f>
        <v>0</v>
      </c>
      <c r="D17" s="260">
        <f t="shared" si="7"/>
        <v>0</v>
      </c>
      <c r="E17" s="260">
        <f t="shared" si="7"/>
        <v>310</v>
      </c>
      <c r="F17" s="260">
        <f t="shared" si="7"/>
        <v>316</v>
      </c>
      <c r="G17" s="260">
        <f t="shared" si="7"/>
        <v>609</v>
      </c>
      <c r="H17" s="260">
        <f>INDEX($B$32:$F$52,MATCH(H$8,$B$32:$B$52,0),5)</f>
        <v>664</v>
      </c>
      <c r="I17" s="189">
        <f>INDEX($B$32:$F$52,MATCH(I$8,$B$32:$B$52,0),5)</f>
        <v>581</v>
      </c>
      <c r="J17" s="54">
        <f t="shared" si="3"/>
        <v>610.04999999999995</v>
      </c>
      <c r="K17" s="146">
        <f>J17*$Q$10+J17</f>
        <v>664.95449999999994</v>
      </c>
      <c r="L17" s="146">
        <f t="shared" ref="L17:N17" si="8">K17*$R$10+K17</f>
        <v>758.0481299999999</v>
      </c>
      <c r="M17" s="146">
        <f t="shared" si="8"/>
        <v>864.17486819999988</v>
      </c>
      <c r="N17" s="54">
        <f t="shared" si="8"/>
        <v>985.15934974799984</v>
      </c>
      <c r="O17" s="215"/>
    </row>
    <row r="18" spans="2:15" x14ac:dyDescent="0.2">
      <c r="B18" s="212" t="s">
        <v>51</v>
      </c>
      <c r="C18" s="60">
        <f>C17+C15-C14</f>
        <v>0</v>
      </c>
      <c r="D18" s="60">
        <f t="shared" ref="D18:I18" si="9">D17+D15-D14</f>
        <v>0</v>
      </c>
      <c r="E18" s="60">
        <f t="shared" si="9"/>
        <v>531</v>
      </c>
      <c r="F18" s="60">
        <f t="shared" si="9"/>
        <v>490</v>
      </c>
      <c r="G18" s="190">
        <f t="shared" si="9"/>
        <v>853</v>
      </c>
      <c r="H18" s="60">
        <f t="shared" si="9"/>
        <v>1155</v>
      </c>
      <c r="I18" s="60">
        <f t="shared" si="9"/>
        <v>997</v>
      </c>
      <c r="J18" s="126">
        <f t="shared" ref="J18:N18" si="10">J17+J15-J14</f>
        <v>1046.8499999999999</v>
      </c>
      <c r="K18" s="60">
        <f t="shared" si="10"/>
        <v>1141.0665000000001</v>
      </c>
      <c r="L18" s="60">
        <f t="shared" si="10"/>
        <v>1300.8158099999998</v>
      </c>
      <c r="M18" s="60">
        <f t="shared" si="10"/>
        <v>1482.9300234</v>
      </c>
      <c r="N18" s="56">
        <f t="shared" si="10"/>
        <v>1690.5402266759997</v>
      </c>
    </row>
    <row r="19" spans="2:15" x14ac:dyDescent="0.2">
      <c r="B19" s="213" t="s">
        <v>52</v>
      </c>
      <c r="C19" s="57">
        <f>C15-C14+C17-C16</f>
        <v>0</v>
      </c>
      <c r="D19" s="57">
        <f t="shared" ref="D19:I19" si="11">D15-D14+D17-D16</f>
        <v>0</v>
      </c>
      <c r="E19" s="57">
        <f t="shared" si="11"/>
        <v>531</v>
      </c>
      <c r="F19" s="57">
        <f t="shared" si="11"/>
        <v>264</v>
      </c>
      <c r="G19" s="57">
        <f t="shared" si="11"/>
        <v>496</v>
      </c>
      <c r="H19" s="57">
        <f t="shared" si="11"/>
        <v>645</v>
      </c>
      <c r="I19" s="57">
        <f t="shared" si="11"/>
        <v>558</v>
      </c>
      <c r="J19" s="127">
        <f t="shared" ref="J19:N19" si="12">J15-J14+J17-J16</f>
        <v>585.89999999999986</v>
      </c>
      <c r="K19" s="57">
        <f t="shared" si="12"/>
        <v>638.63099999999986</v>
      </c>
      <c r="L19" s="57">
        <f t="shared" si="12"/>
        <v>728.03933999999981</v>
      </c>
      <c r="M19" s="57">
        <f t="shared" si="12"/>
        <v>829.96484759999976</v>
      </c>
      <c r="N19" s="58">
        <f t="shared" si="12"/>
        <v>946.15992626399975</v>
      </c>
    </row>
    <row r="20" spans="2:15" x14ac:dyDescent="0.2">
      <c r="B20" s="211"/>
      <c r="C20" s="59"/>
      <c r="D20" s="59"/>
      <c r="E20" s="59"/>
      <c r="F20" s="59"/>
      <c r="G20" s="59"/>
      <c r="H20" s="109"/>
      <c r="J20" s="128"/>
      <c r="K20" s="60"/>
      <c r="L20" s="60"/>
      <c r="M20" s="60"/>
      <c r="N20" s="61"/>
    </row>
    <row r="21" spans="2:15" x14ac:dyDescent="0.2">
      <c r="B21" s="210" t="s">
        <v>48</v>
      </c>
      <c r="C21" s="47" t="e">
        <f t="shared" ref="C21:I21" si="13">C13/C17</f>
        <v>#DIV/0!</v>
      </c>
      <c r="D21" s="47" t="e">
        <f t="shared" si="13"/>
        <v>#DIV/0!</v>
      </c>
      <c r="E21" s="47">
        <f t="shared" si="13"/>
        <v>0.11819354838709678</v>
      </c>
      <c r="F21" s="47">
        <f t="shared" si="13"/>
        <v>0.15221518987341776</v>
      </c>
      <c r="G21" s="47">
        <f t="shared" si="13"/>
        <v>0.16822660098522166</v>
      </c>
      <c r="H21" s="47">
        <f t="shared" si="13"/>
        <v>0.11615963855421686</v>
      </c>
      <c r="I21" s="47">
        <f t="shared" si="13"/>
        <v>9.5352839931153177E-2</v>
      </c>
      <c r="J21" s="129">
        <f t="shared" ref="J21:N21" si="14">J13/J17</f>
        <v>0.11299879518072291</v>
      </c>
      <c r="K21" s="47">
        <f t="shared" si="14"/>
        <v>0.11395164142809769</v>
      </c>
      <c r="L21" s="47">
        <f t="shared" si="14"/>
        <v>0.11592628990127581</v>
      </c>
      <c r="M21" s="47">
        <f t="shared" si="14"/>
        <v>0.11774504507393983</v>
      </c>
      <c r="N21" s="48">
        <f t="shared" si="14"/>
        <v>0.11942021431191986</v>
      </c>
    </row>
    <row r="22" spans="2:15" x14ac:dyDescent="0.2">
      <c r="B22" s="210" t="s">
        <v>54</v>
      </c>
      <c r="C22" s="20" t="e">
        <f t="shared" ref="C22:I22" si="15">C10/C19</f>
        <v>#DIV/0!</v>
      </c>
      <c r="D22" s="20" t="e">
        <f t="shared" si="15"/>
        <v>#DIV/0!</v>
      </c>
      <c r="E22" s="20">
        <f t="shared" si="15"/>
        <v>0.10177024482109227</v>
      </c>
      <c r="F22" s="20">
        <f t="shared" si="15"/>
        <v>0.26856060606060606</v>
      </c>
      <c r="G22" s="20">
        <f t="shared" si="15"/>
        <v>0.19627016129032257</v>
      </c>
      <c r="H22" s="20">
        <f t="shared" si="15"/>
        <v>0.17703875968992247</v>
      </c>
      <c r="I22" s="20">
        <f t="shared" si="15"/>
        <v>0.16028673835125448</v>
      </c>
      <c r="J22" s="130">
        <f t="shared" ref="J22:N22" si="16">J10/J19</f>
        <v>0.18315412186379934</v>
      </c>
      <c r="K22" s="20">
        <f t="shared" si="16"/>
        <v>0.18315412186379931</v>
      </c>
      <c r="L22" s="20">
        <f t="shared" si="16"/>
        <v>0.18315412186379931</v>
      </c>
      <c r="M22" s="20">
        <f t="shared" si="16"/>
        <v>0.18315412186379931</v>
      </c>
      <c r="N22" s="22">
        <f t="shared" si="16"/>
        <v>0.18315412186379934</v>
      </c>
    </row>
    <row r="23" spans="2:15" ht="16" thickBot="1" x14ac:dyDescent="0.25">
      <c r="B23" s="214" t="s">
        <v>53</v>
      </c>
      <c r="C23" s="21" t="e">
        <f t="shared" ref="C23:I23" si="17">C10/C18</f>
        <v>#DIV/0!</v>
      </c>
      <c r="D23" s="21" t="e">
        <f t="shared" si="17"/>
        <v>#DIV/0!</v>
      </c>
      <c r="E23" s="21">
        <f t="shared" si="17"/>
        <v>0.10177024482109227</v>
      </c>
      <c r="F23" s="21">
        <f t="shared" si="17"/>
        <v>0.14469387755102042</v>
      </c>
      <c r="G23" s="21">
        <f t="shared" si="17"/>
        <v>0.11412661195779601</v>
      </c>
      <c r="H23" s="21">
        <f t="shared" si="17"/>
        <v>9.8865800865800865E-2</v>
      </c>
      <c r="I23" s="21">
        <f t="shared" si="17"/>
        <v>8.9709127382146439E-2</v>
      </c>
      <c r="J23" s="131">
        <f t="shared" ref="J23:N23" si="18">J10/J18</f>
        <v>0.10250752256770312</v>
      </c>
      <c r="K23" s="21">
        <f t="shared" si="18"/>
        <v>0.10250752256770308</v>
      </c>
      <c r="L23" s="21">
        <f t="shared" si="18"/>
        <v>0.10250752256770311</v>
      </c>
      <c r="M23" s="21">
        <f t="shared" si="18"/>
        <v>0.1025075225677031</v>
      </c>
      <c r="N23" s="23">
        <f t="shared" si="18"/>
        <v>0.10250752256770312</v>
      </c>
    </row>
    <row r="24" spans="2:15" x14ac:dyDescent="0.2">
      <c r="B24" s="1"/>
      <c r="C24" s="1"/>
      <c r="D24" s="1"/>
      <c r="E24" s="1"/>
      <c r="F24" s="1"/>
      <c r="G24" s="1"/>
      <c r="H24" s="1"/>
      <c r="I24" s="1"/>
      <c r="J24" s="1"/>
      <c r="K24" s="1"/>
      <c r="L24" s="1"/>
      <c r="M24" s="1"/>
      <c r="N24" s="1"/>
    </row>
    <row r="25" spans="2:15" x14ac:dyDescent="0.2">
      <c r="B25" s="1"/>
      <c r="C25" s="1"/>
      <c r="D25" s="1"/>
      <c r="E25" s="1"/>
      <c r="F25" s="1"/>
      <c r="G25" s="1"/>
      <c r="H25" s="1"/>
      <c r="I25" s="1"/>
      <c r="J25" s="1"/>
      <c r="K25" s="1"/>
      <c r="L25" s="1"/>
      <c r="M25" s="1"/>
      <c r="N25" s="1"/>
    </row>
    <row r="26" spans="2:15" x14ac:dyDescent="0.2">
      <c r="B26" s="1"/>
      <c r="C26" s="1"/>
      <c r="D26" s="1"/>
      <c r="E26" s="1"/>
      <c r="F26" s="1"/>
      <c r="G26" s="1"/>
      <c r="H26" s="1"/>
      <c r="I26" s="1"/>
      <c r="J26" s="1"/>
      <c r="K26" s="1"/>
      <c r="L26" s="1"/>
      <c r="M26" s="1"/>
      <c r="N26" s="1"/>
    </row>
    <row r="27" spans="2:15" x14ac:dyDescent="0.2">
      <c r="B27" s="1"/>
      <c r="C27" s="1"/>
      <c r="D27" s="1"/>
      <c r="E27" s="1"/>
      <c r="F27" s="1"/>
      <c r="G27" s="1"/>
      <c r="H27" s="1"/>
      <c r="I27" s="1"/>
      <c r="J27" s="1"/>
      <c r="K27" s="1"/>
      <c r="L27" s="1"/>
      <c r="M27" s="1"/>
      <c r="N27" s="1"/>
    </row>
    <row r="28" spans="2:15" x14ac:dyDescent="0.2">
      <c r="B28" s="1"/>
      <c r="C28" s="1"/>
      <c r="D28" s="1"/>
      <c r="E28" s="1"/>
      <c r="F28" s="1"/>
      <c r="G28" s="1"/>
      <c r="H28" s="1"/>
      <c r="I28" s="1"/>
      <c r="J28" s="1"/>
      <c r="K28" s="1"/>
      <c r="L28" s="1"/>
      <c r="M28" s="1"/>
      <c r="N28" s="1"/>
    </row>
    <row r="31" spans="2:15" ht="77" customHeight="1" x14ac:dyDescent="0.2">
      <c r="B31" s="249" t="s">
        <v>83</v>
      </c>
      <c r="C31" s="254" t="str">
        <f>B14</f>
        <v>(+) Cash and cash equivalents</v>
      </c>
      <c r="D31" s="254" t="str">
        <f>B15</f>
        <v xml:space="preserve">(+) Deuda total </v>
      </c>
      <c r="E31" s="254" t="str">
        <f>B16</f>
        <v xml:space="preserve">(+) Goodwill </v>
      </c>
      <c r="F31" s="254" t="str">
        <f>B17</f>
        <v>(+) Equity</v>
      </c>
    </row>
    <row r="32" spans="2:15" ht="16" x14ac:dyDescent="0.2">
      <c r="B32" s="250">
        <v>2020</v>
      </c>
      <c r="C32" s="251">
        <v>44</v>
      </c>
      <c r="D32" s="251">
        <v>460</v>
      </c>
      <c r="E32" s="251">
        <v>439</v>
      </c>
      <c r="F32" s="251">
        <v>581</v>
      </c>
    </row>
    <row r="33" spans="2:6" ht="16" x14ac:dyDescent="0.2">
      <c r="B33" s="252">
        <v>2019</v>
      </c>
      <c r="C33" s="253">
        <v>50</v>
      </c>
      <c r="D33" s="253">
        <v>541</v>
      </c>
      <c r="E33" s="253">
        <v>510</v>
      </c>
      <c r="F33" s="253">
        <v>664</v>
      </c>
    </row>
    <row r="34" spans="2:6" ht="16" x14ac:dyDescent="0.2">
      <c r="B34" s="250">
        <v>2018</v>
      </c>
      <c r="C34" s="251">
        <v>32</v>
      </c>
      <c r="D34" s="251">
        <v>276</v>
      </c>
      <c r="E34" s="251">
        <v>357</v>
      </c>
      <c r="F34" s="251">
        <v>609</v>
      </c>
    </row>
    <row r="35" spans="2:6" ht="16" x14ac:dyDescent="0.2">
      <c r="B35" s="252">
        <v>2017</v>
      </c>
      <c r="C35" s="253">
        <v>56</v>
      </c>
      <c r="D35" s="253">
        <v>230</v>
      </c>
      <c r="E35" s="253">
        <v>226</v>
      </c>
      <c r="F35" s="253">
        <v>316</v>
      </c>
    </row>
    <row r="36" spans="2:6" ht="16" x14ac:dyDescent="0.2">
      <c r="B36" s="250">
        <v>2016</v>
      </c>
      <c r="C36" s="251">
        <v>36</v>
      </c>
      <c r="D36" s="251">
        <v>257</v>
      </c>
      <c r="E36" s="251"/>
      <c r="F36" s="251">
        <v>310</v>
      </c>
    </row>
    <row r="37" spans="2:6" ht="16" x14ac:dyDescent="0.2">
      <c r="B37" s="252">
        <v>2015</v>
      </c>
      <c r="C37" s="253"/>
      <c r="D37" s="253"/>
      <c r="E37" s="253"/>
      <c r="F37" s="253"/>
    </row>
    <row r="38" spans="2:6" ht="16" x14ac:dyDescent="0.2">
      <c r="B38" s="250">
        <v>2014</v>
      </c>
      <c r="C38" s="251"/>
      <c r="D38" s="251"/>
      <c r="E38" s="251"/>
      <c r="F38" s="251"/>
    </row>
    <row r="39" spans="2:6" ht="16" x14ac:dyDescent="0.2">
      <c r="B39" s="252"/>
      <c r="C39" s="253"/>
      <c r="D39" s="253"/>
      <c r="E39" s="253"/>
      <c r="F39" s="253"/>
    </row>
    <row r="40" spans="2:6" ht="16" x14ac:dyDescent="0.2">
      <c r="B40" s="250"/>
      <c r="C40" s="251"/>
      <c r="D40" s="251"/>
      <c r="E40" s="251"/>
      <c r="F40" s="251"/>
    </row>
    <row r="41" spans="2:6" ht="16" x14ac:dyDescent="0.2">
      <c r="B41" s="252"/>
      <c r="C41" s="253"/>
      <c r="D41" s="253"/>
      <c r="E41" s="253"/>
      <c r="F41" s="253"/>
    </row>
    <row r="42" spans="2:6" ht="16" x14ac:dyDescent="0.2">
      <c r="B42" s="250"/>
      <c r="C42" s="251"/>
      <c r="D42" s="251"/>
      <c r="E42" s="251"/>
      <c r="F42" s="251"/>
    </row>
    <row r="43" spans="2:6" ht="16" x14ac:dyDescent="0.2">
      <c r="B43" s="252"/>
      <c r="C43" s="253"/>
      <c r="D43" s="253"/>
      <c r="E43" s="253"/>
      <c r="F43" s="253"/>
    </row>
    <row r="44" spans="2:6" ht="16" x14ac:dyDescent="0.2">
      <c r="B44" s="250"/>
      <c r="C44" s="251"/>
      <c r="D44" s="251"/>
      <c r="E44" s="251"/>
      <c r="F44" s="251"/>
    </row>
    <row r="45" spans="2:6" ht="16" x14ac:dyDescent="0.2">
      <c r="B45" s="252"/>
      <c r="C45" s="253"/>
      <c r="D45" s="253"/>
      <c r="E45" s="253"/>
      <c r="F45" s="253"/>
    </row>
    <row r="46" spans="2:6" ht="16" x14ac:dyDescent="0.2">
      <c r="B46" s="250"/>
      <c r="C46" s="251"/>
      <c r="D46" s="251"/>
      <c r="E46" s="251"/>
      <c r="F46" s="251"/>
    </row>
    <row r="47" spans="2:6" ht="16" x14ac:dyDescent="0.2">
      <c r="B47" s="252"/>
      <c r="C47" s="253"/>
      <c r="D47" s="253"/>
      <c r="E47" s="253"/>
      <c r="F47" s="253"/>
    </row>
    <row r="48" spans="2:6" ht="16" x14ac:dyDescent="0.2">
      <c r="B48" s="250"/>
      <c r="C48" s="251"/>
      <c r="D48" s="251"/>
      <c r="E48" s="251"/>
      <c r="F48" s="251"/>
    </row>
    <row r="49" spans="2:6" ht="16" x14ac:dyDescent="0.2">
      <c r="B49" s="252"/>
      <c r="C49" s="253"/>
      <c r="D49" s="253"/>
      <c r="E49" s="253"/>
      <c r="F49" s="253"/>
    </row>
    <row r="50" spans="2:6" ht="16" x14ac:dyDescent="0.2">
      <c r="B50" s="250"/>
      <c r="C50" s="251"/>
      <c r="D50" s="251"/>
      <c r="E50" s="251"/>
      <c r="F50" s="251"/>
    </row>
    <row r="51" spans="2:6" ht="16" x14ac:dyDescent="0.2">
      <c r="B51" s="252"/>
      <c r="C51" s="253"/>
      <c r="D51" s="253"/>
      <c r="E51" s="253"/>
      <c r="F51" s="253"/>
    </row>
    <row r="52" spans="2:6" ht="16" x14ac:dyDescent="0.2">
      <c r="B52" s="250"/>
      <c r="C52" s="251"/>
      <c r="D52" s="251"/>
      <c r="E52" s="251"/>
      <c r="F52" s="251"/>
    </row>
    <row r="53" spans="2:6" ht="16" x14ac:dyDescent="0.2">
      <c r="B53" s="252"/>
      <c r="C53" s="253"/>
      <c r="D53" s="253"/>
      <c r="E53" s="253"/>
      <c r="F53" s="253"/>
    </row>
    <row r="54" spans="2:6" ht="16" x14ac:dyDescent="0.2">
      <c r="B54" s="250"/>
      <c r="C54" s="251"/>
      <c r="D54" s="251"/>
      <c r="E54" s="251"/>
      <c r="F54" s="251"/>
    </row>
    <row r="55" spans="2:6" ht="16" x14ac:dyDescent="0.2">
      <c r="B55" s="252"/>
      <c r="C55" s="253"/>
      <c r="D55" s="253"/>
      <c r="E55" s="253"/>
      <c r="F55" s="253"/>
    </row>
    <row r="56" spans="2:6" ht="16" x14ac:dyDescent="0.2">
      <c r="B56" s="250"/>
      <c r="C56" s="251"/>
      <c r="D56" s="251"/>
      <c r="E56" s="251"/>
      <c r="F56" s="251"/>
    </row>
    <row r="57" spans="2:6" ht="16" x14ac:dyDescent="0.2">
      <c r="B57" s="252"/>
      <c r="C57" s="253"/>
      <c r="D57" s="253"/>
      <c r="E57" s="253"/>
      <c r="F57" s="253"/>
    </row>
    <row r="58" spans="2:6" ht="16" x14ac:dyDescent="0.2">
      <c r="B58" s="250"/>
      <c r="C58" s="251"/>
      <c r="D58" s="251"/>
      <c r="E58" s="251"/>
      <c r="F58" s="251"/>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V41"/>
  <sheetViews>
    <sheetView tabSelected="1" zoomScaleNormal="100" workbookViewId="0">
      <selection activeCell="J23" sqref="J23"/>
    </sheetView>
  </sheetViews>
  <sheetFormatPr baseColWidth="10" defaultColWidth="9.1640625" defaultRowHeight="15" x14ac:dyDescent="0.2"/>
  <cols>
    <col min="1" max="1" width="4" customWidth="1"/>
    <col min="2" max="2" width="35.5" customWidth="1"/>
    <col min="3" max="3" width="11.5" bestFit="1" customWidth="1"/>
    <col min="9" max="9" width="14.5" customWidth="1"/>
    <col min="10" max="10" width="10.5" customWidth="1"/>
    <col min="11" max="11" width="14.1640625" customWidth="1"/>
    <col min="12" max="12" width="15.5" customWidth="1"/>
    <col min="13" max="14" width="10.5" customWidth="1"/>
    <col min="15" max="15" width="7" customWidth="1"/>
    <col min="16" max="16" width="13.6640625" customWidth="1"/>
  </cols>
  <sheetData>
    <row r="1" spans="2:22" ht="16" thickBot="1" x14ac:dyDescent="0.25"/>
    <row r="2" spans="2:22" ht="15" customHeight="1" x14ac:dyDescent="0.2">
      <c r="B2" s="282"/>
      <c r="C2" s="291"/>
      <c r="D2" s="292"/>
      <c r="E2" s="292"/>
      <c r="F2" s="292"/>
      <c r="G2" s="292"/>
      <c r="H2" s="292"/>
      <c r="I2" s="292"/>
      <c r="J2" s="292"/>
      <c r="K2" s="292"/>
      <c r="L2" s="292"/>
      <c r="M2" s="292"/>
      <c r="N2" s="293"/>
      <c r="O2" s="1"/>
      <c r="P2" s="1"/>
      <c r="Q2" s="1"/>
      <c r="R2" s="1"/>
      <c r="S2" s="1"/>
      <c r="T2" s="1"/>
      <c r="U2" s="1"/>
      <c r="V2" s="1"/>
    </row>
    <row r="3" spans="2:22" ht="15" customHeight="1" x14ac:dyDescent="0.2">
      <c r="B3" s="283"/>
      <c r="C3" s="294"/>
      <c r="D3" s="295"/>
      <c r="E3" s="295"/>
      <c r="F3" s="295"/>
      <c r="G3" s="295"/>
      <c r="H3" s="295"/>
      <c r="I3" s="295"/>
      <c r="J3" s="295"/>
      <c r="K3" s="295"/>
      <c r="L3" s="295"/>
      <c r="M3" s="295"/>
      <c r="N3" s="296"/>
      <c r="O3" s="1"/>
      <c r="P3" s="1"/>
      <c r="Q3" s="1"/>
      <c r="R3" s="1"/>
      <c r="S3" s="1"/>
      <c r="T3" s="1"/>
      <c r="U3" s="1"/>
      <c r="V3" s="1"/>
    </row>
    <row r="4" spans="2:22" ht="15" customHeight="1" x14ac:dyDescent="0.2">
      <c r="B4" s="283"/>
      <c r="C4" s="294"/>
      <c r="D4" s="295"/>
      <c r="E4" s="295"/>
      <c r="F4" s="295"/>
      <c r="G4" s="295"/>
      <c r="H4" s="295"/>
      <c r="I4" s="295"/>
      <c r="J4" s="295"/>
      <c r="K4" s="295"/>
      <c r="L4" s="295"/>
      <c r="M4" s="295"/>
      <c r="N4" s="296"/>
      <c r="O4" s="1"/>
      <c r="P4" s="1"/>
      <c r="Q4" s="1"/>
      <c r="R4" s="1"/>
      <c r="S4" s="1"/>
      <c r="T4" s="1"/>
      <c r="U4" s="1"/>
      <c r="V4" s="1"/>
    </row>
    <row r="5" spans="2:22" ht="15" customHeight="1" x14ac:dyDescent="0.2">
      <c r="B5" s="283"/>
      <c r="C5" s="294"/>
      <c r="D5" s="295"/>
      <c r="E5" s="295"/>
      <c r="F5" s="295"/>
      <c r="G5" s="295"/>
      <c r="H5" s="295"/>
      <c r="I5" s="295"/>
      <c r="J5" s="295"/>
      <c r="K5" s="295"/>
      <c r="L5" s="295"/>
      <c r="M5" s="295"/>
      <c r="N5" s="296"/>
      <c r="O5" s="1"/>
      <c r="P5" s="1"/>
      <c r="Q5" s="1"/>
      <c r="R5" s="1"/>
      <c r="S5" s="1"/>
      <c r="T5" s="1"/>
      <c r="U5" s="1"/>
      <c r="V5" s="1"/>
    </row>
    <row r="6" spans="2:22" ht="15" customHeight="1" x14ac:dyDescent="0.2">
      <c r="B6" s="283"/>
      <c r="C6" s="294"/>
      <c r="D6" s="295"/>
      <c r="E6" s="295"/>
      <c r="F6" s="295"/>
      <c r="G6" s="295"/>
      <c r="H6" s="295"/>
      <c r="I6" s="295"/>
      <c r="J6" s="295"/>
      <c r="K6" s="295"/>
      <c r="L6" s="295"/>
      <c r="M6" s="295"/>
      <c r="N6" s="296"/>
      <c r="O6" s="1"/>
      <c r="P6" s="1"/>
      <c r="Q6" s="1"/>
      <c r="R6" s="1"/>
      <c r="S6" s="1"/>
      <c r="T6" s="1"/>
      <c r="U6" s="1"/>
      <c r="V6" s="1"/>
    </row>
    <row r="7" spans="2:22" ht="48.75" customHeight="1" thickBot="1" x14ac:dyDescent="0.25">
      <c r="B7" s="283"/>
      <c r="C7" s="294"/>
      <c r="D7" s="295"/>
      <c r="E7" s="295"/>
      <c r="F7" s="295"/>
      <c r="G7" s="295"/>
      <c r="H7" s="295"/>
      <c r="I7" s="295"/>
      <c r="J7" s="297"/>
      <c r="K7" s="297"/>
      <c r="L7" s="297"/>
      <c r="M7" s="297"/>
      <c r="N7" s="298"/>
      <c r="O7" s="1"/>
      <c r="P7" s="1"/>
      <c r="Q7" s="1"/>
      <c r="R7" s="1"/>
      <c r="S7" s="1"/>
      <c r="T7" s="1"/>
      <c r="U7" s="1"/>
      <c r="V7" s="1"/>
    </row>
    <row r="8" spans="2:22" ht="18.75" customHeight="1" thickBot="1" x14ac:dyDescent="0.25">
      <c r="B8" s="283"/>
      <c r="C8" s="32">
        <v>2014</v>
      </c>
      <c r="D8" s="32">
        <v>2015</v>
      </c>
      <c r="E8" s="32">
        <v>2016</v>
      </c>
      <c r="F8" s="32">
        <v>2017</v>
      </c>
      <c r="G8" s="32">
        <v>2018</v>
      </c>
      <c r="H8" s="32">
        <v>2019</v>
      </c>
      <c r="I8" s="32">
        <v>2020</v>
      </c>
      <c r="J8" s="99">
        <v>2021</v>
      </c>
      <c r="K8" s="100">
        <v>2022</v>
      </c>
      <c r="L8" s="100">
        <v>2023</v>
      </c>
      <c r="M8" s="100">
        <v>2024</v>
      </c>
      <c r="N8" s="101">
        <v>2025</v>
      </c>
      <c r="O8" s="218"/>
      <c r="P8" s="1"/>
      <c r="Q8" s="1"/>
      <c r="R8" s="1"/>
      <c r="S8" s="1"/>
      <c r="T8" s="1"/>
      <c r="U8" s="1"/>
      <c r="V8" s="1"/>
    </row>
    <row r="9" spans="2:22" ht="17" thickBot="1" x14ac:dyDescent="0.25">
      <c r="B9" s="111" t="s">
        <v>27</v>
      </c>
      <c r="C9" s="114"/>
      <c r="D9" s="29"/>
      <c r="E9" s="29"/>
      <c r="F9" s="29"/>
      <c r="G9" s="29"/>
      <c r="H9" s="29"/>
      <c r="I9" s="103"/>
      <c r="J9" s="29"/>
      <c r="K9" s="29"/>
      <c r="L9" s="29"/>
      <c r="M9" s="59"/>
      <c r="N9" s="115"/>
      <c r="O9" s="284" t="s">
        <v>14</v>
      </c>
      <c r="P9" s="285"/>
      <c r="Q9" s="15">
        <v>56.17</v>
      </c>
      <c r="R9" s="1"/>
      <c r="S9" s="1"/>
      <c r="T9" s="1"/>
      <c r="U9" s="1"/>
      <c r="V9" s="1"/>
    </row>
    <row r="10" spans="2:22" ht="16" x14ac:dyDescent="0.2">
      <c r="B10" s="63" t="s">
        <v>26</v>
      </c>
      <c r="C10" s="113"/>
      <c r="D10" s="104"/>
      <c r="E10" s="104"/>
      <c r="F10" s="104"/>
      <c r="G10" s="104"/>
      <c r="H10" s="104"/>
      <c r="I10" s="105">
        <f>$Q$9*'1.Income statement'!I27</f>
        <v>1348.08</v>
      </c>
      <c r="J10" s="104">
        <f>$Q$9*'1.Income statement'!J27</f>
        <v>1348.08</v>
      </c>
      <c r="K10" s="104">
        <f>$Q$9*'1.Income statement'!K27</f>
        <v>1319.9950000000001</v>
      </c>
      <c r="L10" s="104">
        <f>$Q$9*'1.Income statement'!L27</f>
        <v>1291.9100000000001</v>
      </c>
      <c r="M10" s="104">
        <f>$Q$9*'1.Income statement'!M27</f>
        <v>1263.825</v>
      </c>
      <c r="N10" s="116">
        <f>$Q$9*'1.Income statement'!N27</f>
        <v>1235.74</v>
      </c>
      <c r="O10" s="14"/>
      <c r="P10" s="14"/>
      <c r="Q10" s="14"/>
      <c r="R10" s="1"/>
      <c r="S10" s="1"/>
      <c r="T10" s="1"/>
      <c r="U10" s="1"/>
      <c r="V10" s="1"/>
    </row>
    <row r="11" spans="2:22" ht="16" x14ac:dyDescent="0.2">
      <c r="B11" s="63" t="s">
        <v>60</v>
      </c>
      <c r="C11" s="104">
        <f>'3.retornos capital'!C15-'3.retornos capital'!C14</f>
        <v>0</v>
      </c>
      <c r="D11" s="104">
        <f>'3.retornos capital'!D15-'3.retornos capital'!D14</f>
        <v>0</v>
      </c>
      <c r="E11" s="104">
        <f>'3.retornos capital'!E15-'3.retornos capital'!E14</f>
        <v>221</v>
      </c>
      <c r="F11" s="104">
        <f>'3.retornos capital'!F15-'3.retornos capital'!F14</f>
        <v>174</v>
      </c>
      <c r="G11" s="104">
        <f>'3.retornos capital'!G15-'3.retornos capital'!G14</f>
        <v>244</v>
      </c>
      <c r="H11" s="104">
        <f>'3.retornos capital'!H15-'3.retornos capital'!H14</f>
        <v>491</v>
      </c>
      <c r="I11" s="105">
        <f>'3.retornos capital'!I15-'3.retornos capital'!I14</f>
        <v>416</v>
      </c>
      <c r="J11" s="222">
        <v>408</v>
      </c>
      <c r="K11" s="222">
        <v>400</v>
      </c>
      <c r="L11" s="222">
        <v>400</v>
      </c>
      <c r="M11" s="222">
        <v>395</v>
      </c>
      <c r="N11" s="219">
        <v>380</v>
      </c>
      <c r="O11" s="286"/>
      <c r="P11" s="286"/>
      <c r="Q11" s="14"/>
      <c r="R11" s="1"/>
      <c r="S11" s="1"/>
      <c r="T11" s="1"/>
      <c r="U11" s="1"/>
      <c r="V11" s="1"/>
    </row>
    <row r="12" spans="2:22" ht="16" x14ac:dyDescent="0.2">
      <c r="B12" s="107" t="s">
        <v>81</v>
      </c>
      <c r="C12" s="132" t="e">
        <f>C11/'1.Income statement'!C12</f>
        <v>#DIV/0!</v>
      </c>
      <c r="D12" s="132" t="e">
        <f>D11/'1.Income statement'!D12</f>
        <v>#DIV/0!</v>
      </c>
      <c r="E12" s="132">
        <f>E11/'1.Income statement'!E12</f>
        <v>3.3044258373205744</v>
      </c>
      <c r="F12" s="132">
        <f>F11/'1.Income statement'!F12</f>
        <v>1.8550106609808099</v>
      </c>
      <c r="G12" s="132">
        <f>G11/'1.Income statement'!G12</f>
        <v>1.9543452142571087</v>
      </c>
      <c r="H12" s="132">
        <f>H11/'1.Income statement'!H12</f>
        <v>3.3310719131614652</v>
      </c>
      <c r="I12" s="12">
        <f>I11/'1.Income statement'!I12</f>
        <v>3.0296409584152646</v>
      </c>
      <c r="J12" s="217">
        <f>J11/'1.Income statement'!J12</f>
        <v>2.5892678654723036</v>
      </c>
      <c r="K12" s="132">
        <f>K11/'1.Income statement'!K12</f>
        <v>2.356481790360605</v>
      </c>
      <c r="L12" s="132">
        <f>L11/'1.Income statement'!L12</f>
        <v>2.1191052116917306</v>
      </c>
      <c r="M12" s="132">
        <f>M11/'1.Income statement'!M12</f>
        <v>1.8791826649058669</v>
      </c>
      <c r="N12" s="117">
        <f>N11/'1.Income statement'!N12</f>
        <v>1.6212386437655937</v>
      </c>
      <c r="O12" s="287"/>
      <c r="P12" s="287"/>
      <c r="Q12" s="14"/>
      <c r="R12" s="1"/>
      <c r="S12" s="1"/>
      <c r="T12" s="1"/>
      <c r="U12" s="1"/>
      <c r="V12" s="1"/>
    </row>
    <row r="13" spans="2:22" ht="16" x14ac:dyDescent="0.2">
      <c r="B13" s="107" t="s">
        <v>82</v>
      </c>
      <c r="C13" s="132" t="e">
        <f>C11/'3.retornos capital'!C17</f>
        <v>#DIV/0!</v>
      </c>
      <c r="D13" s="132" t="e">
        <f>D11/'3.retornos capital'!D17</f>
        <v>#DIV/0!</v>
      </c>
      <c r="E13" s="132">
        <f>E11/'3.retornos capital'!E17</f>
        <v>0.7129032258064516</v>
      </c>
      <c r="F13" s="132">
        <f>F11/'3.retornos capital'!F17</f>
        <v>0.55063291139240511</v>
      </c>
      <c r="G13" s="132">
        <f>G11/'3.retornos capital'!G17</f>
        <v>0.40065681444991791</v>
      </c>
      <c r="H13" s="132">
        <f>H11/'3.retornos capital'!H17</f>
        <v>0.73945783132530118</v>
      </c>
      <c r="I13" s="132">
        <f>I11/'3.retornos capital'!I17</f>
        <v>0.71600688468158347</v>
      </c>
      <c r="J13" s="217">
        <f>J11/'3.retornos capital'!J17</f>
        <v>0.66879763953774285</v>
      </c>
      <c r="K13" s="132">
        <f>K11/'3.retornos capital'!K17</f>
        <v>0.60154491773497287</v>
      </c>
      <c r="L13" s="132">
        <f>L11/'3.retornos capital'!L17</f>
        <v>0.52767098046927452</v>
      </c>
      <c r="M13" s="132">
        <f>M11/'3.retornos capital'!M17</f>
        <v>0.45708341509948119</v>
      </c>
      <c r="N13" s="132">
        <f>N11/'3.retornos capital'!N17</f>
        <v>0.38572440092783222</v>
      </c>
      <c r="O13" s="220"/>
      <c r="P13" s="194"/>
      <c r="Q13" s="14"/>
      <c r="R13" s="1"/>
      <c r="S13" s="1"/>
      <c r="T13" s="1"/>
      <c r="U13" s="1"/>
      <c r="V13" s="1"/>
    </row>
    <row r="14" spans="2:22" ht="16" x14ac:dyDescent="0.2">
      <c r="B14" s="108" t="s">
        <v>25</v>
      </c>
      <c r="C14" s="45"/>
      <c r="D14" s="45"/>
      <c r="E14" s="45"/>
      <c r="F14" s="45"/>
      <c r="G14" s="45"/>
      <c r="H14" s="45"/>
      <c r="I14" s="13">
        <f>I10+I11</f>
        <v>1764.08</v>
      </c>
      <c r="J14" s="45">
        <f t="shared" ref="J14:N14" si="0">J10+J11</f>
        <v>1756.08</v>
      </c>
      <c r="K14" s="45">
        <f t="shared" si="0"/>
        <v>1719.9950000000001</v>
      </c>
      <c r="L14" s="45">
        <f t="shared" si="0"/>
        <v>1691.91</v>
      </c>
      <c r="M14" s="45">
        <f t="shared" si="0"/>
        <v>1658.825</v>
      </c>
      <c r="N14" s="46">
        <f t="shared" si="0"/>
        <v>1615.74</v>
      </c>
      <c r="O14" s="299"/>
      <c r="P14" s="299"/>
      <c r="Q14" s="14"/>
      <c r="R14" s="1"/>
      <c r="S14" s="1"/>
      <c r="T14" s="1"/>
      <c r="U14" s="1"/>
      <c r="V14" s="1"/>
    </row>
    <row r="15" spans="2:22" ht="16" x14ac:dyDescent="0.2">
      <c r="B15" s="63" t="s">
        <v>6</v>
      </c>
      <c r="C15" s="104">
        <f>'1.Income statement'!C12</f>
        <v>0</v>
      </c>
      <c r="D15" s="104">
        <f>'1.Income statement'!D12</f>
        <v>0</v>
      </c>
      <c r="E15" s="104">
        <f>'1.Income statement'!E12</f>
        <v>66.88</v>
      </c>
      <c r="F15" s="104">
        <f>'1.Income statement'!F12</f>
        <v>93.800000000000011</v>
      </c>
      <c r="G15" s="104">
        <f>'1.Income statement'!G12</f>
        <v>124.85</v>
      </c>
      <c r="H15" s="216">
        <f>'1.Income statement'!H12</f>
        <v>147.4</v>
      </c>
      <c r="I15" s="106">
        <f>'1.Income statement'!I12</f>
        <v>137.31</v>
      </c>
      <c r="J15" s="104">
        <f>'1.Income statement'!J12</f>
        <v>157.5735</v>
      </c>
      <c r="K15" s="104">
        <f>'1.Income statement'!K12</f>
        <v>169.744575</v>
      </c>
      <c r="L15" s="104">
        <f>'1.Income statement'!L12</f>
        <v>188.75891474999997</v>
      </c>
      <c r="M15" s="104">
        <f>'1.Income statement'!M12</f>
        <v>210.19776702749999</v>
      </c>
      <c r="N15" s="118">
        <f>'1.Income statement'!N12</f>
        <v>234.388688834475</v>
      </c>
      <c r="O15" s="287"/>
      <c r="P15" s="287"/>
      <c r="Q15" s="14"/>
      <c r="R15" s="1"/>
      <c r="S15" s="1"/>
      <c r="T15" s="1"/>
      <c r="U15" s="1"/>
      <c r="V15" s="1"/>
    </row>
    <row r="16" spans="2:22" ht="16" x14ac:dyDescent="0.2">
      <c r="B16" s="63" t="s">
        <v>11</v>
      </c>
      <c r="C16" s="104">
        <f>'1.Income statement'!C15</f>
        <v>0</v>
      </c>
      <c r="D16" s="104">
        <f>'1.Income statement'!D15</f>
        <v>0</v>
      </c>
      <c r="E16" s="104">
        <f>'1.Income statement'!E15</f>
        <v>54.04</v>
      </c>
      <c r="F16" s="104">
        <f>'1.Income statement'!F15</f>
        <v>70.900000000000006</v>
      </c>
      <c r="G16" s="104">
        <f>'1.Income statement'!G15</f>
        <v>97.35</v>
      </c>
      <c r="H16" s="104">
        <f>'1.Income statement'!H15</f>
        <v>114.19</v>
      </c>
      <c r="I16" s="105">
        <f>'1.Income statement'!I15</f>
        <v>89.44</v>
      </c>
      <c r="J16" s="104">
        <f>'1.Income statement'!J15</f>
        <v>107.31</v>
      </c>
      <c r="K16" s="104">
        <f>'1.Income statement'!K15</f>
        <v>116.96789999999999</v>
      </c>
      <c r="L16" s="104">
        <f>'1.Income statement'!L15</f>
        <v>133.34340599999999</v>
      </c>
      <c r="M16" s="104">
        <f>'1.Income statement'!M15</f>
        <v>152.01148283999999</v>
      </c>
      <c r="N16" s="116">
        <f>'1.Income statement'!N15</f>
        <v>173.2930904376</v>
      </c>
      <c r="O16" s="287"/>
      <c r="P16" s="287"/>
      <c r="Q16" s="14"/>
      <c r="R16" s="1"/>
      <c r="S16" s="1"/>
      <c r="T16" s="1"/>
      <c r="U16" s="1"/>
      <c r="V16" s="1"/>
    </row>
    <row r="17" spans="2:22" ht="16" x14ac:dyDescent="0.2">
      <c r="B17" s="63" t="s">
        <v>12</v>
      </c>
      <c r="C17" s="104">
        <f>'1.Income statement'!C24</f>
        <v>0</v>
      </c>
      <c r="D17" s="104">
        <f>'1.Income statement'!D24</f>
        <v>0</v>
      </c>
      <c r="E17" s="104">
        <f>'1.Income statement'!E24</f>
        <v>36.64</v>
      </c>
      <c r="F17" s="104">
        <f>'1.Income statement'!F24</f>
        <v>48.100000000000009</v>
      </c>
      <c r="G17" s="104">
        <f>'1.Income statement'!G24</f>
        <v>102.44999999999999</v>
      </c>
      <c r="H17" s="104">
        <f>'1.Income statement'!H24</f>
        <v>77.13</v>
      </c>
      <c r="I17" s="105">
        <f>'1.Income statement'!I24</f>
        <v>55.4</v>
      </c>
      <c r="J17" s="104">
        <f>'1.Income statement'!J24</f>
        <v>68.934915000000004</v>
      </c>
      <c r="K17" s="104">
        <f>'1.Income statement'!K24</f>
        <v>75.772656749999982</v>
      </c>
      <c r="L17" s="104">
        <f>'1.Income statement'!L24</f>
        <v>87.877707277499994</v>
      </c>
      <c r="M17" s="104">
        <f>'1.Income statement'!M24</f>
        <v>101.752308807975</v>
      </c>
      <c r="N17" s="116">
        <f>'1.Income statement'!N24</f>
        <v>117.64794067829776</v>
      </c>
      <c r="O17" s="287"/>
      <c r="P17" s="287"/>
      <c r="Q17" s="14"/>
      <c r="R17" s="1"/>
      <c r="S17" s="1"/>
      <c r="T17" s="1"/>
      <c r="U17" s="1"/>
      <c r="V17" s="1"/>
    </row>
    <row r="18" spans="2:22" ht="16" x14ac:dyDescent="0.2">
      <c r="B18" s="63" t="s">
        <v>13</v>
      </c>
      <c r="C18" s="104">
        <f>'2.Flujos de caja'!C15</f>
        <v>0</v>
      </c>
      <c r="D18" s="104">
        <f>'2.Flujos de caja'!D15</f>
        <v>0</v>
      </c>
      <c r="E18" s="104">
        <f>'2.Flujos de caja'!E15</f>
        <v>49.47999999999999</v>
      </c>
      <c r="F18" s="104">
        <f>'2.Flujos de caja'!F15</f>
        <v>71.000000000000014</v>
      </c>
      <c r="G18" s="104">
        <f>'2.Flujos de caja'!G15</f>
        <v>123.44999999999999</v>
      </c>
      <c r="H18" s="104">
        <f>'2.Flujos de caja'!H15</f>
        <v>105.17000000000002</v>
      </c>
      <c r="I18" s="105">
        <f>'2.Flujos de caja'!I15</f>
        <v>99.070000000000022</v>
      </c>
      <c r="J18" s="104">
        <f>'2.Flujos de caja'!J15</f>
        <v>114.788415</v>
      </c>
      <c r="K18" s="104">
        <f>'2.Flujos de caja'!K15</f>
        <v>123.91883174999998</v>
      </c>
      <c r="L18" s="104">
        <f>'2.Flujos de caja'!L15</f>
        <v>138.43119102750001</v>
      </c>
      <c r="M18" s="104">
        <f>'2.Flujos de caja'!M15</f>
        <v>154.83346674547499</v>
      </c>
      <c r="N18" s="116">
        <f>'2.Flujos de caja'!N15</f>
        <v>173.38315651267277</v>
      </c>
      <c r="O18" s="287"/>
      <c r="P18" s="287"/>
      <c r="Q18" s="5"/>
      <c r="R18" s="1"/>
      <c r="S18" s="1"/>
      <c r="T18" s="1"/>
      <c r="U18" s="1"/>
      <c r="V18" s="1"/>
    </row>
    <row r="19" spans="2:22" ht="17" thickBot="1" x14ac:dyDescent="0.25">
      <c r="B19" s="63"/>
      <c r="C19" s="113"/>
      <c r="D19" s="104"/>
      <c r="E19" s="104"/>
      <c r="F19" s="104"/>
      <c r="G19" s="104"/>
      <c r="H19" s="104"/>
      <c r="I19" s="105"/>
      <c r="J19" s="104"/>
      <c r="K19" s="104"/>
      <c r="L19" s="104"/>
      <c r="M19" s="104"/>
      <c r="N19" s="116"/>
      <c r="O19" s="19"/>
      <c r="P19" s="19"/>
      <c r="Q19" s="14"/>
      <c r="R19" s="1"/>
      <c r="S19" s="1"/>
      <c r="T19" s="1"/>
      <c r="U19" s="1"/>
      <c r="V19" s="1"/>
    </row>
    <row r="20" spans="2:22" ht="17" thickBot="1" x14ac:dyDescent="0.25">
      <c r="B20" s="123"/>
      <c r="C20" s="124" t="s">
        <v>49</v>
      </c>
      <c r="D20" s="122" t="s">
        <v>50</v>
      </c>
      <c r="E20" s="109"/>
      <c r="F20" s="109"/>
      <c r="G20" s="109"/>
      <c r="H20" s="109"/>
      <c r="I20" s="110"/>
      <c r="J20" s="109"/>
      <c r="K20" s="109"/>
      <c r="L20" s="109"/>
      <c r="M20" s="109"/>
      <c r="N20" s="119"/>
      <c r="O20" s="300"/>
      <c r="P20" s="300"/>
      <c r="Q20" s="5"/>
      <c r="R20" s="1"/>
      <c r="S20" s="1"/>
      <c r="T20" s="1"/>
      <c r="U20" s="1"/>
      <c r="V20" s="1"/>
    </row>
    <row r="21" spans="2:22" ht="20" thickBot="1" x14ac:dyDescent="0.25">
      <c r="B21" s="25" t="s">
        <v>21</v>
      </c>
      <c r="C21" s="112">
        <f>(L21/$Q$9)^(1/3)-1</f>
        <v>4.9619264498359295E-2</v>
      </c>
      <c r="D21" s="112">
        <f>(N21/$Q$9)^(1/5)-1</f>
        <v>0.10108597090596527</v>
      </c>
      <c r="E21" s="59"/>
      <c r="F21" s="6" t="s">
        <v>58</v>
      </c>
      <c r="G21" s="6"/>
      <c r="H21" s="6"/>
      <c r="I21" s="234">
        <f>IF(--I11&lt;0,(I17*$Q$21-I11),IF(--I11&gt;0,I17*$Q$21))/'1.Income statement'!I27</f>
        <v>39.241666666666667</v>
      </c>
      <c r="J21" s="235">
        <f>IF(--J11&lt;0,(J17*$Q$21-J11),IF(--J11&gt;0,J17*$Q$21))/'1.Income statement'!J27</f>
        <v>48.828898125000002</v>
      </c>
      <c r="K21" s="235">
        <f>IF(--K11&lt;0,(K17*$Q$21-K11),IF(--K11&gt;0,K17*$Q$21))/'1.Income statement'!K27</f>
        <v>54.814262329787219</v>
      </c>
      <c r="L21" s="235">
        <f>IF(--L11&lt;0,(L17*$Q$21-L11),IF(--L11&gt;0,L17*$Q$21))/'1.Income statement'!L27</f>
        <v>64.953087987717382</v>
      </c>
      <c r="M21" s="235">
        <f>IF(--M11&lt;0,(M17*$Q$21-M11),IF(--M11&gt;0,M17*$Q$21))/'1.Income statement'!M27</f>
        <v>76.87952221047</v>
      </c>
      <c r="N21" s="236">
        <f>IF(--N11&lt;0,(N17*$Q$21-N11),IF(--N11&gt;0,N17*$Q$21))/'1.Income statement'!N27</f>
        <v>90.909772342320991</v>
      </c>
      <c r="O21" s="125" t="s">
        <v>28</v>
      </c>
      <c r="P21" s="125"/>
      <c r="Q21" s="9">
        <v>17</v>
      </c>
      <c r="R21" s="1"/>
      <c r="S21" s="1"/>
      <c r="T21" s="1"/>
      <c r="U21" s="1"/>
      <c r="V21" s="1"/>
    </row>
    <row r="22" spans="2:22" ht="20" thickBot="1" x14ac:dyDescent="0.25">
      <c r="B22" s="25" t="s">
        <v>22</v>
      </c>
      <c r="C22" s="102">
        <f t="shared" ref="C22:C24" si="1">(L22/$Q$9)^(1/3)-1</f>
        <v>0.22128457609031482</v>
      </c>
      <c r="D22" s="102">
        <f t="shared" ref="D22:D24" si="2">(N22/$Q$9)^(1/5)-1</f>
        <v>0.18988706759024043</v>
      </c>
      <c r="E22" s="59"/>
      <c r="F22" s="7" t="s">
        <v>57</v>
      </c>
      <c r="G22" s="59"/>
      <c r="H22" s="59"/>
      <c r="I22" s="234">
        <f>IF(--I11&lt;0,(I18*$Q$22-I11),IF(--I11&gt;0,I18*$Q$22))/'1.Income statement'!I27</f>
        <v>70.174583333333345</v>
      </c>
      <c r="J22" s="235">
        <f>IF(--J11&lt;0,(J18*$Q$22-J11),IF(--J11&gt;0,J18*$Q$22))/'1.Income statement'!J27</f>
        <v>81.308460624999995</v>
      </c>
      <c r="K22" s="235">
        <f>IF(--K11&lt;0,(K18*$Q$22-K11),IF(--K11&gt;0,K18*$Q$22))/'1.Income statement'!K27</f>
        <v>89.643410202127654</v>
      </c>
      <c r="L22" s="235">
        <f>IF(--L11&lt;0,(L18*$Q$22-L11),IF(--L11&gt;0,L18*$Q$22))/'1.Income statement'!L27</f>
        <v>102.31870641163044</v>
      </c>
      <c r="M22" s="235">
        <f>IF(--M11&lt;0,(M18*$Q$22-M11),IF(--M11&gt;0,M18*$Q$22))/'1.Income statement'!M27</f>
        <v>116.98528598547</v>
      </c>
      <c r="N22" s="235">
        <f>IF(--N11&lt;0,(N18*$Q$22-N11),IF(--N11&gt;0,N18*$Q$22))/'1.Income statement'!N27</f>
        <v>133.97789366888352</v>
      </c>
      <c r="O22" s="288" t="s">
        <v>29</v>
      </c>
      <c r="P22" s="289"/>
      <c r="Q22" s="9">
        <v>17</v>
      </c>
      <c r="R22" s="1"/>
      <c r="S22" s="1"/>
      <c r="T22" s="1"/>
      <c r="U22" s="1"/>
      <c r="V22" s="1"/>
    </row>
    <row r="23" spans="2:22" ht="20" thickBot="1" x14ac:dyDescent="0.25">
      <c r="B23" s="25" t="s">
        <v>23</v>
      </c>
      <c r="C23" s="102">
        <f t="shared" si="1"/>
        <v>0.1671139882885091</v>
      </c>
      <c r="D23" s="102">
        <f t="shared" si="2"/>
        <v>0.16632855046233597</v>
      </c>
      <c r="E23" s="59"/>
      <c r="F23" s="7" t="s">
        <v>19</v>
      </c>
      <c r="G23" s="59"/>
      <c r="H23" s="59"/>
      <c r="I23" s="237">
        <f>((I15*$Q$23)-I11)/'1.Income statement'!I27</f>
        <v>57.042916666666663</v>
      </c>
      <c r="J23" s="238">
        <f>((J15*$Q$23)-J11)/'1.Income statement'!J27</f>
        <v>68.352312499999996</v>
      </c>
      <c r="K23" s="238">
        <f>((K15*$Q$23)-K11)/'1.Income statement'!K27</f>
        <v>76.879977659574465</v>
      </c>
      <c r="L23" s="238">
        <f>((L15*$Q$23)-L11)/'1.Income statement'!L27</f>
        <v>89.298517032608686</v>
      </c>
      <c r="M23" s="238">
        <f>((M15*$Q$23)-M11)/'1.Income statement'!M27</f>
        <v>103.89204317144443</v>
      </c>
      <c r="N23" s="239">
        <f>((N15*$Q$23)-N11)/'1.Income statement'!N27</f>
        <v>121.22967976582613</v>
      </c>
      <c r="O23" s="290" t="s">
        <v>30</v>
      </c>
      <c r="P23" s="290"/>
      <c r="Q23" s="9">
        <v>13</v>
      </c>
      <c r="R23" s="1"/>
      <c r="S23" s="1"/>
      <c r="T23" s="1"/>
      <c r="U23" s="1"/>
      <c r="V23" s="1"/>
    </row>
    <row r="24" spans="2:22" ht="20" thickBot="1" x14ac:dyDescent="0.25">
      <c r="B24" s="26" t="s">
        <v>24</v>
      </c>
      <c r="C24" s="102">
        <f t="shared" si="1"/>
        <v>0.15685528467450993</v>
      </c>
      <c r="D24" s="102">
        <f t="shared" si="2"/>
        <v>0.17257795706258783</v>
      </c>
      <c r="E24" s="120"/>
      <c r="F24" s="121" t="s">
        <v>20</v>
      </c>
      <c r="G24" s="120"/>
      <c r="H24" s="120"/>
      <c r="I24" s="240">
        <f>((I16*$Q$24)-I11)/'1.Income statement'!I27</f>
        <v>49.74666666666667</v>
      </c>
      <c r="J24" s="241">
        <f>((J16*$Q$24)-J11)/'1.Income statement'!J27</f>
        <v>63.482499999999995</v>
      </c>
      <c r="K24" s="241">
        <f>((K16*$Q$24)-K11)/'1.Income statement'!K27</f>
        <v>72.571157446808513</v>
      </c>
      <c r="L24" s="241">
        <f>((L16*$Q$24)-L11)/'1.Income statement'!L27</f>
        <v>86.964404695652163</v>
      </c>
      <c r="M24" s="241">
        <f>((M16*$Q$24)-M11)/'1.Income statement'!M27</f>
        <v>104.05363071644445</v>
      </c>
      <c r="N24" s="242">
        <f>((N16*$Q$24)-N11)/'1.Income statement'!N27</f>
        <v>124.51252853985456</v>
      </c>
      <c r="O24" s="290" t="s">
        <v>31</v>
      </c>
      <c r="P24" s="290"/>
      <c r="Q24" s="9">
        <v>18</v>
      </c>
      <c r="R24" s="1"/>
      <c r="S24" s="1"/>
      <c r="T24" s="1"/>
      <c r="U24" s="1"/>
      <c r="V24" s="1"/>
    </row>
    <row r="25" spans="2:22" ht="16" x14ac:dyDescent="0.2">
      <c r="B25" s="4"/>
      <c r="C25" s="3"/>
      <c r="D25" s="3"/>
      <c r="E25" s="3"/>
      <c r="F25" s="3"/>
      <c r="G25" s="3"/>
      <c r="H25" s="3"/>
      <c r="I25" s="3"/>
      <c r="J25" s="3"/>
      <c r="K25" s="3"/>
      <c r="L25" s="3"/>
      <c r="M25" s="3"/>
      <c r="N25" s="3"/>
      <c r="O25" s="1"/>
      <c r="P25" s="1"/>
      <c r="Q25" s="1"/>
      <c r="R25" s="1"/>
      <c r="S25" s="1"/>
      <c r="T25" s="1"/>
      <c r="U25" s="1"/>
      <c r="V25" s="1"/>
    </row>
    <row r="26" spans="2:22" x14ac:dyDescent="0.2">
      <c r="B26" s="2"/>
      <c r="C26" s="3"/>
      <c r="D26" s="3"/>
      <c r="E26" s="3"/>
      <c r="F26" s="3"/>
      <c r="G26" s="3"/>
      <c r="H26" s="3"/>
      <c r="I26" s="3"/>
      <c r="J26" s="3"/>
      <c r="K26" s="3"/>
      <c r="L26" s="3"/>
      <c r="M26" s="3"/>
      <c r="N26" s="3"/>
      <c r="O26" s="1"/>
      <c r="P26" s="1"/>
      <c r="Q26" s="1"/>
      <c r="R26" s="1"/>
      <c r="S26" s="1"/>
      <c r="T26" s="1"/>
      <c r="U26" s="1"/>
      <c r="V26" s="1"/>
    </row>
    <row r="27" spans="2:22" x14ac:dyDescent="0.2">
      <c r="B27" s="2"/>
      <c r="C27" s="2"/>
      <c r="D27" s="2"/>
      <c r="E27" s="2"/>
      <c r="F27" s="2"/>
      <c r="G27" s="2"/>
      <c r="H27" s="2"/>
      <c r="I27" s="2"/>
      <c r="J27" s="2"/>
      <c r="K27" s="2"/>
      <c r="L27" s="2"/>
      <c r="M27" s="2"/>
      <c r="N27" s="2"/>
      <c r="O27" s="1"/>
      <c r="P27" s="1"/>
      <c r="Q27" s="1"/>
      <c r="R27" s="1"/>
      <c r="S27" s="1"/>
      <c r="T27" s="1"/>
      <c r="U27" s="1"/>
      <c r="V27" s="1"/>
    </row>
    <row r="28" spans="2:22" x14ac:dyDescent="0.2">
      <c r="B28" s="2"/>
      <c r="C28" s="2"/>
      <c r="D28" s="2"/>
      <c r="E28" s="2"/>
      <c r="F28" s="2"/>
      <c r="G28" s="2"/>
      <c r="H28" s="2"/>
      <c r="I28" s="2"/>
      <c r="J28" s="2"/>
      <c r="K28" s="2"/>
      <c r="L28" s="2"/>
      <c r="M28" s="2"/>
      <c r="N28" s="2"/>
      <c r="O28" s="1"/>
      <c r="P28" s="1"/>
      <c r="Q28" s="1"/>
      <c r="R28" s="1"/>
      <c r="S28" s="1"/>
      <c r="T28" s="1"/>
      <c r="U28" s="1"/>
      <c r="V28" s="1"/>
    </row>
    <row r="29" spans="2:22" x14ac:dyDescent="0.2">
      <c r="B29" s="1"/>
      <c r="C29" s="1"/>
      <c r="D29" s="1"/>
      <c r="E29" s="1"/>
      <c r="F29" s="1"/>
      <c r="G29" s="1"/>
      <c r="H29" s="1"/>
      <c r="I29" s="1"/>
      <c r="J29" s="1"/>
      <c r="K29" s="1"/>
      <c r="L29" s="1"/>
      <c r="M29" s="1"/>
      <c r="N29" s="1"/>
      <c r="O29" s="1"/>
      <c r="P29" s="1"/>
      <c r="Q29" s="1"/>
      <c r="R29" s="1"/>
      <c r="S29" s="1"/>
      <c r="T29" s="1"/>
      <c r="U29" s="1"/>
      <c r="V29" s="1"/>
    </row>
    <row r="30" spans="2:22" x14ac:dyDescent="0.2">
      <c r="B30" s="1"/>
      <c r="C30" s="1"/>
      <c r="D30" s="1"/>
      <c r="E30" s="1"/>
      <c r="F30" s="1"/>
      <c r="G30" s="1"/>
      <c r="H30" s="1"/>
      <c r="I30" s="1"/>
      <c r="J30" s="1"/>
      <c r="K30" s="1"/>
      <c r="L30" s="1"/>
      <c r="M30" s="1"/>
      <c r="N30" s="1"/>
      <c r="O30" s="1"/>
      <c r="P30" s="1"/>
      <c r="Q30" s="1"/>
      <c r="R30" s="1"/>
      <c r="S30" s="1"/>
      <c r="T30" s="1"/>
      <c r="U30" s="1"/>
      <c r="V30" s="1"/>
    </row>
    <row r="31" spans="2:22" x14ac:dyDescent="0.2">
      <c r="B31" s="1"/>
      <c r="C31" s="1"/>
      <c r="D31" s="1"/>
      <c r="E31" s="1"/>
      <c r="F31" s="1"/>
      <c r="G31" s="1"/>
      <c r="H31" s="1"/>
      <c r="I31" s="1"/>
      <c r="J31" s="1"/>
      <c r="K31" s="1"/>
      <c r="L31" s="1"/>
      <c r="M31" s="1"/>
      <c r="N31" s="1"/>
      <c r="O31" s="1"/>
      <c r="P31" s="1"/>
      <c r="Q31" s="1"/>
      <c r="R31" s="1"/>
      <c r="S31" s="1"/>
      <c r="T31" s="1"/>
      <c r="U31" s="1"/>
      <c r="V31" s="1"/>
    </row>
    <row r="32" spans="2:22" x14ac:dyDescent="0.2">
      <c r="B32" s="1"/>
      <c r="C32" s="1"/>
      <c r="D32" s="1"/>
      <c r="E32" s="1"/>
      <c r="F32" s="1"/>
      <c r="G32" s="1"/>
      <c r="H32" s="1"/>
      <c r="I32" s="1"/>
      <c r="J32" s="1"/>
      <c r="K32" s="1"/>
      <c r="L32" s="1"/>
      <c r="M32" s="1"/>
      <c r="N32" s="1"/>
      <c r="O32" s="1"/>
      <c r="P32" s="1"/>
      <c r="Q32" s="1"/>
      <c r="R32" s="1"/>
      <c r="S32" s="1"/>
      <c r="T32" s="1"/>
      <c r="U32" s="1"/>
      <c r="V32" s="1"/>
    </row>
    <row r="33" spans="2:22" x14ac:dyDescent="0.2">
      <c r="B33" s="1"/>
      <c r="C33" s="1"/>
      <c r="D33" s="1"/>
      <c r="E33" s="1"/>
      <c r="F33" s="1"/>
      <c r="G33" s="1"/>
      <c r="H33" s="1"/>
      <c r="I33" s="1"/>
      <c r="J33" s="1"/>
      <c r="K33" s="1"/>
      <c r="L33" s="1"/>
      <c r="M33" s="1"/>
      <c r="N33" s="1"/>
      <c r="O33" s="1"/>
      <c r="P33" s="1"/>
      <c r="Q33" s="1"/>
      <c r="R33" s="1"/>
      <c r="S33" s="1"/>
      <c r="T33" s="1"/>
      <c r="U33" s="1"/>
      <c r="V33" s="1"/>
    </row>
    <row r="41" spans="2:22" x14ac:dyDescent="0.2">
      <c r="Q41" s="8"/>
    </row>
  </sheetData>
  <mergeCells count="14">
    <mergeCell ref="O23:P23"/>
    <mergeCell ref="O24:P24"/>
    <mergeCell ref="C2:N7"/>
    <mergeCell ref="O14:P14"/>
    <mergeCell ref="O15:P15"/>
    <mergeCell ref="O16:P16"/>
    <mergeCell ref="O17:P17"/>
    <mergeCell ref="O18:P18"/>
    <mergeCell ref="O20:P20"/>
    <mergeCell ref="B2:B8"/>
    <mergeCell ref="O9:P9"/>
    <mergeCell ref="O11:P11"/>
    <mergeCell ref="O12:P12"/>
    <mergeCell ref="O22:P22"/>
  </mergeCells>
  <dataValidations disablePrompts="1" count="1">
    <dataValidation type="list" allowBlank="1" showInputMessage="1" showErrorMessage="1" sqref="Q12:Q13" xr:uid="{00000000-0002-0000-0300-000000000000}">
      <formula1>$Q$36:$Q$41</formula1>
    </dataValidation>
  </dataValidation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I29"/>
  <sheetViews>
    <sheetView topLeftCell="A5" workbookViewId="0">
      <selection activeCell="E16" sqref="E16"/>
    </sheetView>
  </sheetViews>
  <sheetFormatPr baseColWidth="10" defaultRowHeight="15" x14ac:dyDescent="0.2"/>
  <cols>
    <col min="2" max="2" width="105.1640625" customWidth="1"/>
    <col min="9" max="9" width="11.5" customWidth="1"/>
  </cols>
  <sheetData>
    <row r="3" spans="2:9" ht="51" customHeight="1" x14ac:dyDescent="0.2">
      <c r="B3" s="165" t="s">
        <v>71</v>
      </c>
      <c r="C3" s="162"/>
      <c r="D3" s="162"/>
      <c r="E3" s="162"/>
      <c r="F3" s="162"/>
      <c r="G3" s="162"/>
    </row>
    <row r="4" spans="2:9" ht="46.5" customHeight="1" x14ac:dyDescent="0.2">
      <c r="B4" s="164" t="s">
        <v>59</v>
      </c>
      <c r="C4" s="159"/>
      <c r="D4" s="159"/>
      <c r="E4" s="148"/>
      <c r="F4" s="159"/>
      <c r="G4" s="159"/>
      <c r="H4" s="159"/>
      <c r="I4" s="163"/>
    </row>
    <row r="5" spans="2:9" ht="21" customHeight="1" x14ac:dyDescent="0.2">
      <c r="B5" s="160"/>
      <c r="C5" s="159"/>
      <c r="D5" s="159"/>
      <c r="E5" s="159"/>
      <c r="F5" s="159"/>
      <c r="G5" s="159"/>
      <c r="H5" s="159"/>
      <c r="I5" s="163"/>
    </row>
    <row r="6" spans="2:9" ht="21" customHeight="1" x14ac:dyDescent="0.2">
      <c r="B6" s="301" t="s">
        <v>72</v>
      </c>
      <c r="C6" s="301"/>
      <c r="D6" s="301"/>
      <c r="E6" s="301"/>
      <c r="F6" s="301"/>
      <c r="G6" s="301"/>
      <c r="H6" s="301"/>
      <c r="I6" s="301"/>
    </row>
    <row r="7" spans="2:9" ht="21" customHeight="1" thickBot="1" x14ac:dyDescent="0.3">
      <c r="B7" s="151"/>
      <c r="C7" s="151"/>
      <c r="D7" s="151"/>
      <c r="E7" s="151"/>
      <c r="F7" s="151"/>
      <c r="G7" s="151"/>
      <c r="H7" s="151"/>
      <c r="I7" s="151"/>
    </row>
    <row r="8" spans="2:9" ht="57" customHeight="1" thickBot="1" x14ac:dyDescent="0.3">
      <c r="B8" s="168" t="s">
        <v>73</v>
      </c>
      <c r="C8" s="151"/>
      <c r="D8" s="151"/>
      <c r="E8" s="151"/>
      <c r="F8" s="151"/>
      <c r="G8" s="151"/>
      <c r="H8" s="151"/>
      <c r="I8" s="151"/>
    </row>
    <row r="9" spans="2:9" s="148" customFormat="1" ht="21" customHeight="1" x14ac:dyDescent="0.2">
      <c r="B9" s="156" t="s">
        <v>61</v>
      </c>
      <c r="C9" s="153"/>
      <c r="D9" s="153"/>
      <c r="E9" s="153"/>
      <c r="F9" s="153"/>
      <c r="G9" s="153"/>
      <c r="H9" s="153"/>
      <c r="I9" s="153"/>
    </row>
    <row r="10" spans="2:9" s="148" customFormat="1" ht="21" customHeight="1" x14ac:dyDescent="0.2">
      <c r="B10" s="154" t="s">
        <v>66</v>
      </c>
      <c r="C10" s="153"/>
      <c r="D10" s="153"/>
      <c r="E10" s="153"/>
      <c r="F10" s="153"/>
      <c r="G10" s="153"/>
      <c r="H10" s="153"/>
      <c r="I10" s="153"/>
    </row>
    <row r="11" spans="2:9" s="148" customFormat="1" ht="21" customHeight="1" x14ac:dyDescent="0.2">
      <c r="B11" s="154" t="s">
        <v>62</v>
      </c>
      <c r="C11" s="153"/>
      <c r="D11" s="153"/>
      <c r="E11" s="153"/>
      <c r="F11" s="153"/>
      <c r="G11" s="153"/>
      <c r="H11" s="153"/>
      <c r="I11" s="153"/>
    </row>
    <row r="12" spans="2:9" s="148" customFormat="1" ht="21" customHeight="1" x14ac:dyDescent="0.2">
      <c r="B12" s="154" t="s">
        <v>63</v>
      </c>
      <c r="C12" s="153"/>
      <c r="D12" s="153"/>
      <c r="E12" s="153"/>
      <c r="F12" s="153"/>
      <c r="G12" s="153"/>
      <c r="H12" s="153"/>
      <c r="I12" s="153"/>
    </row>
    <row r="13" spans="2:9" s="148" customFormat="1" ht="21" customHeight="1" x14ac:dyDescent="0.2">
      <c r="B13" s="154" t="s">
        <v>65</v>
      </c>
      <c r="C13" s="153"/>
      <c r="D13" s="153"/>
      <c r="E13" s="153"/>
      <c r="F13" s="153"/>
      <c r="G13" s="153"/>
      <c r="H13" s="153"/>
      <c r="I13" s="153"/>
    </row>
    <row r="14" spans="2:9" s="148" customFormat="1" ht="21" customHeight="1" x14ac:dyDescent="0.2">
      <c r="B14" s="154" t="s">
        <v>79</v>
      </c>
      <c r="C14" s="153"/>
      <c r="D14" s="153"/>
      <c r="E14" s="153"/>
      <c r="F14" s="153"/>
      <c r="G14" s="153"/>
      <c r="H14" s="153"/>
      <c r="I14" s="153"/>
    </row>
    <row r="15" spans="2:9" s="148" customFormat="1" ht="18" customHeight="1" x14ac:dyDescent="0.2">
      <c r="B15" s="302" t="s">
        <v>64</v>
      </c>
      <c r="C15" s="153"/>
      <c r="D15" s="153"/>
      <c r="E15" s="153"/>
      <c r="F15" s="153"/>
      <c r="G15" s="153"/>
      <c r="H15" s="153"/>
      <c r="I15" s="153"/>
    </row>
    <row r="16" spans="2:9" s="148" customFormat="1" ht="39" customHeight="1" thickBot="1" x14ac:dyDescent="0.25">
      <c r="B16" s="303"/>
      <c r="C16" s="153"/>
      <c r="D16" s="153"/>
      <c r="E16" s="153"/>
      <c r="F16" s="153"/>
      <c r="G16" s="153"/>
      <c r="H16" s="153"/>
      <c r="I16" s="153"/>
    </row>
    <row r="17" spans="2:9" s="148" customFormat="1" ht="57" customHeight="1" thickBot="1" x14ac:dyDescent="0.25">
      <c r="B17" s="169" t="s">
        <v>74</v>
      </c>
      <c r="C17" s="149"/>
      <c r="D17" s="149"/>
      <c r="E17" s="149"/>
      <c r="F17" s="149"/>
      <c r="G17" s="149"/>
      <c r="H17" s="149"/>
      <c r="I17" s="149"/>
    </row>
    <row r="18" spans="2:9" s="148" customFormat="1" ht="23.25" customHeight="1" thickBot="1" x14ac:dyDescent="0.25">
      <c r="B18" s="166" t="s">
        <v>77</v>
      </c>
      <c r="C18" s="152"/>
      <c r="D18" s="152"/>
      <c r="E18" s="152"/>
      <c r="F18" s="152"/>
      <c r="G18" s="152"/>
      <c r="H18" s="152"/>
      <c r="I18" s="152"/>
    </row>
    <row r="19" spans="2:9" ht="57" customHeight="1" thickBot="1" x14ac:dyDescent="0.25">
      <c r="B19" s="169" t="s">
        <v>75</v>
      </c>
      <c r="C19" s="152"/>
      <c r="D19" s="152"/>
      <c r="E19" s="152"/>
      <c r="F19" s="152"/>
      <c r="G19" s="152"/>
      <c r="H19" s="152"/>
      <c r="I19" s="152"/>
    </row>
    <row r="20" spans="2:9" ht="21" customHeight="1" x14ac:dyDescent="0.2">
      <c r="B20" s="304" t="s">
        <v>67</v>
      </c>
      <c r="C20" s="148"/>
      <c r="D20" s="148"/>
      <c r="E20" s="148"/>
      <c r="F20" s="148"/>
      <c r="G20" s="148"/>
      <c r="H20" s="148"/>
      <c r="I20" s="148"/>
    </row>
    <row r="21" spans="2:9" ht="21" customHeight="1" x14ac:dyDescent="0.2">
      <c r="B21" s="302"/>
      <c r="C21" s="152"/>
      <c r="D21" s="152"/>
      <c r="E21" s="152"/>
      <c r="F21" s="152"/>
      <c r="G21" s="152"/>
      <c r="H21" s="152"/>
      <c r="I21" s="152"/>
    </row>
    <row r="22" spans="2:9" ht="33" customHeight="1" thickBot="1" x14ac:dyDescent="0.25">
      <c r="B22" s="303"/>
      <c r="C22" s="152"/>
      <c r="D22" s="152"/>
      <c r="E22" s="152"/>
      <c r="F22" s="152"/>
      <c r="G22" s="152"/>
      <c r="H22" s="152"/>
      <c r="I22" s="152"/>
    </row>
    <row r="23" spans="2:9" ht="57" customHeight="1" thickBot="1" x14ac:dyDescent="0.25">
      <c r="B23" s="169" t="s">
        <v>76</v>
      </c>
      <c r="C23" s="152"/>
      <c r="D23" s="152"/>
      <c r="E23" s="152"/>
      <c r="F23" s="152"/>
      <c r="G23" s="152"/>
      <c r="H23" s="152"/>
      <c r="I23" s="152"/>
    </row>
    <row r="24" spans="2:9" ht="35.25" customHeight="1" x14ac:dyDescent="0.2">
      <c r="B24" s="156" t="s">
        <v>78</v>
      </c>
      <c r="C24" s="152"/>
      <c r="D24" s="152"/>
      <c r="E24" s="152"/>
      <c r="F24" s="152"/>
      <c r="G24" s="152"/>
      <c r="H24" s="152"/>
      <c r="I24" s="152"/>
    </row>
    <row r="25" spans="2:9" ht="72" customHeight="1" thickBot="1" x14ac:dyDescent="0.25">
      <c r="B25" s="155" t="s">
        <v>68</v>
      </c>
      <c r="C25" s="152"/>
      <c r="D25" s="152"/>
      <c r="E25" s="152"/>
      <c r="F25" s="152"/>
      <c r="G25" s="152"/>
      <c r="H25" s="152"/>
      <c r="I25" s="152"/>
    </row>
    <row r="26" spans="2:9" ht="26.25" customHeight="1" x14ac:dyDescent="0.2">
      <c r="B26" s="158"/>
      <c r="C26" s="152"/>
      <c r="D26" s="152"/>
      <c r="E26" s="152"/>
      <c r="F26" s="152"/>
      <c r="G26" s="152"/>
      <c r="H26" s="152"/>
      <c r="I26" s="152"/>
    </row>
    <row r="27" spans="2:9" ht="21" x14ac:dyDescent="0.25">
      <c r="B27" s="167" t="s">
        <v>70</v>
      </c>
      <c r="C27" s="157"/>
      <c r="D27" s="157"/>
      <c r="E27" s="157"/>
    </row>
    <row r="28" spans="2:9" ht="61.5" customHeight="1" x14ac:dyDescent="0.2">
      <c r="B28" s="161" t="s">
        <v>69</v>
      </c>
      <c r="C28" s="159"/>
      <c r="D28" s="159"/>
      <c r="E28" s="159"/>
      <c r="F28" s="159"/>
      <c r="G28" s="159"/>
      <c r="H28" s="159"/>
      <c r="I28" s="159"/>
    </row>
    <row r="29" spans="2:9" ht="28.5" customHeight="1" x14ac:dyDescent="0.2">
      <c r="B29" s="305"/>
      <c r="C29" s="305"/>
      <c r="D29" s="305"/>
      <c r="E29" s="305"/>
      <c r="F29" s="305"/>
    </row>
  </sheetData>
  <mergeCells count="4">
    <mergeCell ref="B6:I6"/>
    <mergeCell ref="B15:B16"/>
    <mergeCell ref="B20:B22"/>
    <mergeCell ref="B29:F2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1.Income statement</vt:lpstr>
      <vt:lpstr>2.Flujos de caja</vt:lpstr>
      <vt:lpstr>3.retornos capital</vt:lpstr>
      <vt:lpstr>4. Valoración</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2021-04-09T20:34:09Z</dcterms:modified>
</cp:coreProperties>
</file>