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D4FADE46-ACC1-4EF0-BD3F-5FBB0737A309}" xr6:coauthVersionLast="44" xr6:coauthVersionMax="44" xr10:uidLastSave="{00000000-0000-0000-0000-000000000000}"/>
  <bookViews>
    <workbookView xWindow="-108" yWindow="-108" windowWidth="23256" windowHeight="12576"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4" i="3" l="1"/>
  <c r="E24" i="1"/>
  <c r="E25" i="1" s="1"/>
  <c r="E22" i="1"/>
  <c r="D22" i="1"/>
  <c r="D24" i="1" s="1"/>
  <c r="C22" i="1"/>
  <c r="C24" i="1" s="1"/>
  <c r="C21" i="1"/>
  <c r="H19" i="1"/>
  <c r="H21" i="1" s="1"/>
  <c r="G19" i="1"/>
  <c r="G21" i="1" s="1"/>
  <c r="F19" i="1"/>
  <c r="F21" i="1" s="1"/>
  <c r="E19" i="1"/>
  <c r="E21" i="1" s="1"/>
  <c r="D19" i="1"/>
  <c r="D21" i="1" s="1"/>
  <c r="C19" i="1"/>
  <c r="H16" i="1"/>
  <c r="G16" i="1"/>
  <c r="F16" i="1"/>
  <c r="E16" i="1"/>
  <c r="D16" i="1"/>
  <c r="C16" i="1"/>
  <c r="E13" i="1"/>
  <c r="D13" i="1"/>
  <c r="C13" i="1"/>
  <c r="H12" i="1"/>
  <c r="H13" i="1" s="1"/>
  <c r="G12" i="1"/>
  <c r="G13" i="1" s="1"/>
  <c r="F12" i="1"/>
  <c r="F13" i="1" s="1"/>
  <c r="E12" i="1"/>
  <c r="D12" i="1"/>
  <c r="C12" i="1"/>
  <c r="H11" i="1"/>
  <c r="G11" i="1"/>
  <c r="F11" i="1"/>
  <c r="E11" i="1"/>
  <c r="D11" i="1"/>
  <c r="C11" i="1"/>
  <c r="C25" i="1" l="1"/>
  <c r="C26" i="1"/>
  <c r="D25" i="1"/>
  <c r="D26" i="1"/>
  <c r="F22" i="1"/>
  <c r="F24" i="1" s="1"/>
  <c r="G22" i="1"/>
  <c r="G24" i="1" s="1"/>
  <c r="E26" i="1"/>
  <c r="H22" i="1"/>
  <c r="H24" i="1" s="1"/>
  <c r="G25" i="1" l="1"/>
  <c r="G26" i="1"/>
  <c r="F25" i="1"/>
  <c r="F26" i="1"/>
  <c r="H26" i="1"/>
  <c r="H25" i="1"/>
  <c r="I18" i="3"/>
  <c r="D18" i="3"/>
  <c r="E18" i="3"/>
  <c r="F18" i="3"/>
  <c r="G18" i="3"/>
  <c r="H18" i="3"/>
  <c r="C18" i="3"/>
  <c r="I12" i="1" l="1"/>
  <c r="J11" i="1" l="1"/>
  <c r="E14" i="2" l="1"/>
  <c r="F14" i="2"/>
  <c r="G14" i="2"/>
  <c r="H14" i="2"/>
  <c r="I14" i="2"/>
  <c r="D14" i="2"/>
  <c r="C14" i="2"/>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J15" i="1"/>
  <c r="K11" i="1"/>
  <c r="L11" i="1"/>
  <c r="M11" i="1"/>
  <c r="N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2C1ADB2A-DA54-45CE-BEB7-179CB2EEAED2}">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D6251D7B-3845-4065-B29D-4B1644F4B2A8}">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<sst xmlns="http://schemas.openxmlformats.org/spreadsheetml/2006/main" count="89" uniqueCount="83">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</sst>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7" formatCode="_-[$$-2809]* #,##0_-;\-[$$-2809]* #,##0_-;_-[$$-2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5">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6" xfId="0"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7" fontId="13" fillId="4" borderId="9" xfId="2" applyNumberFormat="1" applyFont="1" applyFill="1" applyBorder="1" applyAlignment="1">
      <alignment horizontal="center" vertical="center" wrapText="1"/>
    </xf>
    <xf numFmtId="167" fontId="13" fillId="4" borderId="0" xfId="2" applyNumberFormat="1" applyFont="1" applyFill="1" applyBorder="1" applyAlignment="1">
      <alignment horizontal="center" vertical="center" wrapText="1"/>
    </xf>
    <xf numFmtId="167" fontId="13" fillId="4" borderId="9" xfId="2" applyNumberFormat="1" applyFont="1" applyFill="1" applyBorder="1" applyAlignment="1">
      <alignment horizontal="left" vertical="center" wrapText="1"/>
    </xf>
    <xf numFmtId="167" fontId="13" fillId="4" borderId="0" xfId="2" applyNumberFormat="1" applyFont="1" applyFill="1" applyBorder="1" applyAlignment="1">
      <alignment horizontal="left" vertical="center" wrapText="1"/>
    </xf>
    <xf numFmtId="167" fontId="13" fillId="4" borderId="12" xfId="2" applyNumberFormat="1" applyFont="1" applyFill="1" applyBorder="1" applyAlignment="1">
      <alignment horizontal="left" vertical="center" wrapText="1"/>
    </xf>
    <xf numFmtId="167" fontId="13" fillId="4" borderId="39" xfId="2" applyNumberFormat="1" applyFont="1" applyFill="1" applyBorder="1" applyAlignment="1">
      <alignment horizontal="left" vertical="center" wrapText="1"/>
    </xf>
    <xf numFmtId="167" fontId="13" fillId="4" borderId="7" xfId="2" applyNumberFormat="1" applyFont="1" applyFill="1" applyBorder="1" applyAlignment="1">
      <alignment horizontal="left" vertical="center" wrapText="1"/>
    </xf>
    <xf numFmtId="167" fontId="13" fillId="4" borderId="17" xfId="2" applyNumberFormat="1" applyFont="1" applyFill="1" applyBorder="1" applyAlignment="1">
      <alignment horizontal="left" vertical="center" wrapText="1"/>
    </xf>
    <xf numFmtId="0" fontId="8" fillId="4" borderId="6" xfId="0" applyFont="1" applyFill="1" applyBorder="1" applyAlignment="1">
      <alignment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9" fontId="23" fillId="4" borderId="8" xfId="1" applyFont="1" applyFill="1" applyBorder="1" applyAlignment="1">
      <alignment horizontal="center" vertical="center"/>
    </xf>
    <xf numFmtId="164"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6" xfId="0" applyNumberFormat="1" applyFont="1" applyFill="1" applyBorder="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4" fontId="15" fillId="4" borderId="30"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20" fillId="4" borderId="5" xfId="0" applyNumberFormat="1" applyFont="1" applyFill="1" applyBorder="1" applyAlignment="1" applyProtection="1">
      <alignment horizontal="left" vertical="center"/>
    </xf>
    <xf numFmtId="2" fontId="4" fillId="4" borderId="15"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5" fontId="8" fillId="4" borderId="31" xfId="0" applyNumberFormat="1" applyFont="1" applyFill="1" applyBorder="1" applyAlignment="1">
      <alignment horizontal="center" vertical="center" wrapText="1"/>
    </xf>
    <xf numFmtId="40" fontId="17" fillId="5" borderId="19" xfId="0" applyNumberFormat="1" applyFont="1" applyFill="1" applyBorder="1" applyAlignment="1">
      <alignment horizontal="center" vertical="center"/>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1537.8020378457061</c:v>
                </c:pt>
                <c:pt idx="1">
                  <c:v>1855.914705882353</c:v>
                </c:pt>
                <c:pt idx="2">
                  <c:v>2186.2198514115898</c:v>
                </c:pt>
                <c:pt idx="3">
                  <c:v>2574.8195394302847</c:v>
                </c:pt>
                <c:pt idx="4">
                  <c:v>3043.7537374303029</c:v>
                </c:pt>
                <c:pt idx="5">
                  <c:v>3605.1463354458892</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406400</xdr:colOff>
      <xdr:row>1</xdr:row>
      <xdr:rowOff>245533</xdr:rowOff>
    </xdr:from>
    <xdr:to>
      <xdr:col>9</xdr:col>
      <xdr:colOff>390985</xdr:colOff>
      <xdr:row>5</xdr:row>
      <xdr:rowOff>47873</xdr:rowOff>
    </xdr:to>
    <xdr:pic>
      <xdr:nvPicPr>
        <xdr:cNvPr id="2" name="Imagen 1">
          <a:extLst>
            <a:ext uri="{FF2B5EF4-FFF2-40B4-BE49-F238E27FC236}">
              <a16:creationId xmlns:a16="http://schemas.microsoft.com/office/drawing/2014/main" id="{3F643ED6-1AF6-46BB-9F42-A258CBB8A440}"/>
            </a:ext>
          </a:extLst>
        </xdr:cNvPr>
        <xdr:cNvPicPr>
          <a:picLocks noChangeAspect="1"/>
        </xdr:cNvPicPr>
      </xdr:nvPicPr>
      <xdr:blipFill>
        <a:blip xmlns:r="http://schemas.openxmlformats.org/officeDocument/2006/relationships" r:embed="rId1"/>
        <a:stretch>
          <a:fillRect/>
        </a:stretch>
      </xdr:blipFill>
      <xdr:spPr>
        <a:xfrm>
          <a:off x="6553200" y="448733"/>
          <a:ext cx="2245185" cy="767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281940</xdr:colOff>
      <xdr:row>3</xdr:row>
      <xdr:rowOff>83820</xdr:rowOff>
    </xdr:from>
    <xdr:to>
      <xdr:col>9</xdr:col>
      <xdr:colOff>355425</xdr:colOff>
      <xdr:row>6</xdr:row>
      <xdr:rowOff>279860</xdr:rowOff>
    </xdr:to>
    <xdr:pic>
      <xdr:nvPicPr>
        <xdr:cNvPr id="2" name="Imagen 1">
          <a:extLst>
            <a:ext uri="{FF2B5EF4-FFF2-40B4-BE49-F238E27FC236}">
              <a16:creationId xmlns:a16="http://schemas.microsoft.com/office/drawing/2014/main" id="{7DEF6D0B-1BF2-4A84-B1F4-09554AA4578D}"/>
            </a:ext>
          </a:extLst>
        </xdr:cNvPr>
        <xdr:cNvPicPr>
          <a:picLocks noChangeAspect="1"/>
        </xdr:cNvPicPr>
      </xdr:nvPicPr>
      <xdr:blipFill>
        <a:blip xmlns:r="http://schemas.openxmlformats.org/officeDocument/2006/relationships" r:embed="rId1"/>
        <a:stretch>
          <a:fillRect/>
        </a:stretch>
      </xdr:blipFill>
      <xdr:spPr>
        <a:xfrm>
          <a:off x="6537960" y="670560"/>
          <a:ext cx="2245185" cy="7675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76200</xdr:colOff>
      <xdr:row>2</xdr:row>
      <xdr:rowOff>182880</xdr:rowOff>
    </xdr:from>
    <xdr:to>
      <xdr:col>9</xdr:col>
      <xdr:colOff>446865</xdr:colOff>
      <xdr:row>6</xdr:row>
      <xdr:rowOff>188420</xdr:rowOff>
    </xdr:to>
    <xdr:pic>
      <xdr:nvPicPr>
        <xdr:cNvPr id="2" name="Imagen 1">
          <a:extLst>
            <a:ext uri="{FF2B5EF4-FFF2-40B4-BE49-F238E27FC236}">
              <a16:creationId xmlns:a16="http://schemas.microsoft.com/office/drawing/2014/main" id="{62C5A541-974E-40B8-887A-0EA6F5EC70FF}"/>
            </a:ext>
          </a:extLst>
        </xdr:cNvPr>
        <xdr:cNvPicPr>
          <a:picLocks noChangeAspect="1"/>
        </xdr:cNvPicPr>
      </xdr:nvPicPr>
      <xdr:blipFill>
        <a:blip xmlns:r="http://schemas.openxmlformats.org/officeDocument/2006/relationships" r:embed="rId1"/>
        <a:stretch>
          <a:fillRect/>
        </a:stretch>
      </xdr:blipFill>
      <xdr:spPr>
        <a:xfrm>
          <a:off x="5943600" y="563880"/>
          <a:ext cx="2245185" cy="767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617220</xdr:colOff>
      <xdr:row>2</xdr:row>
      <xdr:rowOff>22860</xdr:rowOff>
    </xdr:from>
    <xdr:to>
      <xdr:col>9</xdr:col>
      <xdr:colOff>614505</xdr:colOff>
      <xdr:row>6</xdr:row>
      <xdr:rowOff>28400</xdr:rowOff>
    </xdr:to>
    <xdr:pic>
      <xdr:nvPicPr>
        <xdr:cNvPr id="4" name="Imagen 3">
          <a:extLst>
            <a:ext uri="{FF2B5EF4-FFF2-40B4-BE49-F238E27FC236}">
              <a16:creationId xmlns:a16="http://schemas.microsoft.com/office/drawing/2014/main" id="{FDE17954-5F66-4540-B734-B665BD26CAC9}"/>
            </a:ext>
          </a:extLst>
        </xdr:cNvPr>
        <xdr:cNvPicPr>
          <a:picLocks noChangeAspect="1"/>
        </xdr:cNvPicPr>
      </xdr:nvPicPr>
      <xdr:blipFill>
        <a:blip xmlns:r="http://schemas.openxmlformats.org/officeDocument/2006/relationships" r:embed="rId2"/>
        <a:stretch>
          <a:fillRect/>
        </a:stretch>
      </xdr:blipFill>
      <xdr:spPr>
        <a:xfrm>
          <a:off x="5996940" y="403860"/>
          <a:ext cx="2245185" cy="7675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A2" zoomScale="90" zoomScaleNormal="90" workbookViewId="0">
      <selection activeCell="Q7" sqref="Q7"/>
    </sheetView>
  </sheetViews>
  <sheetFormatPr baseColWidth="10" defaultColWidth="11.44140625" defaultRowHeight="15.6" outlineLevelRow="1" x14ac:dyDescent="0.3"/>
  <cols>
    <col min="1" max="1" width="3.33203125" style="40" customWidth="1"/>
    <col min="2" max="2" width="42.33203125" style="31" customWidth="1"/>
    <col min="3" max="14" width="11" style="70" customWidth="1"/>
    <col min="15" max="15" width="14.5546875" style="40" customWidth="1"/>
    <col min="16" max="16384" width="11.44140625" style="40"/>
  </cols>
  <sheetData>
    <row r="1" spans="2:19" ht="16.2" thickBot="1" x14ac:dyDescent="0.35"/>
    <row r="2" spans="2:19" ht="30" customHeight="1" x14ac:dyDescent="0.3">
      <c r="B2" s="249"/>
      <c r="C2" s="252"/>
      <c r="D2" s="253"/>
      <c r="E2" s="253"/>
      <c r="F2" s="253"/>
      <c r="G2" s="253"/>
      <c r="H2" s="253"/>
      <c r="I2" s="253"/>
      <c r="J2" s="253"/>
      <c r="K2" s="253"/>
      <c r="L2" s="253"/>
      <c r="M2" s="253"/>
      <c r="N2" s="254"/>
      <c r="O2" s="24"/>
      <c r="P2" s="24"/>
      <c r="Q2" s="14"/>
      <c r="R2" s="14"/>
    </row>
    <row r="3" spans="2:19" ht="15.9" customHeight="1" x14ac:dyDescent="0.3">
      <c r="B3" s="250"/>
      <c r="C3" s="255"/>
      <c r="D3" s="256"/>
      <c r="E3" s="256"/>
      <c r="F3" s="256"/>
      <c r="G3" s="256"/>
      <c r="H3" s="256"/>
      <c r="I3" s="256"/>
      <c r="J3" s="256"/>
      <c r="K3" s="256"/>
      <c r="L3" s="256"/>
      <c r="M3" s="256"/>
      <c r="N3" s="257"/>
      <c r="O3" s="24"/>
      <c r="P3" s="24"/>
      <c r="Q3" s="14"/>
      <c r="R3" s="14"/>
    </row>
    <row r="4" spans="2:19" ht="15.9" customHeight="1" x14ac:dyDescent="0.3">
      <c r="B4" s="250"/>
      <c r="C4" s="255"/>
      <c r="D4" s="256"/>
      <c r="E4" s="256"/>
      <c r="F4" s="256"/>
      <c r="G4" s="256"/>
      <c r="H4" s="256"/>
      <c r="I4" s="256"/>
      <c r="J4" s="256"/>
      <c r="K4" s="256"/>
      <c r="L4" s="256"/>
      <c r="M4" s="256"/>
      <c r="N4" s="257"/>
      <c r="O4" s="24"/>
      <c r="P4" s="24"/>
      <c r="Q4" s="14"/>
      <c r="R4" s="14"/>
    </row>
    <row r="5" spans="2:19" ht="15.9" customHeight="1" x14ac:dyDescent="0.3">
      <c r="B5" s="250"/>
      <c r="C5" s="255"/>
      <c r="D5" s="256"/>
      <c r="E5" s="256"/>
      <c r="F5" s="256"/>
      <c r="G5" s="256"/>
      <c r="H5" s="256"/>
      <c r="I5" s="256"/>
      <c r="J5" s="256"/>
      <c r="K5" s="256"/>
      <c r="L5" s="256"/>
      <c r="M5" s="256"/>
      <c r="N5" s="257"/>
      <c r="O5" s="24"/>
      <c r="P5" s="24"/>
      <c r="Q5" s="14"/>
      <c r="R5" s="14"/>
    </row>
    <row r="6" spans="2:19" ht="15.9" customHeight="1" x14ac:dyDescent="0.3">
      <c r="B6" s="250"/>
      <c r="C6" s="255"/>
      <c r="D6" s="256"/>
      <c r="E6" s="256"/>
      <c r="F6" s="256"/>
      <c r="G6" s="256"/>
      <c r="H6" s="256"/>
      <c r="I6" s="256"/>
      <c r="J6" s="256"/>
      <c r="K6" s="256"/>
      <c r="L6" s="256"/>
      <c r="M6" s="256"/>
      <c r="N6" s="257"/>
      <c r="O6" s="24"/>
      <c r="P6" s="24"/>
      <c r="Q6" s="14"/>
    </row>
    <row r="7" spans="2:19" ht="15.9" customHeight="1" thickBot="1" x14ac:dyDescent="0.35">
      <c r="B7" s="250"/>
      <c r="C7" s="258"/>
      <c r="D7" s="259"/>
      <c r="E7" s="259"/>
      <c r="F7" s="259"/>
      <c r="G7" s="259"/>
      <c r="H7" s="259"/>
      <c r="I7" s="259"/>
      <c r="J7" s="259"/>
      <c r="K7" s="259"/>
      <c r="L7" s="259"/>
      <c r="M7" s="259"/>
      <c r="N7" s="260"/>
      <c r="O7" s="24"/>
      <c r="P7" s="24"/>
      <c r="Q7" s="14"/>
    </row>
    <row r="8" spans="2:19" ht="15.9" customHeight="1" thickBot="1" x14ac:dyDescent="0.35">
      <c r="B8" s="251"/>
      <c r="C8" s="32">
        <v>2014</v>
      </c>
      <c r="D8" s="33">
        <v>2015</v>
      </c>
      <c r="E8" s="33">
        <v>2016</v>
      </c>
      <c r="F8" s="33">
        <v>2017</v>
      </c>
      <c r="G8" s="33">
        <v>2018</v>
      </c>
      <c r="H8" s="33">
        <v>2019</v>
      </c>
      <c r="I8" s="171">
        <v>2020</v>
      </c>
      <c r="J8" s="102">
        <v>2021</v>
      </c>
      <c r="K8" s="102">
        <v>2022</v>
      </c>
      <c r="L8" s="102">
        <v>2023</v>
      </c>
      <c r="M8" s="102">
        <v>2024</v>
      </c>
      <c r="N8" s="103">
        <v>2025</v>
      </c>
      <c r="O8" s="14"/>
      <c r="P8" s="14"/>
      <c r="Q8" s="14"/>
    </row>
    <row r="9" spans="2:19" ht="15.9" customHeight="1" x14ac:dyDescent="0.3">
      <c r="B9" s="67" t="s">
        <v>36</v>
      </c>
      <c r="C9" s="71"/>
      <c r="D9" s="72"/>
      <c r="E9" s="72"/>
      <c r="F9" s="72"/>
      <c r="G9" s="72"/>
      <c r="H9" s="72"/>
      <c r="I9" s="173"/>
      <c r="J9" s="72"/>
      <c r="K9" s="72"/>
      <c r="L9" s="72"/>
      <c r="M9" s="73"/>
      <c r="N9" s="74"/>
      <c r="O9" s="14"/>
      <c r="P9" s="14"/>
      <c r="Q9" s="14"/>
    </row>
    <row r="10" spans="2:19" ht="15.9" customHeight="1" thickBot="1" x14ac:dyDescent="0.35">
      <c r="B10" s="62" t="s">
        <v>15</v>
      </c>
      <c r="C10" s="226">
        <v>66000</v>
      </c>
      <c r="D10" s="226">
        <v>74989</v>
      </c>
      <c r="E10" s="226">
        <v>90272</v>
      </c>
      <c r="F10" s="226">
        <v>110855</v>
      </c>
      <c r="G10" s="226">
        <v>136819</v>
      </c>
      <c r="H10" s="231">
        <v>161857</v>
      </c>
      <c r="I10" s="174">
        <v>182527</v>
      </c>
      <c r="J10" s="75">
        <v>220000</v>
      </c>
      <c r="K10" s="75">
        <f t="shared" ref="J10:N10" si="0">(J10*$P$11)+J10</f>
        <v>259600</v>
      </c>
      <c r="L10" s="75">
        <f t="shared" si="0"/>
        <v>306328</v>
      </c>
      <c r="M10" s="75">
        <f t="shared" si="0"/>
        <v>361467.04</v>
      </c>
      <c r="N10" s="76">
        <f t="shared" si="0"/>
        <v>426531.10719999997</v>
      </c>
      <c r="O10" s="14"/>
      <c r="P10" s="14"/>
      <c r="Q10" s="14"/>
    </row>
    <row r="11" spans="2:19" ht="15.75" customHeight="1" thickBot="1" x14ac:dyDescent="0.35">
      <c r="B11" s="197" t="s">
        <v>35</v>
      </c>
      <c r="C11" s="294" t="e">
        <f t="shared" ref="C11:H11" si="1">(C10-B10)/B10</f>
        <v>#VALUE!</v>
      </c>
      <c r="D11" s="294">
        <f t="shared" si="1"/>
        <v>0.13619696969696971</v>
      </c>
      <c r="E11" s="294">
        <f t="shared" si="1"/>
        <v>0.20380322447292271</v>
      </c>
      <c r="F11" s="294">
        <f t="shared" si="1"/>
        <v>0.22801090038993266</v>
      </c>
      <c r="G11" s="294">
        <f t="shared" si="1"/>
        <v>0.23421586757475982</v>
      </c>
      <c r="H11" s="294">
        <f t="shared" si="1"/>
        <v>0.18300089899794619</v>
      </c>
      <c r="I11" s="78">
        <f t="shared" ref="H11:I11" si="2">(I10-H10)/H10</f>
        <v>0.12770532012826136</v>
      </c>
      <c r="J11" s="179">
        <f t="shared" ref="J11:N11" si="3">$P$11</f>
        <v>0.18</v>
      </c>
      <c r="K11" s="78">
        <f t="shared" si="3"/>
        <v>0.18</v>
      </c>
      <c r="L11" s="78">
        <f t="shared" si="3"/>
        <v>0.18</v>
      </c>
      <c r="M11" s="78">
        <f t="shared" si="3"/>
        <v>0.18</v>
      </c>
      <c r="N11" s="79">
        <f t="shared" si="3"/>
        <v>0.18</v>
      </c>
      <c r="O11" s="41" t="s">
        <v>33</v>
      </c>
      <c r="P11" s="10">
        <v>0.18</v>
      </c>
      <c r="Q11" s="14"/>
      <c r="S11"/>
    </row>
    <row r="12" spans="2:19" ht="15.9" customHeight="1" x14ac:dyDescent="0.3">
      <c r="B12" s="199" t="s">
        <v>6</v>
      </c>
      <c r="C12" s="295">
        <f t="shared" ref="C12:F12" si="4">C15+C14</f>
        <v>21475</v>
      </c>
      <c r="D12" s="295">
        <f t="shared" si="4"/>
        <v>24423</v>
      </c>
      <c r="E12" s="295">
        <f t="shared" si="4"/>
        <v>29860</v>
      </c>
      <c r="F12" s="295">
        <f>F15+F14</f>
        <v>33061</v>
      </c>
      <c r="G12" s="295">
        <f>G15+G14</f>
        <v>36559</v>
      </c>
      <c r="H12" s="305">
        <f>H15+H14</f>
        <v>46012</v>
      </c>
      <c r="I12" s="194">
        <f t="shared" ref="C12:I12" si="5">I15+I14</f>
        <v>54924</v>
      </c>
      <c r="J12" s="235">
        <f t="shared" ref="J12:N12" si="6">J15+J14</f>
        <v>66766</v>
      </c>
      <c r="K12" s="82">
        <f t="shared" si="6"/>
        <v>78783.88</v>
      </c>
      <c r="L12" s="82">
        <f t="shared" si="6"/>
        <v>92964.978400000007</v>
      </c>
      <c r="M12" s="82">
        <f t="shared" si="6"/>
        <v>109698.674512</v>
      </c>
      <c r="N12" s="83">
        <f t="shared" si="6"/>
        <v>129444.43592416</v>
      </c>
      <c r="O12" s="14"/>
      <c r="P12" s="18"/>
      <c r="Q12" s="14"/>
    </row>
    <row r="13" spans="2:19" ht="15.9" customHeight="1" x14ac:dyDescent="0.3">
      <c r="B13" s="197" t="s">
        <v>16</v>
      </c>
      <c r="C13" s="294">
        <f t="shared" ref="C13:H13" si="7">(C12/C10)</f>
        <v>0.32537878787878788</v>
      </c>
      <c r="D13" s="294">
        <f t="shared" si="7"/>
        <v>0.32568776753923911</v>
      </c>
      <c r="E13" s="294">
        <f t="shared" si="7"/>
        <v>0.33077809287486709</v>
      </c>
      <c r="F13" s="294">
        <f t="shared" si="7"/>
        <v>0.29823643498263497</v>
      </c>
      <c r="G13" s="294">
        <f t="shared" si="7"/>
        <v>0.26720703995790057</v>
      </c>
      <c r="H13" s="294">
        <f t="shared" si="7"/>
        <v>0.28427562601555695</v>
      </c>
      <c r="I13" s="79">
        <f t="shared" ref="H13:I13" si="8">(I12/I10)</f>
        <v>0.30090890662751263</v>
      </c>
      <c r="J13" s="179">
        <f>J12/J10</f>
        <v>0.30348181818181819</v>
      </c>
      <c r="K13" s="78">
        <f>K12/K10</f>
        <v>0.30348181818181819</v>
      </c>
      <c r="L13" s="78">
        <f>L12/L10</f>
        <v>0.30348181818181819</v>
      </c>
      <c r="M13" s="78">
        <f>M12/M10</f>
        <v>0.30348181818181819</v>
      </c>
      <c r="N13" s="79">
        <f>N12/N10</f>
        <v>0.30348181818181819</v>
      </c>
      <c r="O13" s="14"/>
      <c r="P13" s="14"/>
      <c r="Q13" s="14"/>
    </row>
    <row r="14" spans="2:19" ht="15.9" customHeight="1" thickBot="1" x14ac:dyDescent="0.35">
      <c r="B14" s="196" t="s">
        <v>0</v>
      </c>
      <c r="C14" s="226">
        <v>4979</v>
      </c>
      <c r="D14" s="226">
        <v>5063</v>
      </c>
      <c r="E14" s="226">
        <v>6144</v>
      </c>
      <c r="F14" s="226">
        <v>6915</v>
      </c>
      <c r="G14" s="226">
        <v>9035</v>
      </c>
      <c r="H14" s="232">
        <v>11781</v>
      </c>
      <c r="I14" s="222">
        <v>13700</v>
      </c>
      <c r="J14" s="220">
        <f>(I14*$P$11)+I14</f>
        <v>16166</v>
      </c>
      <c r="K14" s="218">
        <f t="shared" ref="K14:N14" si="9">(J14*$P$11)+J14</f>
        <v>19075.88</v>
      </c>
      <c r="L14" s="220">
        <f t="shared" si="9"/>
        <v>22509.538400000001</v>
      </c>
      <c r="M14" s="200">
        <f t="shared" si="9"/>
        <v>26561.255312000001</v>
      </c>
      <c r="N14" s="220">
        <f t="shared" si="9"/>
        <v>31342.281268160001</v>
      </c>
      <c r="O14" s="201"/>
      <c r="P14" s="14"/>
      <c r="Q14" s="14"/>
    </row>
    <row r="15" spans="2:19" ht="15.9" customHeight="1" outlineLevel="1" thickBot="1" x14ac:dyDescent="0.35">
      <c r="B15" s="62" t="s">
        <v>7</v>
      </c>
      <c r="C15" s="144">
        <v>16496</v>
      </c>
      <c r="D15" s="144">
        <v>19360</v>
      </c>
      <c r="E15" s="144">
        <v>23716</v>
      </c>
      <c r="F15" s="144">
        <v>26146</v>
      </c>
      <c r="G15" s="144">
        <v>27524</v>
      </c>
      <c r="H15" s="144">
        <v>34231</v>
      </c>
      <c r="I15" s="175">
        <v>41224</v>
      </c>
      <c r="J15" s="75">
        <f>J10*$P$16</f>
        <v>50600</v>
      </c>
      <c r="K15" s="75">
        <f>K10*$P$16</f>
        <v>59708</v>
      </c>
      <c r="L15" s="75">
        <f>L10*$P$16</f>
        <v>70455.44</v>
      </c>
      <c r="M15" s="75">
        <f>M10*$P$16</f>
        <v>83137.419200000004</v>
      </c>
      <c r="N15" s="76">
        <f>N10*$P$16</f>
        <v>98102.154655999999</v>
      </c>
      <c r="O15" s="14"/>
      <c r="P15" s="14"/>
      <c r="Q15" s="14"/>
    </row>
    <row r="16" spans="2:19" ht="15.9" customHeight="1" outlineLevel="1" thickBot="1" x14ac:dyDescent="0.35">
      <c r="B16" s="197" t="s">
        <v>17</v>
      </c>
      <c r="C16" s="294">
        <f t="shared" ref="C16:F16" si="10">(C15/C10)</f>
        <v>0.24993939393939393</v>
      </c>
      <c r="D16" s="294">
        <f t="shared" si="10"/>
        <v>0.25817119844243824</v>
      </c>
      <c r="E16" s="294">
        <f t="shared" si="10"/>
        <v>0.26271712158808935</v>
      </c>
      <c r="F16" s="294">
        <f>(F15/F10)</f>
        <v>0.23585765188760091</v>
      </c>
      <c r="G16" s="294">
        <f>(G15/G10)</f>
        <v>0.20117089000796673</v>
      </c>
      <c r="H16" s="294">
        <f>(H15/H10)</f>
        <v>0.21148915400631421</v>
      </c>
      <c r="I16" s="223">
        <f t="shared" ref="C16:I16" si="11">(I15/I10)</f>
        <v>0.22585151785763202</v>
      </c>
      <c r="J16" s="224">
        <f t="shared" ref="J16:N16" si="12">(J15/J10)</f>
        <v>0.23</v>
      </c>
      <c r="K16" s="224">
        <f t="shared" si="12"/>
        <v>0.23</v>
      </c>
      <c r="L16" s="224">
        <f t="shared" si="12"/>
        <v>0.23</v>
      </c>
      <c r="M16" s="224">
        <f t="shared" si="12"/>
        <v>0.23000000000000004</v>
      </c>
      <c r="N16" s="225">
        <f t="shared" si="12"/>
        <v>0.23</v>
      </c>
      <c r="O16" s="41" t="s">
        <v>32</v>
      </c>
      <c r="P16" s="17">
        <v>0.23</v>
      </c>
      <c r="Q16" s="14"/>
    </row>
    <row r="17" spans="2:17" ht="15.9" customHeight="1" outlineLevel="1" x14ac:dyDescent="0.3">
      <c r="B17" s="261" t="s">
        <v>55</v>
      </c>
      <c r="C17" s="227">
        <v>-650</v>
      </c>
      <c r="D17" s="227">
        <v>-800</v>
      </c>
      <c r="E17" s="227">
        <v>-1100</v>
      </c>
      <c r="F17" s="227">
        <v>-1200</v>
      </c>
      <c r="G17" s="227">
        <v>-1800</v>
      </c>
      <c r="H17" s="233">
        <v>-2300</v>
      </c>
      <c r="I17" s="180">
        <v>-1700</v>
      </c>
      <c r="J17" s="135">
        <f>(I17*$P$11)+I17</f>
        <v>-2006</v>
      </c>
      <c r="K17" s="135">
        <f t="shared" ref="K17:N17" si="13">(J17*$P$11)+J17</f>
        <v>-2367.08</v>
      </c>
      <c r="L17" s="135">
        <f t="shared" si="13"/>
        <v>-2793.1543999999999</v>
      </c>
      <c r="M17" s="135">
        <f t="shared" si="13"/>
        <v>-3295.922192</v>
      </c>
      <c r="N17" s="136">
        <f t="shared" si="13"/>
        <v>-3889.1881865599998</v>
      </c>
      <c r="O17" s="14"/>
      <c r="P17" s="14"/>
      <c r="Q17" s="14"/>
    </row>
    <row r="18" spans="2:17" ht="15.9" customHeight="1" outlineLevel="1" thickBot="1" x14ac:dyDescent="0.35">
      <c r="B18" s="262"/>
      <c r="C18" s="296"/>
      <c r="D18" s="296"/>
      <c r="E18" s="296"/>
      <c r="F18" s="296"/>
      <c r="G18" s="297"/>
      <c r="H18" s="297"/>
      <c r="I18" s="176"/>
      <c r="J18" s="81"/>
      <c r="K18" s="81"/>
      <c r="L18" s="81"/>
      <c r="M18" s="81"/>
      <c r="N18" s="87"/>
      <c r="O18" s="14"/>
      <c r="P18" s="14"/>
      <c r="Q18" s="14"/>
    </row>
    <row r="19" spans="2:17" ht="15.9" customHeight="1" thickBot="1" x14ac:dyDescent="0.35">
      <c r="B19" s="195" t="s">
        <v>1</v>
      </c>
      <c r="C19" s="298">
        <f t="shared" ref="C19:E19" si="14">C15-C17</f>
        <v>17146</v>
      </c>
      <c r="D19" s="298">
        <f t="shared" si="14"/>
        <v>20160</v>
      </c>
      <c r="E19" s="298">
        <f t="shared" si="14"/>
        <v>24816</v>
      </c>
      <c r="F19" s="298">
        <f>F15-F17</f>
        <v>27346</v>
      </c>
      <c r="G19" s="298">
        <f>G15-G17</f>
        <v>29324</v>
      </c>
      <c r="H19" s="298">
        <f>H15-H17</f>
        <v>36531</v>
      </c>
      <c r="I19" s="172">
        <f t="shared" ref="C19:I19" si="15">I15-I17</f>
        <v>42924</v>
      </c>
      <c r="J19" s="88">
        <f t="shared" ref="J19:N19" si="16">J15-J17-J18</f>
        <v>52606</v>
      </c>
      <c r="K19" s="88">
        <f t="shared" si="16"/>
        <v>62075.08</v>
      </c>
      <c r="L19" s="88">
        <f t="shared" si="16"/>
        <v>73248.594400000002</v>
      </c>
      <c r="M19" s="88">
        <f t="shared" si="16"/>
        <v>86433.341392000002</v>
      </c>
      <c r="N19" s="89">
        <f t="shared" si="16"/>
        <v>101991.34284256</v>
      </c>
      <c r="O19" s="14"/>
      <c r="P19" s="14"/>
      <c r="Q19" s="14"/>
    </row>
    <row r="20" spans="2:17" ht="15.9" customHeight="1" collapsed="1" thickBot="1" x14ac:dyDescent="0.35">
      <c r="B20" s="196" t="s">
        <v>2</v>
      </c>
      <c r="C20" s="227">
        <v>3639</v>
      </c>
      <c r="D20" s="227">
        <v>3303</v>
      </c>
      <c r="E20" s="227">
        <v>4672</v>
      </c>
      <c r="F20" s="227">
        <v>14531</v>
      </c>
      <c r="G20" s="227">
        <v>4177</v>
      </c>
      <c r="H20" s="234">
        <v>5282</v>
      </c>
      <c r="I20" s="181">
        <v>7813</v>
      </c>
      <c r="J20" s="85">
        <f>J19*J21</f>
        <v>8943.02</v>
      </c>
      <c r="K20" s="85">
        <f t="shared" ref="K20:N20" si="17">K19*K21</f>
        <v>10552.7636</v>
      </c>
      <c r="L20" s="85">
        <f t="shared" si="17"/>
        <v>12452.261048</v>
      </c>
      <c r="M20" s="85">
        <f t="shared" si="17"/>
        <v>14693.668036640001</v>
      </c>
      <c r="N20" s="86">
        <f t="shared" si="17"/>
        <v>17338.528283235202</v>
      </c>
      <c r="O20" s="14"/>
      <c r="P20" s="14"/>
      <c r="Q20" s="14"/>
    </row>
    <row r="21" spans="2:17" ht="15.9" customHeight="1" thickBot="1" x14ac:dyDescent="0.35">
      <c r="B21" s="197" t="s">
        <v>10</v>
      </c>
      <c r="C21" s="299">
        <f t="shared" ref="C21:H21" si="18">(C20/C19)</f>
        <v>0.21223609005015748</v>
      </c>
      <c r="D21" s="299">
        <f t="shared" si="18"/>
        <v>0.16383928571428572</v>
      </c>
      <c r="E21" s="299">
        <f t="shared" si="18"/>
        <v>0.1882656350741457</v>
      </c>
      <c r="F21" s="299">
        <f t="shared" si="18"/>
        <v>0.53137570394207567</v>
      </c>
      <c r="G21" s="299">
        <f t="shared" si="18"/>
        <v>0.14244305006138316</v>
      </c>
      <c r="H21" s="299">
        <f t="shared" si="18"/>
        <v>0.14458952670334785</v>
      </c>
      <c r="I21" s="178">
        <f t="shared" ref="H21:I21" si="19">(I20/I19)</f>
        <v>0.18201938309570403</v>
      </c>
      <c r="J21" s="77">
        <f>$P$21</f>
        <v>0.17</v>
      </c>
      <c r="K21" s="77">
        <f t="shared" ref="K21:N21" si="20">$P$21</f>
        <v>0.17</v>
      </c>
      <c r="L21" s="77">
        <f t="shared" si="20"/>
        <v>0.17</v>
      </c>
      <c r="M21" s="77">
        <f t="shared" si="20"/>
        <v>0.17</v>
      </c>
      <c r="N21" s="84">
        <f t="shared" si="20"/>
        <v>0.17</v>
      </c>
      <c r="O21" s="41" t="s">
        <v>34</v>
      </c>
      <c r="P21" s="11">
        <v>0.17</v>
      </c>
      <c r="Q21" s="14"/>
    </row>
    <row r="22" spans="2:17" ht="15.9" customHeight="1" thickBot="1" x14ac:dyDescent="0.35">
      <c r="B22" s="198" t="s">
        <v>3</v>
      </c>
      <c r="C22" s="300">
        <f t="shared" ref="C22:H22" si="21">C19-C20</f>
        <v>13507</v>
      </c>
      <c r="D22" s="300">
        <f t="shared" si="21"/>
        <v>16857</v>
      </c>
      <c r="E22" s="300">
        <f t="shared" si="21"/>
        <v>20144</v>
      </c>
      <c r="F22" s="300">
        <f t="shared" si="21"/>
        <v>12815</v>
      </c>
      <c r="G22" s="300">
        <f t="shared" si="21"/>
        <v>25147</v>
      </c>
      <c r="H22" s="306">
        <f t="shared" si="21"/>
        <v>31249</v>
      </c>
      <c r="I22" s="182">
        <f t="shared" ref="H22:I22" si="22">I19-I20</f>
        <v>35111</v>
      </c>
      <c r="J22" s="90">
        <f t="shared" ref="J22:N22" si="23">J19-J20</f>
        <v>43662.979999999996</v>
      </c>
      <c r="K22" s="90">
        <f t="shared" si="23"/>
        <v>51522.316400000003</v>
      </c>
      <c r="L22" s="90">
        <f t="shared" si="23"/>
        <v>60796.333352000001</v>
      </c>
      <c r="M22" s="90">
        <f t="shared" si="23"/>
        <v>71739.673355360006</v>
      </c>
      <c r="N22" s="91">
        <f t="shared" si="23"/>
        <v>84652.81455932479</v>
      </c>
      <c r="O22" s="14"/>
      <c r="P22" s="14"/>
      <c r="Q22" s="14"/>
    </row>
    <row r="23" spans="2:17" ht="15.9" customHeight="1" thickBot="1" x14ac:dyDescent="0.35">
      <c r="B23" s="196" t="s">
        <v>4</v>
      </c>
      <c r="C23" s="301">
        <v>0</v>
      </c>
      <c r="D23" s="314">
        <v>0</v>
      </c>
      <c r="E23" s="314">
        <v>0</v>
      </c>
      <c r="F23" s="314">
        <v>0</v>
      </c>
      <c r="G23" s="314">
        <v>0</v>
      </c>
      <c r="H23" s="314">
        <v>0</v>
      </c>
      <c r="I23" s="151">
        <v>0</v>
      </c>
      <c r="J23" s="221">
        <f>I23*(1+$P$11)</f>
        <v>0</v>
      </c>
      <c r="K23" s="80">
        <f t="shared" ref="K23:N23" si="24">J23*(1+$P$11)</f>
        <v>0</v>
      </c>
      <c r="L23" s="80">
        <f t="shared" si="24"/>
        <v>0</v>
      </c>
      <c r="M23" s="80">
        <f t="shared" si="24"/>
        <v>0</v>
      </c>
      <c r="N23" s="192">
        <f t="shared" si="24"/>
        <v>0</v>
      </c>
      <c r="O23" s="14"/>
      <c r="P23" s="14"/>
      <c r="Q23" s="14"/>
    </row>
    <row r="24" spans="2:17" ht="15.9" customHeight="1" x14ac:dyDescent="0.3">
      <c r="B24" s="199" t="s">
        <v>5</v>
      </c>
      <c r="C24" s="302">
        <f t="shared" ref="C24:H24" si="25">C22-C23</f>
        <v>13507</v>
      </c>
      <c r="D24" s="302">
        <f t="shared" si="25"/>
        <v>16857</v>
      </c>
      <c r="E24" s="302">
        <f t="shared" si="25"/>
        <v>20144</v>
      </c>
      <c r="F24" s="302">
        <f t="shared" si="25"/>
        <v>12815</v>
      </c>
      <c r="G24" s="302">
        <f t="shared" si="25"/>
        <v>25147</v>
      </c>
      <c r="H24" s="302">
        <f t="shared" si="25"/>
        <v>31249</v>
      </c>
      <c r="I24" s="177">
        <f t="shared" ref="H24:I24" si="26">I22-I23</f>
        <v>35111</v>
      </c>
      <c r="J24" s="92">
        <f t="shared" ref="J24:N24" si="27">J22-J23</f>
        <v>43662.979999999996</v>
      </c>
      <c r="K24" s="92">
        <f t="shared" si="27"/>
        <v>51522.316400000003</v>
      </c>
      <c r="L24" s="92">
        <f t="shared" si="27"/>
        <v>60796.333352000001</v>
      </c>
      <c r="M24" s="92">
        <f t="shared" si="27"/>
        <v>71739.673355360006</v>
      </c>
      <c r="N24" s="93">
        <f t="shared" si="27"/>
        <v>84652.81455932479</v>
      </c>
      <c r="O24" s="14"/>
      <c r="P24" s="14"/>
      <c r="Q24" s="14"/>
    </row>
    <row r="25" spans="2:17" ht="15.9" customHeight="1" x14ac:dyDescent="0.3">
      <c r="B25" s="197" t="s">
        <v>37</v>
      </c>
      <c r="C25" s="303">
        <f t="shared" ref="C25:H25" si="28">C24/C10</f>
        <v>0.20465151515151514</v>
      </c>
      <c r="D25" s="303">
        <f t="shared" si="28"/>
        <v>0.22479296963554654</v>
      </c>
      <c r="E25" s="303">
        <f t="shared" si="28"/>
        <v>0.22314781992201346</v>
      </c>
      <c r="F25" s="303">
        <f t="shared" si="28"/>
        <v>0.11560146136845428</v>
      </c>
      <c r="G25" s="303">
        <f t="shared" si="28"/>
        <v>0.18379757197465266</v>
      </c>
      <c r="H25" s="307">
        <f t="shared" si="28"/>
        <v>0.19306548372946489</v>
      </c>
      <c r="I25" s="84">
        <f t="shared" ref="C25:I25" si="29">I24/I10</f>
        <v>0.19236058227002031</v>
      </c>
      <c r="J25" s="77">
        <f t="shared" ref="J25:N25" si="30">J24/J10</f>
        <v>0.1984680909090909</v>
      </c>
      <c r="K25" s="77">
        <f t="shared" si="30"/>
        <v>0.19846809090909093</v>
      </c>
      <c r="L25" s="77">
        <f t="shared" si="30"/>
        <v>0.19846809090909093</v>
      </c>
      <c r="M25" s="77">
        <f t="shared" si="30"/>
        <v>0.19846809090909093</v>
      </c>
      <c r="N25" s="84">
        <f t="shared" si="30"/>
        <v>0.1984680909090909</v>
      </c>
      <c r="O25" s="14"/>
      <c r="P25" s="14"/>
      <c r="Q25" s="14"/>
    </row>
    <row r="26" spans="2:17" ht="15.9" customHeight="1" x14ac:dyDescent="0.3">
      <c r="B26" s="62" t="s">
        <v>18</v>
      </c>
      <c r="C26" s="304">
        <f t="shared" ref="C26:H26" si="31">C24/C27</f>
        <v>19.660844250363901</v>
      </c>
      <c r="D26" s="304">
        <f t="shared" si="31"/>
        <v>24.359826589595375</v>
      </c>
      <c r="E26" s="304">
        <f t="shared" si="31"/>
        <v>28.818311874105866</v>
      </c>
      <c r="F26" s="304">
        <f t="shared" si="31"/>
        <v>18.229018492176387</v>
      </c>
      <c r="G26" s="304">
        <f t="shared" si="31"/>
        <v>35.770981507823613</v>
      </c>
      <c r="H26" s="308">
        <f t="shared" si="31"/>
        <v>44.705293276108726</v>
      </c>
      <c r="I26" s="95">
        <f t="shared" ref="H26:I26" si="32">I24/I27</f>
        <v>51.107714701601168</v>
      </c>
      <c r="J26" s="94">
        <f>J24/J27</f>
        <v>64.210264705882352</v>
      </c>
      <c r="K26" s="94">
        <f t="shared" ref="K26:N26" si="33">K24/K27</f>
        <v>76.556190787518574</v>
      </c>
      <c r="L26" s="94">
        <f>L24/L27</f>
        <v>91.148925565217397</v>
      </c>
      <c r="M26" s="94">
        <f t="shared" si="33"/>
        <v>108.69647478084849</v>
      </c>
      <c r="N26" s="95">
        <f t="shared" si="33"/>
        <v>129.83560515233864</v>
      </c>
      <c r="O26" s="14"/>
      <c r="P26" s="14"/>
      <c r="Q26" s="14"/>
    </row>
    <row r="27" spans="2:17" ht="15.9" customHeight="1" thickBot="1" x14ac:dyDescent="0.35">
      <c r="B27" s="309" t="s">
        <v>56</v>
      </c>
      <c r="C27" s="228">
        <v>687</v>
      </c>
      <c r="D27" s="228">
        <v>692</v>
      </c>
      <c r="E27" s="228">
        <v>699</v>
      </c>
      <c r="F27" s="228">
        <v>703</v>
      </c>
      <c r="G27" s="228">
        <v>703</v>
      </c>
      <c r="H27" s="228">
        <v>699</v>
      </c>
      <c r="I27" s="97">
        <v>687</v>
      </c>
      <c r="J27" s="96">
        <v>680</v>
      </c>
      <c r="K27" s="96">
        <v>673</v>
      </c>
      <c r="L27" s="96">
        <v>667</v>
      </c>
      <c r="M27" s="96">
        <v>660</v>
      </c>
      <c r="N27" s="96">
        <v>652</v>
      </c>
      <c r="O27" s="201"/>
      <c r="P27" s="14"/>
      <c r="Q27" s="14"/>
    </row>
    <row r="28" spans="2:17" ht="15.9" customHeight="1" x14ac:dyDescent="0.3">
      <c r="B28" s="68"/>
      <c r="C28" s="80"/>
      <c r="D28" s="80"/>
      <c r="E28" s="80"/>
      <c r="F28" s="80"/>
      <c r="G28" s="80"/>
      <c r="H28" s="80"/>
      <c r="I28" s="80"/>
      <c r="J28" s="80"/>
      <c r="K28" s="80"/>
      <c r="L28" s="81"/>
      <c r="M28" s="98"/>
      <c r="N28" s="98"/>
      <c r="O28" s="14"/>
      <c r="P28" s="14"/>
      <c r="Q28" s="14"/>
    </row>
    <row r="29" spans="2:17" ht="15.9" customHeight="1" x14ac:dyDescent="0.3">
      <c r="B29" s="68"/>
      <c r="C29" s="81"/>
      <c r="D29" s="81"/>
      <c r="E29" s="81"/>
      <c r="F29" s="81"/>
      <c r="G29" s="81"/>
      <c r="H29" s="81"/>
      <c r="I29" s="81"/>
      <c r="J29" s="80"/>
      <c r="K29" s="80"/>
      <c r="L29" s="81"/>
      <c r="M29" s="98"/>
      <c r="N29" s="98"/>
      <c r="O29" s="14"/>
      <c r="P29" s="14"/>
      <c r="Q29" s="14"/>
    </row>
    <row r="30" spans="2:17" ht="15.9" customHeight="1" x14ac:dyDescent="0.3">
      <c r="B30" s="68"/>
      <c r="C30" s="80"/>
      <c r="D30" s="80"/>
      <c r="E30" s="80"/>
      <c r="F30" s="80"/>
      <c r="G30" s="80"/>
      <c r="H30" s="80"/>
      <c r="I30" s="80"/>
      <c r="J30" s="80"/>
      <c r="K30" s="80"/>
      <c r="L30" s="80"/>
      <c r="M30" s="98"/>
      <c r="N30" s="98"/>
      <c r="O30" s="14"/>
      <c r="P30" s="14"/>
      <c r="Q30" s="14"/>
    </row>
    <row r="31" spans="2:17" ht="15.9" customHeight="1" x14ac:dyDescent="0.3">
      <c r="B31" s="247"/>
      <c r="C31" s="247"/>
      <c r="D31" s="247"/>
      <c r="E31" s="247"/>
      <c r="F31" s="247"/>
      <c r="G31" s="247"/>
      <c r="H31" s="247"/>
      <c r="I31" s="247"/>
      <c r="J31" s="247"/>
      <c r="K31" s="247"/>
      <c r="L31" s="247"/>
      <c r="M31" s="99"/>
      <c r="N31" s="98"/>
      <c r="O31" s="14"/>
      <c r="P31" s="14"/>
      <c r="Q31" s="14"/>
    </row>
    <row r="32" spans="2:17" ht="15.9" customHeight="1" x14ac:dyDescent="0.3">
      <c r="B32" s="68"/>
      <c r="C32" s="80"/>
      <c r="D32" s="80"/>
      <c r="E32" s="80"/>
      <c r="F32" s="80"/>
      <c r="G32" s="80"/>
      <c r="H32" s="80"/>
      <c r="I32" s="80"/>
      <c r="J32" s="80"/>
      <c r="K32" s="80"/>
      <c r="L32" s="80"/>
      <c r="M32" s="99"/>
      <c r="N32" s="98"/>
    </row>
    <row r="33" spans="2:14" ht="15.9" customHeight="1" x14ac:dyDescent="0.3">
      <c r="B33" s="68"/>
      <c r="C33" s="75"/>
      <c r="D33" s="75"/>
      <c r="E33" s="75"/>
      <c r="F33" s="75"/>
      <c r="G33" s="75"/>
      <c r="H33" s="75"/>
      <c r="I33" s="75"/>
      <c r="J33" s="80"/>
      <c r="K33" s="80"/>
      <c r="L33" s="80"/>
      <c r="M33" s="99"/>
      <c r="N33" s="98"/>
    </row>
    <row r="34" spans="2:14" ht="15.9" customHeight="1" x14ac:dyDescent="0.3">
      <c r="B34" s="69"/>
      <c r="C34" s="94"/>
      <c r="D34" s="94"/>
      <c r="E34" s="94"/>
      <c r="F34" s="94"/>
      <c r="G34" s="94"/>
      <c r="H34" s="94"/>
      <c r="I34" s="94"/>
      <c r="J34" s="94"/>
      <c r="K34" s="94"/>
      <c r="L34" s="94"/>
      <c r="M34" s="99"/>
      <c r="N34" s="98"/>
    </row>
    <row r="35" spans="2:14" ht="15.9" customHeight="1" x14ac:dyDescent="0.3">
      <c r="B35" s="68"/>
      <c r="C35" s="80"/>
      <c r="D35" s="80"/>
      <c r="E35" s="80"/>
      <c r="F35" s="80"/>
      <c r="G35" s="80"/>
      <c r="H35" s="81"/>
      <c r="I35" s="80"/>
      <c r="J35" s="80"/>
      <c r="K35" s="80"/>
      <c r="L35" s="80"/>
      <c r="M35" s="99"/>
      <c r="N35" s="98"/>
    </row>
    <row r="36" spans="2:14" ht="15.9" customHeight="1" x14ac:dyDescent="0.3">
      <c r="B36" s="68"/>
      <c r="C36" s="80"/>
      <c r="D36" s="81"/>
      <c r="E36" s="81"/>
      <c r="F36" s="80"/>
      <c r="G36" s="80"/>
      <c r="H36" s="80"/>
      <c r="I36" s="80"/>
      <c r="J36" s="80"/>
      <c r="K36" s="80"/>
      <c r="L36" s="80"/>
      <c r="M36" s="99"/>
      <c r="N36" s="98"/>
    </row>
    <row r="37" spans="2:14" ht="15.9" customHeight="1" x14ac:dyDescent="0.3">
      <c r="B37" s="69"/>
      <c r="C37" s="94"/>
      <c r="D37" s="94"/>
      <c r="E37" s="94"/>
      <c r="F37" s="94"/>
      <c r="G37" s="94"/>
      <c r="H37" s="94"/>
      <c r="I37" s="94"/>
      <c r="J37" s="94"/>
      <c r="K37" s="94"/>
      <c r="L37" s="94"/>
      <c r="M37" s="99"/>
      <c r="N37" s="98"/>
    </row>
    <row r="38" spans="2:14" ht="15.9" customHeight="1" x14ac:dyDescent="0.3">
      <c r="B38" s="68"/>
      <c r="C38" s="80"/>
      <c r="D38" s="80"/>
      <c r="E38" s="80"/>
      <c r="F38" s="80"/>
      <c r="G38" s="80"/>
      <c r="H38" s="80"/>
      <c r="I38" s="80"/>
      <c r="J38" s="80"/>
      <c r="K38" s="80"/>
      <c r="L38" s="80"/>
      <c r="M38" s="99"/>
      <c r="N38" s="98"/>
    </row>
    <row r="39" spans="2:14" ht="15.9" customHeight="1" x14ac:dyDescent="0.3">
      <c r="B39" s="68"/>
      <c r="C39" s="81"/>
      <c r="D39" s="80"/>
      <c r="E39" s="80"/>
      <c r="F39" s="80"/>
      <c r="G39" s="80"/>
      <c r="H39" s="80"/>
      <c r="I39" s="80"/>
      <c r="J39" s="80"/>
      <c r="K39" s="80"/>
      <c r="L39" s="80"/>
      <c r="M39" s="99"/>
      <c r="N39" s="98"/>
    </row>
    <row r="40" spans="2:14" ht="15.9" customHeight="1" x14ac:dyDescent="0.3">
      <c r="B40" s="68"/>
      <c r="C40" s="80"/>
      <c r="D40" s="80"/>
      <c r="E40" s="80"/>
      <c r="F40" s="80"/>
      <c r="G40" s="81"/>
      <c r="H40" s="80"/>
      <c r="I40" s="80"/>
      <c r="J40" s="80"/>
      <c r="K40" s="80"/>
      <c r="L40" s="80"/>
      <c r="M40" s="99"/>
      <c r="N40" s="98"/>
    </row>
    <row r="41" spans="2:14" ht="15.9" customHeight="1" x14ac:dyDescent="0.3">
      <c r="B41" s="68"/>
      <c r="C41" s="81"/>
      <c r="D41" s="81"/>
      <c r="E41" s="80"/>
      <c r="F41" s="80"/>
      <c r="G41" s="80"/>
      <c r="H41" s="80"/>
      <c r="I41" s="80"/>
      <c r="J41" s="80"/>
      <c r="K41" s="80"/>
      <c r="L41" s="80"/>
      <c r="M41" s="99"/>
      <c r="N41" s="98"/>
    </row>
    <row r="42" spans="2:14" ht="15.9" customHeight="1" x14ac:dyDescent="0.3">
      <c r="B42" s="69"/>
      <c r="C42" s="94"/>
      <c r="D42" s="94"/>
      <c r="E42" s="94"/>
      <c r="F42" s="94"/>
      <c r="G42" s="100"/>
      <c r="H42" s="94"/>
      <c r="I42" s="94"/>
      <c r="J42" s="94"/>
      <c r="K42" s="94"/>
      <c r="L42" s="94"/>
      <c r="M42" s="99"/>
      <c r="N42" s="98"/>
    </row>
    <row r="43" spans="2:14" ht="15.9" customHeight="1" x14ac:dyDescent="0.3">
      <c r="B43" s="248"/>
      <c r="C43" s="248"/>
      <c r="D43" s="248"/>
      <c r="E43" s="248"/>
      <c r="F43" s="248"/>
      <c r="G43" s="248"/>
      <c r="H43" s="248"/>
      <c r="I43" s="248"/>
      <c r="J43" s="248"/>
      <c r="K43" s="248"/>
      <c r="L43" s="248"/>
      <c r="M43" s="98"/>
      <c r="N43" s="98"/>
    </row>
    <row r="44" spans="2:14" ht="15.9" customHeight="1" x14ac:dyDescent="0.3">
      <c r="B44" s="68"/>
      <c r="C44" s="80"/>
      <c r="D44" s="80"/>
      <c r="E44" s="80"/>
      <c r="F44" s="80"/>
      <c r="G44" s="80"/>
      <c r="H44" s="80"/>
      <c r="I44" s="80"/>
      <c r="J44" s="80"/>
      <c r="K44" s="80"/>
      <c r="L44" s="80"/>
      <c r="M44" s="98"/>
      <c r="N44" s="98"/>
    </row>
    <row r="45" spans="2:14" ht="15.9" customHeight="1" x14ac:dyDescent="0.3">
      <c r="B45" s="68"/>
      <c r="C45" s="80"/>
      <c r="D45" s="80"/>
      <c r="E45" s="80"/>
      <c r="F45" s="80"/>
      <c r="G45" s="81"/>
      <c r="H45" s="80"/>
      <c r="I45" s="80"/>
      <c r="J45" s="80"/>
      <c r="K45" s="80"/>
      <c r="L45" s="80"/>
      <c r="M45" s="98"/>
      <c r="N45" s="98"/>
    </row>
    <row r="46" spans="2:14" ht="15.9" customHeight="1" x14ac:dyDescent="0.3">
      <c r="B46" s="68"/>
      <c r="C46" s="80"/>
      <c r="D46" s="80"/>
      <c r="E46" s="80"/>
      <c r="F46" s="80"/>
      <c r="G46" s="80"/>
      <c r="H46" s="80"/>
      <c r="I46" s="80"/>
      <c r="J46" s="80"/>
      <c r="K46" s="80"/>
      <c r="L46" s="80"/>
      <c r="M46" s="98"/>
      <c r="N46" s="98"/>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23" sqref="I23"/>
    </sheetView>
  </sheetViews>
  <sheetFormatPr baseColWidth="10" defaultColWidth="9.109375" defaultRowHeight="15.6" x14ac:dyDescent="0.3"/>
  <cols>
    <col min="1" max="1" width="3.44140625" customWidth="1"/>
    <col min="2" max="2" width="46.44140625" style="29" customWidth="1"/>
    <col min="3" max="3" width="11.6640625" bestFit="1" customWidth="1"/>
    <col min="4" max="5" width="9.5546875" bestFit="1" customWidth="1"/>
    <col min="6" max="14" width="10.5546875" bestFit="1" customWidth="1"/>
  </cols>
  <sheetData>
    <row r="1" spans="2:15" ht="16.2" thickBot="1" x14ac:dyDescent="0.35"/>
    <row r="2" spans="2:15" ht="15" customHeight="1" x14ac:dyDescent="0.3">
      <c r="B2" s="249"/>
      <c r="C2" s="264"/>
      <c r="D2" s="265"/>
      <c r="E2" s="265"/>
      <c r="F2" s="265"/>
      <c r="G2" s="265"/>
      <c r="H2" s="265"/>
      <c r="I2" s="265"/>
      <c r="J2" s="265"/>
      <c r="K2" s="265"/>
      <c r="L2" s="265"/>
      <c r="M2" s="265"/>
      <c r="N2" s="266"/>
    </row>
    <row r="3" spans="2:15" ht="15" customHeight="1" x14ac:dyDescent="0.3">
      <c r="B3" s="250"/>
      <c r="C3" s="267"/>
      <c r="D3" s="268"/>
      <c r="E3" s="268"/>
      <c r="F3" s="268"/>
      <c r="G3" s="268"/>
      <c r="H3" s="268"/>
      <c r="I3" s="268"/>
      <c r="J3" s="268"/>
      <c r="K3" s="268"/>
      <c r="L3" s="268"/>
      <c r="M3" s="268"/>
      <c r="N3" s="269"/>
    </row>
    <row r="4" spans="2:15" ht="15" customHeight="1" x14ac:dyDescent="0.3">
      <c r="B4" s="250"/>
      <c r="C4" s="267"/>
      <c r="D4" s="268"/>
      <c r="E4" s="268"/>
      <c r="F4" s="268"/>
      <c r="G4" s="268"/>
      <c r="H4" s="268"/>
      <c r="I4" s="268"/>
      <c r="J4" s="268"/>
      <c r="K4" s="268"/>
      <c r="L4" s="268"/>
      <c r="M4" s="268"/>
      <c r="N4" s="269"/>
    </row>
    <row r="5" spans="2:15" ht="15" customHeight="1" x14ac:dyDescent="0.3">
      <c r="B5" s="250"/>
      <c r="C5" s="267"/>
      <c r="D5" s="268"/>
      <c r="E5" s="268"/>
      <c r="F5" s="268"/>
      <c r="G5" s="268"/>
      <c r="H5" s="268"/>
      <c r="I5" s="268"/>
      <c r="J5" s="268"/>
      <c r="K5" s="268"/>
      <c r="L5" s="268"/>
      <c r="M5" s="268"/>
      <c r="N5" s="269"/>
    </row>
    <row r="6" spans="2:15" ht="15" customHeight="1" x14ac:dyDescent="0.3">
      <c r="B6" s="250"/>
      <c r="C6" s="267"/>
      <c r="D6" s="268"/>
      <c r="E6" s="268"/>
      <c r="F6" s="268"/>
      <c r="G6" s="268"/>
      <c r="H6" s="268"/>
      <c r="I6" s="268"/>
      <c r="J6" s="268"/>
      <c r="K6" s="268"/>
      <c r="L6" s="268"/>
      <c r="M6" s="268"/>
      <c r="N6" s="269"/>
    </row>
    <row r="7" spans="2:15" ht="48.75" customHeight="1" thickBot="1" x14ac:dyDescent="0.35">
      <c r="B7" s="250"/>
      <c r="C7" s="267"/>
      <c r="D7" s="268"/>
      <c r="E7" s="268"/>
      <c r="F7" s="268"/>
      <c r="G7" s="268"/>
      <c r="H7" s="268"/>
      <c r="I7" s="268"/>
      <c r="J7" s="268"/>
      <c r="K7" s="268"/>
      <c r="L7" s="268"/>
      <c r="M7" s="268"/>
      <c r="N7" s="269"/>
    </row>
    <row r="8" spans="2:15" ht="18.75" customHeight="1" thickBot="1" x14ac:dyDescent="0.35">
      <c r="B8" s="263"/>
      <c r="C8" s="33">
        <v>2014</v>
      </c>
      <c r="D8" s="33">
        <v>2015</v>
      </c>
      <c r="E8" s="33">
        <v>2016</v>
      </c>
      <c r="F8" s="33">
        <v>2017</v>
      </c>
      <c r="G8" s="33">
        <v>2018</v>
      </c>
      <c r="H8" s="33">
        <v>2019</v>
      </c>
      <c r="I8" s="171">
        <v>2020</v>
      </c>
      <c r="J8" s="102">
        <v>2021</v>
      </c>
      <c r="K8" s="102">
        <v>2022</v>
      </c>
      <c r="L8" s="102">
        <v>2023</v>
      </c>
      <c r="M8" s="102">
        <v>2024</v>
      </c>
      <c r="N8" s="103">
        <v>2025</v>
      </c>
    </row>
    <row r="9" spans="2:15" x14ac:dyDescent="0.3">
      <c r="B9" s="61" t="s">
        <v>38</v>
      </c>
      <c r="C9" s="34"/>
      <c r="D9" s="35"/>
      <c r="E9" s="35"/>
      <c r="F9" s="35"/>
      <c r="G9" s="35"/>
      <c r="H9" s="35"/>
      <c r="I9" s="310"/>
      <c r="J9" s="35"/>
      <c r="K9" s="35"/>
      <c r="L9" s="35"/>
      <c r="M9" s="36"/>
      <c r="N9" s="37"/>
    </row>
    <row r="10" spans="2:15" x14ac:dyDescent="0.3">
      <c r="B10" s="62" t="s">
        <v>6</v>
      </c>
      <c r="C10" s="137">
        <f>'1.Income statement'!C12</f>
        <v>21475</v>
      </c>
      <c r="D10" s="137">
        <f>'1.Income statement'!D12</f>
        <v>24423</v>
      </c>
      <c r="E10" s="137">
        <f>'1.Income statement'!E12</f>
        <v>29860</v>
      </c>
      <c r="F10" s="137">
        <f>'1.Income statement'!F12</f>
        <v>33061</v>
      </c>
      <c r="G10" s="137">
        <f>'1.Income statement'!G12</f>
        <v>36559</v>
      </c>
      <c r="H10" s="137">
        <f>'1.Income statement'!H12</f>
        <v>46012</v>
      </c>
      <c r="I10" s="138">
        <f>'1.Income statement'!I12</f>
        <v>54924</v>
      </c>
      <c r="J10" s="137">
        <f>'1.Income statement'!J12</f>
        <v>66766</v>
      </c>
      <c r="K10" s="137">
        <f>'1.Income statement'!K12</f>
        <v>78783.88</v>
      </c>
      <c r="L10" s="137">
        <f>'1.Income statement'!L12</f>
        <v>92964.978400000007</v>
      </c>
      <c r="M10" s="137">
        <f>'1.Income statement'!M12</f>
        <v>109698.674512</v>
      </c>
      <c r="N10" s="138">
        <f>'1.Income statement'!N12</f>
        <v>129444.43592416</v>
      </c>
    </row>
    <row r="11" spans="2:15" x14ac:dyDescent="0.3">
      <c r="B11" s="184" t="s">
        <v>40</v>
      </c>
      <c r="C11" s="148">
        <v>11000</v>
      </c>
      <c r="D11" s="148">
        <v>9900</v>
      </c>
      <c r="E11" s="148">
        <v>10200</v>
      </c>
      <c r="F11" s="148">
        <v>13000</v>
      </c>
      <c r="G11" s="148">
        <v>25000</v>
      </c>
      <c r="H11" s="148">
        <v>23500</v>
      </c>
      <c r="I11" s="311">
        <v>22281</v>
      </c>
      <c r="J11" s="139">
        <f>(I11*'1.Income statement'!$P$11)+'2.Flujos de caja'!I11</f>
        <v>26291.58</v>
      </c>
      <c r="K11" s="139">
        <f>(J11*'1.Income statement'!$P$11)+'2.Flujos de caja'!J11</f>
        <v>31024.064400000003</v>
      </c>
      <c r="L11" s="139">
        <f>(K11*'1.Income statement'!$P$11)+'2.Flujos de caja'!K11</f>
        <v>36608.395992000005</v>
      </c>
      <c r="M11" s="139">
        <f>(L11*'1.Income statement'!$P$11)+'2.Flujos de caja'!L11</f>
        <v>43197.907270560005</v>
      </c>
      <c r="N11" s="140">
        <f>(M11*'1.Income statement'!$P$11)+'2.Flujos de caja'!M11</f>
        <v>50973.530579260805</v>
      </c>
    </row>
    <row r="12" spans="2:15" x14ac:dyDescent="0.3">
      <c r="B12" s="185" t="s">
        <v>39</v>
      </c>
      <c r="C12" s="141">
        <f>'1.Income statement'!C17</f>
        <v>-650</v>
      </c>
      <c r="D12" s="141">
        <f>'1.Income statement'!D17</f>
        <v>-800</v>
      </c>
      <c r="E12" s="141">
        <f>'1.Income statement'!E17</f>
        <v>-1100</v>
      </c>
      <c r="F12" s="141">
        <f>'1.Income statement'!F17</f>
        <v>-1200</v>
      </c>
      <c r="G12" s="141">
        <f>'1.Income statement'!G17</f>
        <v>-1800</v>
      </c>
      <c r="H12" s="141">
        <f>'1.Income statement'!H17</f>
        <v>-2300</v>
      </c>
      <c r="I12" s="142">
        <f>'1.Income statement'!I17</f>
        <v>-1700</v>
      </c>
      <c r="J12" s="141">
        <f>'1.Income statement'!J17</f>
        <v>-2006</v>
      </c>
      <c r="K12" s="141">
        <f>'1.Income statement'!K17</f>
        <v>-2367.08</v>
      </c>
      <c r="L12" s="141">
        <f>'1.Income statement'!L17</f>
        <v>-2793.1543999999999</v>
      </c>
      <c r="M12" s="141">
        <f>'1.Income statement'!M17</f>
        <v>-3295.922192</v>
      </c>
      <c r="N12" s="142">
        <f>'1.Income statement'!N17</f>
        <v>-3889.1881865599998</v>
      </c>
    </row>
    <row r="13" spans="2:15" x14ac:dyDescent="0.3">
      <c r="B13" s="185" t="s">
        <v>41</v>
      </c>
      <c r="C13" s="141">
        <f>'1.Income statement'!C20</f>
        <v>3639</v>
      </c>
      <c r="D13" s="141">
        <f>'1.Income statement'!D20</f>
        <v>3303</v>
      </c>
      <c r="E13" s="141">
        <f>'1.Income statement'!E20</f>
        <v>4672</v>
      </c>
      <c r="F13" s="141">
        <f>'1.Income statement'!F20</f>
        <v>14531</v>
      </c>
      <c r="G13" s="141">
        <f>'1.Income statement'!G20</f>
        <v>4177</v>
      </c>
      <c r="H13" s="141">
        <f>'1.Income statement'!H20</f>
        <v>5282</v>
      </c>
      <c r="I13" s="142">
        <f>'1.Income statement'!I20</f>
        <v>7813</v>
      </c>
      <c r="J13" s="141">
        <f>'1.Income statement'!J20</f>
        <v>8943.02</v>
      </c>
      <c r="K13" s="141">
        <f>'1.Income statement'!K20</f>
        <v>10552.7636</v>
      </c>
      <c r="L13" s="141">
        <f>'1.Income statement'!L20</f>
        <v>12452.261048</v>
      </c>
      <c r="M13" s="141">
        <f>'1.Income statement'!M20</f>
        <v>14693.668036640001</v>
      </c>
      <c r="N13" s="142">
        <f>'1.Income statement'!N20</f>
        <v>17338.528283235202</v>
      </c>
    </row>
    <row r="14" spans="2:15" x14ac:dyDescent="0.3">
      <c r="B14" s="186" t="s">
        <v>80</v>
      </c>
      <c r="C14" s="183">
        <f>'1.Income statement'!C23</f>
        <v>0</v>
      </c>
      <c r="D14" s="183">
        <f>'1.Income statement'!D23</f>
        <v>0</v>
      </c>
      <c r="E14" s="183">
        <f>'1.Income statement'!E23</f>
        <v>0</v>
      </c>
      <c r="F14" s="183">
        <f>'1.Income statement'!F23</f>
        <v>0</v>
      </c>
      <c r="G14" s="183">
        <f>'1.Income statement'!G23</f>
        <v>0</v>
      </c>
      <c r="H14" s="183">
        <f>'1.Income statement'!H23</f>
        <v>0</v>
      </c>
      <c r="I14" s="312">
        <f>'1.Income statement'!I23</f>
        <v>0</v>
      </c>
      <c r="J14" s="190">
        <f>'1.Income statement'!J23</f>
        <v>0</v>
      </c>
      <c r="K14" s="190">
        <f>'1.Income statement'!K23</f>
        <v>0</v>
      </c>
      <c r="L14" s="190">
        <f>'1.Income statement'!L23</f>
        <v>0</v>
      </c>
      <c r="M14" s="190">
        <f>'1.Income statement'!M23</f>
        <v>0</v>
      </c>
      <c r="N14" s="191">
        <f>'1.Income statement'!N23</f>
        <v>0</v>
      </c>
    </row>
    <row r="15" spans="2:15" x14ac:dyDescent="0.3">
      <c r="B15" s="63" t="s">
        <v>8</v>
      </c>
      <c r="C15" s="143">
        <f t="shared" ref="C15:J15" si="0">C10-C11-C12-C13-C14</f>
        <v>7486</v>
      </c>
      <c r="D15" s="143">
        <f t="shared" si="0"/>
        <v>12020</v>
      </c>
      <c r="E15" s="143">
        <f t="shared" si="0"/>
        <v>16088</v>
      </c>
      <c r="F15" s="143">
        <f t="shared" si="0"/>
        <v>6730</v>
      </c>
      <c r="G15" s="143">
        <f t="shared" si="0"/>
        <v>9182</v>
      </c>
      <c r="H15" s="143">
        <f t="shared" si="0"/>
        <v>19530</v>
      </c>
      <c r="I15" s="313">
        <f t="shared" si="0"/>
        <v>26530</v>
      </c>
      <c r="J15" s="143">
        <f t="shared" si="0"/>
        <v>33537.399999999994</v>
      </c>
      <c r="K15" s="143">
        <f t="shared" ref="K15:M15" si="1">K10-K11-K12-K13-K14</f>
        <v>39574.132000000005</v>
      </c>
      <c r="L15" s="143">
        <f t="shared" si="1"/>
        <v>46697.475760000001</v>
      </c>
      <c r="M15" s="143">
        <f t="shared" si="1"/>
        <v>55103.021396799981</v>
      </c>
      <c r="N15" s="143">
        <f>N10-N11-N12-N13-N14</f>
        <v>65021.565248223989</v>
      </c>
      <c r="O15" s="212"/>
    </row>
    <row r="16" spans="2:15" ht="16.2" thickBot="1" x14ac:dyDescent="0.35">
      <c r="B16" s="64" t="s">
        <v>9</v>
      </c>
      <c r="C16" s="38">
        <f>C15/'1.Income statement'!C27</f>
        <v>10.89665211062591</v>
      </c>
      <c r="D16" s="38">
        <f>D15/'1.Income statement'!D27</f>
        <v>17.369942196531792</v>
      </c>
      <c r="E16" s="38">
        <f>E15/'1.Income statement'!E27</f>
        <v>23.015736766809727</v>
      </c>
      <c r="F16" s="38">
        <f>F15/'1.Income statement'!F27</f>
        <v>9.5732574679943099</v>
      </c>
      <c r="G16" s="38">
        <f>G15/'1.Income statement'!G27</f>
        <v>13.061166429587482</v>
      </c>
      <c r="H16" s="38">
        <f>H15/'1.Income statement'!H27</f>
        <v>27.93991416309013</v>
      </c>
      <c r="I16" s="39">
        <f>I15/'1.Income statement'!I27</f>
        <v>38.617176128093156</v>
      </c>
      <c r="J16" s="38">
        <f>J15/'1.Income statement'!J27</f>
        <v>49.319705882352935</v>
      </c>
      <c r="K16" s="38">
        <f>K15/'1.Income statement'!K27</f>
        <v>58.802573551263009</v>
      </c>
      <c r="L16" s="38">
        <f>L15/'1.Income statement'!L27</f>
        <v>70.011208035982008</v>
      </c>
      <c r="M16" s="38">
        <f>M15/'1.Income statement'!M27</f>
        <v>83.489426358787853</v>
      </c>
      <c r="N16" s="39">
        <f>N15/'1.Income statement'!N27</f>
        <v>99.726327067828208</v>
      </c>
      <c r="O16" s="202"/>
    </row>
    <row r="17" spans="2:14" x14ac:dyDescent="0.3">
      <c r="B17" s="28"/>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8"/>
      <c r="C19" s="3"/>
      <c r="D19" s="3"/>
      <c r="E19" s="3"/>
      <c r="F19" s="3"/>
      <c r="G19" s="3"/>
      <c r="H19" s="3"/>
      <c r="I19" s="3"/>
      <c r="J19" s="3"/>
      <c r="K19" s="3"/>
      <c r="L19" s="3"/>
      <c r="M19" s="3"/>
      <c r="N19" s="3"/>
    </row>
    <row r="20" spans="2:14" x14ac:dyDescent="0.3">
      <c r="B20" s="28"/>
      <c r="C20" s="3"/>
      <c r="D20" s="3"/>
      <c r="E20" s="3"/>
      <c r="F20" s="3"/>
      <c r="G20" s="3"/>
      <c r="H20" s="3"/>
      <c r="I20" s="3"/>
      <c r="J20" s="3"/>
      <c r="K20" s="3"/>
      <c r="L20" s="3"/>
      <c r="M20" s="3"/>
      <c r="N20" s="3"/>
    </row>
    <row r="21" spans="2:14" x14ac:dyDescent="0.3">
      <c r="B21" s="28"/>
      <c r="C21" s="3"/>
      <c r="D21" s="3"/>
      <c r="E21" s="3"/>
      <c r="F21" s="3"/>
      <c r="G21" s="3"/>
      <c r="H21" s="3"/>
      <c r="I21" s="3"/>
      <c r="J21" s="3"/>
      <c r="K21" s="3"/>
      <c r="L21" s="3"/>
      <c r="M21" s="3"/>
      <c r="N21" s="3"/>
    </row>
    <row r="22" spans="2:14" x14ac:dyDescent="0.3">
      <c r="B22" s="28"/>
      <c r="C22" s="3"/>
      <c r="D22" s="3"/>
      <c r="E22" s="3"/>
      <c r="F22" s="3"/>
      <c r="G22" s="3"/>
      <c r="H22" s="3"/>
      <c r="I22" s="3"/>
      <c r="J22" s="3"/>
      <c r="K22" s="3"/>
      <c r="L22" s="3"/>
      <c r="M22" s="3"/>
      <c r="N22" s="3"/>
    </row>
    <row r="23" spans="2:14" x14ac:dyDescent="0.3">
      <c r="B23" s="28"/>
      <c r="C23" s="3"/>
      <c r="D23" s="3"/>
      <c r="E23" s="3"/>
      <c r="F23" s="3"/>
      <c r="G23" s="3"/>
      <c r="H23" s="3"/>
      <c r="I23" s="3"/>
      <c r="J23" s="3"/>
      <c r="K23" s="3"/>
      <c r="L23" s="3"/>
      <c r="M23" s="3"/>
      <c r="N23" s="3"/>
    </row>
    <row r="24" spans="2:14" x14ac:dyDescent="0.3">
      <c r="B24" s="28"/>
      <c r="C24" s="2"/>
      <c r="D24" s="2"/>
      <c r="E24" s="2"/>
      <c r="F24" s="2"/>
      <c r="G24" s="2"/>
      <c r="H24" s="2"/>
      <c r="I24" s="2"/>
      <c r="J24" s="2"/>
      <c r="K24" s="2"/>
      <c r="L24" s="2"/>
      <c r="M24" s="2"/>
      <c r="N24" s="2"/>
    </row>
    <row r="25" spans="2:14" x14ac:dyDescent="0.3">
      <c r="B25" s="27"/>
      <c r="C25" s="1"/>
      <c r="D25" s="1"/>
      <c r="E25" s="1"/>
      <c r="F25" s="1"/>
      <c r="G25" s="1"/>
      <c r="H25" s="1"/>
      <c r="I25" s="1"/>
      <c r="J25" s="1"/>
      <c r="K25" s="1"/>
      <c r="L25" s="1"/>
      <c r="M25" s="1"/>
      <c r="N25" s="1"/>
    </row>
    <row r="26" spans="2:14" x14ac:dyDescent="0.3">
      <c r="B26" s="27"/>
      <c r="C26" s="1"/>
      <c r="D26" s="1"/>
      <c r="E26" s="1"/>
      <c r="F26" s="1"/>
      <c r="G26" s="1"/>
      <c r="H26" s="1"/>
      <c r="I26" s="1"/>
      <c r="J26" s="1"/>
      <c r="K26" s="1"/>
      <c r="L26" s="1"/>
      <c r="M26" s="1"/>
      <c r="N26" s="1"/>
    </row>
    <row r="27" spans="2:14" x14ac:dyDescent="0.3">
      <c r="B27" s="27"/>
      <c r="C27" s="1"/>
      <c r="D27" s="1"/>
      <c r="E27" s="1"/>
      <c r="F27" s="1"/>
      <c r="G27" s="1"/>
      <c r="H27" s="1"/>
      <c r="I27" s="1"/>
      <c r="J27" s="1"/>
      <c r="K27" s="1"/>
      <c r="L27" s="1"/>
      <c r="M27" s="1"/>
      <c r="N27" s="1"/>
    </row>
    <row r="28" spans="2:14" x14ac:dyDescent="0.3">
      <c r="B28" s="27"/>
      <c r="C28" s="1"/>
      <c r="D28" s="1"/>
      <c r="E28" s="1"/>
      <c r="F28" s="1"/>
      <c r="G28" s="1"/>
      <c r="H28" s="1"/>
      <c r="I28" s="1"/>
      <c r="J28" s="1"/>
      <c r="K28" s="1"/>
      <c r="L28" s="1"/>
      <c r="M28" s="1"/>
      <c r="N28" s="1"/>
    </row>
    <row r="29" spans="2:14" x14ac:dyDescent="0.3">
      <c r="B29" s="27"/>
      <c r="C29" s="1"/>
      <c r="D29" s="1"/>
      <c r="E29" s="1"/>
      <c r="F29" s="1"/>
      <c r="G29" s="1"/>
      <c r="H29" s="1"/>
      <c r="I29" s="1"/>
      <c r="J29" s="1"/>
      <c r="K29" s="1"/>
      <c r="L29" s="1"/>
      <c r="M29" s="1"/>
      <c r="N29" s="1"/>
    </row>
    <row r="30" spans="2:14" x14ac:dyDescent="0.3">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Q17" sqref="Q17"/>
    </sheetView>
  </sheetViews>
  <sheetFormatPr baseColWidth="10" defaultColWidth="9.109375" defaultRowHeight="14.4" x14ac:dyDescent="0.3"/>
  <cols>
    <col min="1" max="1" width="4.109375" customWidth="1"/>
    <col min="2" max="2" width="45.6640625" customWidth="1"/>
    <col min="3" max="3" width="8.5546875" customWidth="1"/>
    <col min="4" max="4" width="9" customWidth="1"/>
    <col min="15" max="15" width="13.88671875" customWidth="1"/>
  </cols>
  <sheetData>
    <row r="1" spans="2:16" ht="15" thickBot="1" x14ac:dyDescent="0.35"/>
    <row r="2" spans="2:16" ht="15" customHeight="1" x14ac:dyDescent="0.3">
      <c r="B2" s="270"/>
      <c r="C2" s="264"/>
      <c r="D2" s="265"/>
      <c r="E2" s="265"/>
      <c r="F2" s="265"/>
      <c r="G2" s="265"/>
      <c r="H2" s="265"/>
      <c r="I2" s="265"/>
      <c r="J2" s="265"/>
      <c r="K2" s="265"/>
      <c r="L2" s="265"/>
      <c r="M2" s="265"/>
      <c r="N2" s="266"/>
    </row>
    <row r="3" spans="2:16" ht="15" customHeight="1" x14ac:dyDescent="0.3">
      <c r="B3" s="271"/>
      <c r="C3" s="267"/>
      <c r="D3" s="268"/>
      <c r="E3" s="268"/>
      <c r="F3" s="268"/>
      <c r="G3" s="268"/>
      <c r="H3" s="268"/>
      <c r="I3" s="268"/>
      <c r="J3" s="268"/>
      <c r="K3" s="268"/>
      <c r="L3" s="268"/>
      <c r="M3" s="268"/>
      <c r="N3" s="269"/>
    </row>
    <row r="4" spans="2:16" ht="15" customHeight="1" x14ac:dyDescent="0.3">
      <c r="B4" s="271"/>
      <c r="C4" s="267"/>
      <c r="D4" s="268"/>
      <c r="E4" s="268"/>
      <c r="F4" s="268"/>
      <c r="G4" s="268"/>
      <c r="H4" s="268"/>
      <c r="I4" s="268"/>
      <c r="J4" s="268"/>
      <c r="K4" s="268"/>
      <c r="L4" s="268"/>
      <c r="M4" s="268"/>
      <c r="N4" s="269"/>
    </row>
    <row r="5" spans="2:16" ht="15" customHeight="1" x14ac:dyDescent="0.3">
      <c r="B5" s="271"/>
      <c r="C5" s="267"/>
      <c r="D5" s="268"/>
      <c r="E5" s="268"/>
      <c r="F5" s="268"/>
      <c r="G5" s="268"/>
      <c r="H5" s="268"/>
      <c r="I5" s="268"/>
      <c r="J5" s="268"/>
      <c r="K5" s="268"/>
      <c r="L5" s="268"/>
      <c r="M5" s="268"/>
      <c r="N5" s="269"/>
    </row>
    <row r="6" spans="2:16" ht="15" customHeight="1" x14ac:dyDescent="0.3">
      <c r="B6" s="271"/>
      <c r="C6" s="267"/>
      <c r="D6" s="268"/>
      <c r="E6" s="268"/>
      <c r="F6" s="268"/>
      <c r="G6" s="268"/>
      <c r="H6" s="268"/>
      <c r="I6" s="268"/>
      <c r="J6" s="268"/>
      <c r="K6" s="268"/>
      <c r="L6" s="268"/>
      <c r="M6" s="268"/>
      <c r="N6" s="269"/>
    </row>
    <row r="7" spans="2:16" ht="48.75" customHeight="1" thickBot="1" x14ac:dyDescent="0.35">
      <c r="B7" s="271"/>
      <c r="C7" s="267"/>
      <c r="D7" s="268"/>
      <c r="E7" s="268"/>
      <c r="F7" s="268"/>
      <c r="G7" s="268"/>
      <c r="H7" s="268"/>
      <c r="I7" s="268"/>
      <c r="J7" s="268"/>
      <c r="K7" s="268"/>
      <c r="L7" s="268"/>
      <c r="M7" s="268"/>
      <c r="N7" s="269"/>
    </row>
    <row r="8" spans="2:16" ht="18.75" customHeight="1" thickBot="1" x14ac:dyDescent="0.35">
      <c r="B8" s="271"/>
      <c r="C8" s="33">
        <v>2014</v>
      </c>
      <c r="D8" s="33">
        <v>2015</v>
      </c>
      <c r="E8" s="33">
        <v>2016</v>
      </c>
      <c r="F8" s="33">
        <v>2017</v>
      </c>
      <c r="G8" s="33">
        <v>2018</v>
      </c>
      <c r="H8" s="33">
        <v>2019</v>
      </c>
      <c r="I8" s="33">
        <v>2020</v>
      </c>
      <c r="J8" s="101">
        <v>2021</v>
      </c>
      <c r="K8" s="102">
        <v>2022</v>
      </c>
      <c r="L8" s="102">
        <v>2023</v>
      </c>
      <c r="M8" s="102">
        <v>2024</v>
      </c>
      <c r="N8" s="103">
        <v>2025</v>
      </c>
    </row>
    <row r="9" spans="2:16" ht="16.8" thickBot="1" x14ac:dyDescent="0.4">
      <c r="B9" s="42" t="s">
        <v>42</v>
      </c>
      <c r="C9" s="65"/>
      <c r="D9" s="66"/>
      <c r="E9" s="66"/>
      <c r="F9" s="66"/>
      <c r="G9" s="66"/>
      <c r="H9" s="66"/>
      <c r="I9" s="145"/>
      <c r="J9" s="65"/>
      <c r="K9" s="66"/>
      <c r="L9" s="66"/>
      <c r="M9" s="48"/>
      <c r="N9" s="49"/>
    </row>
    <row r="10" spans="2:16" ht="15" thickBot="1" x14ac:dyDescent="0.35">
      <c r="B10" s="203" t="s">
        <v>11</v>
      </c>
      <c r="C10" s="44">
        <f>'1.Income statement'!C15</f>
        <v>16496</v>
      </c>
      <c r="D10" s="44">
        <f>'1.Income statement'!D15</f>
        <v>19360</v>
      </c>
      <c r="E10" s="44">
        <f>'1.Income statement'!E15</f>
        <v>23716</v>
      </c>
      <c r="F10" s="44">
        <f>'1.Income statement'!F15</f>
        <v>26146</v>
      </c>
      <c r="G10" s="44">
        <f>'1.Income statement'!G15</f>
        <v>27524</v>
      </c>
      <c r="H10" s="44">
        <f>'1.Income statement'!H15</f>
        <v>34231</v>
      </c>
      <c r="I10" s="44">
        <f>'1.Income statement'!I15</f>
        <v>41224</v>
      </c>
      <c r="J10" s="43">
        <f>'1.Income statement'!J15</f>
        <v>50600</v>
      </c>
      <c r="K10" s="44">
        <f>'1.Income statement'!K15</f>
        <v>59708</v>
      </c>
      <c r="L10" s="44">
        <f>'1.Income statement'!L15</f>
        <v>70455.44</v>
      </c>
      <c r="M10" s="44">
        <f>'1.Income statement'!M15</f>
        <v>83137.419200000004</v>
      </c>
      <c r="N10" s="45">
        <f>'1.Income statement'!N15</f>
        <v>98102.154655999999</v>
      </c>
      <c r="O10" s="16" t="s">
        <v>33</v>
      </c>
      <c r="P10" s="10">
        <f>'1.Income statement'!$P$11</f>
        <v>0.18</v>
      </c>
    </row>
    <row r="11" spans="2:16" x14ac:dyDescent="0.3">
      <c r="B11" s="204" t="s">
        <v>43</v>
      </c>
      <c r="C11" s="51">
        <f>'1.Income statement'!C17</f>
        <v>-650</v>
      </c>
      <c r="D11" s="51">
        <f>'1.Income statement'!D17</f>
        <v>-800</v>
      </c>
      <c r="E11" s="51">
        <f>'1.Income statement'!E17</f>
        <v>-1100</v>
      </c>
      <c r="F11" s="51">
        <f>'1.Income statement'!F17</f>
        <v>-1200</v>
      </c>
      <c r="G11" s="51">
        <f>'1.Income statement'!G17</f>
        <v>-1800</v>
      </c>
      <c r="H11" s="51">
        <f>'1.Income statement'!H17</f>
        <v>-2300</v>
      </c>
      <c r="I11" s="51">
        <f>'1.Income statement'!I17</f>
        <v>-1700</v>
      </c>
      <c r="J11" s="50">
        <f>'1.Income statement'!J17</f>
        <v>-2006</v>
      </c>
      <c r="K11" s="51">
        <f>'1.Income statement'!K17</f>
        <v>-2367.08</v>
      </c>
      <c r="L11" s="51">
        <f>'1.Income statement'!L17</f>
        <v>-2793.1543999999999</v>
      </c>
      <c r="M11" s="51">
        <f>'1.Income statement'!M17</f>
        <v>-3295.922192</v>
      </c>
      <c r="N11" s="52">
        <f>'1.Income statement'!N17</f>
        <v>-3889.1881865599998</v>
      </c>
    </row>
    <row r="12" spans="2:16" x14ac:dyDescent="0.3">
      <c r="B12" s="205" t="s">
        <v>41</v>
      </c>
      <c r="C12" s="53">
        <f>'1.Income statement'!C20</f>
        <v>3639</v>
      </c>
      <c r="D12" s="53">
        <f>'1.Income statement'!D20</f>
        <v>3303</v>
      </c>
      <c r="E12" s="53">
        <f>'1.Income statement'!E20</f>
        <v>4672</v>
      </c>
      <c r="F12" s="53">
        <f>'1.Income statement'!F20</f>
        <v>14531</v>
      </c>
      <c r="G12" s="53">
        <f>'1.Income statement'!G20</f>
        <v>4177</v>
      </c>
      <c r="H12" s="53">
        <f>'1.Income statement'!H20</f>
        <v>5282</v>
      </c>
      <c r="I12" s="54">
        <f>'1.Income statement'!I20</f>
        <v>7813</v>
      </c>
      <c r="J12" s="53">
        <f>'1.Income statement'!J20</f>
        <v>8943.02</v>
      </c>
      <c r="K12" s="53">
        <f>'1.Income statement'!K20</f>
        <v>10552.7636</v>
      </c>
      <c r="L12" s="53">
        <f>'1.Income statement'!L20</f>
        <v>12452.261048</v>
      </c>
      <c r="M12" s="53">
        <f>'1.Income statement'!M20</f>
        <v>14693.668036640001</v>
      </c>
      <c r="N12" s="54">
        <f>'1.Income statement'!N20</f>
        <v>17338.528283235202</v>
      </c>
    </row>
    <row r="13" spans="2:16" x14ac:dyDescent="0.3">
      <c r="B13" s="206" t="s">
        <v>12</v>
      </c>
      <c r="C13" s="44">
        <f>'1.Income statement'!C24</f>
        <v>13507</v>
      </c>
      <c r="D13" s="44">
        <f>'1.Income statement'!D24</f>
        <v>16857</v>
      </c>
      <c r="E13" s="44">
        <f>'1.Income statement'!E24</f>
        <v>20144</v>
      </c>
      <c r="F13" s="44">
        <f>'1.Income statement'!F24</f>
        <v>12815</v>
      </c>
      <c r="G13" s="44">
        <f>'1.Income statement'!G24</f>
        <v>25147</v>
      </c>
      <c r="H13" s="44">
        <f>'1.Income statement'!H24</f>
        <v>31249</v>
      </c>
      <c r="I13" s="44">
        <f>'1.Income statement'!I24</f>
        <v>35111</v>
      </c>
      <c r="J13" s="43">
        <f>'1.Income statement'!J24</f>
        <v>43662.979999999996</v>
      </c>
      <c r="K13" s="44">
        <f>'1.Income statement'!K24</f>
        <v>51522.316400000003</v>
      </c>
      <c r="L13" s="44">
        <f>'1.Income statement'!L24</f>
        <v>60796.333352000001</v>
      </c>
      <c r="M13" s="44">
        <f>'1.Income statement'!M24</f>
        <v>71739.673355360006</v>
      </c>
      <c r="N13" s="45">
        <f>'1.Income statement'!N24</f>
        <v>84652.81455932479</v>
      </c>
    </row>
    <row r="14" spans="2:16" x14ac:dyDescent="0.3">
      <c r="B14" s="207" t="s">
        <v>47</v>
      </c>
      <c r="C14" s="229">
        <v>64000</v>
      </c>
      <c r="D14" s="229">
        <v>73000</v>
      </c>
      <c r="E14" s="229">
        <v>86000</v>
      </c>
      <c r="F14" s="229">
        <v>102000</v>
      </c>
      <c r="G14" s="229">
        <v>109000</v>
      </c>
      <c r="H14" s="236">
        <v>120000</v>
      </c>
      <c r="I14" s="187">
        <f>26465+110229</f>
        <v>136694</v>
      </c>
      <c r="J14" s="53">
        <f>I14*$P$10+I14</f>
        <v>161298.91999999998</v>
      </c>
      <c r="K14" s="53">
        <f t="shared" ref="K14:N14" si="0">J14*$P$10+J14</f>
        <v>190332.72559999998</v>
      </c>
      <c r="L14" s="53">
        <f t="shared" si="0"/>
        <v>224592.61620799996</v>
      </c>
      <c r="M14" s="53">
        <f t="shared" si="0"/>
        <v>265019.28712543997</v>
      </c>
      <c r="N14" s="53">
        <f t="shared" si="0"/>
        <v>312722.75880801916</v>
      </c>
      <c r="O14" s="212"/>
    </row>
    <row r="15" spans="2:16" x14ac:dyDescent="0.3">
      <c r="B15" s="208" t="s">
        <v>44</v>
      </c>
      <c r="C15" s="229">
        <v>5200</v>
      </c>
      <c r="D15" s="229">
        <v>5200</v>
      </c>
      <c r="E15" s="229">
        <v>4000</v>
      </c>
      <c r="F15" s="229">
        <v>4000</v>
      </c>
      <c r="G15" s="229">
        <v>4000</v>
      </c>
      <c r="H15" s="237">
        <v>4500</v>
      </c>
      <c r="I15" s="146">
        <v>13932</v>
      </c>
      <c r="J15" s="53">
        <f t="shared" ref="J15:J17" si="1">I15*$P$10+I15</f>
        <v>16439.759999999998</v>
      </c>
      <c r="K15" s="53">
        <f t="shared" ref="K15:N15" si="2">J15*$P$10+J15</f>
        <v>19398.916799999999</v>
      </c>
      <c r="L15" s="53">
        <f t="shared" si="2"/>
        <v>22890.721824</v>
      </c>
      <c r="M15" s="53">
        <f t="shared" si="2"/>
        <v>27011.05175232</v>
      </c>
      <c r="N15" s="54">
        <f t="shared" si="2"/>
        <v>31873.041067737598</v>
      </c>
    </row>
    <row r="16" spans="2:16" x14ac:dyDescent="0.3">
      <c r="B16" s="207" t="s">
        <v>45</v>
      </c>
      <c r="C16" s="229">
        <v>15600</v>
      </c>
      <c r="D16" s="229">
        <v>15800</v>
      </c>
      <c r="E16" s="229">
        <v>16400</v>
      </c>
      <c r="F16" s="229">
        <v>16700</v>
      </c>
      <c r="G16" s="229">
        <v>17800</v>
      </c>
      <c r="H16" s="237">
        <v>20600</v>
      </c>
      <c r="I16" s="146">
        <v>21175</v>
      </c>
      <c r="J16" s="53">
        <f t="shared" si="1"/>
        <v>24986.5</v>
      </c>
      <c r="K16" s="53">
        <f t="shared" ref="K16:N16" si="3">J16*$P$10+J16</f>
        <v>29484.07</v>
      </c>
      <c r="L16" s="53">
        <f t="shared" si="3"/>
        <v>34791.202599999997</v>
      </c>
      <c r="M16" s="53">
        <f t="shared" si="3"/>
        <v>41053.619068</v>
      </c>
      <c r="N16" s="54">
        <f t="shared" si="3"/>
        <v>48443.270500240003</v>
      </c>
    </row>
    <row r="17" spans="2:14" x14ac:dyDescent="0.3">
      <c r="B17" s="207" t="s">
        <v>46</v>
      </c>
      <c r="C17" s="230">
        <v>103860</v>
      </c>
      <c r="D17" s="230">
        <v>120331</v>
      </c>
      <c r="E17" s="230">
        <v>139036</v>
      </c>
      <c r="F17" s="230">
        <v>152502</v>
      </c>
      <c r="G17" s="229">
        <v>177628</v>
      </c>
      <c r="H17" s="230">
        <v>201442</v>
      </c>
      <c r="I17" s="188">
        <v>222544</v>
      </c>
      <c r="J17" s="53">
        <f t="shared" si="1"/>
        <v>262601.92</v>
      </c>
      <c r="K17" s="147">
        <f t="shared" ref="K17:N17" si="4">J17*$P$10+J17</f>
        <v>309870.26559999998</v>
      </c>
      <c r="L17" s="147">
        <f t="shared" si="4"/>
        <v>365646.91340799996</v>
      </c>
      <c r="M17" s="147">
        <f t="shared" si="4"/>
        <v>431463.35782143997</v>
      </c>
      <c r="N17" s="54">
        <f t="shared" si="4"/>
        <v>509126.76222929917</v>
      </c>
    </row>
    <row r="18" spans="2:14" x14ac:dyDescent="0.3">
      <c r="B18" s="209" t="s">
        <v>51</v>
      </c>
      <c r="C18" s="59">
        <f>C17+C15-C14</f>
        <v>45060</v>
      </c>
      <c r="D18" s="59">
        <f t="shared" ref="D18:I18" si="5">D17+D15-D14</f>
        <v>52531</v>
      </c>
      <c r="E18" s="59">
        <f t="shared" si="5"/>
        <v>57036</v>
      </c>
      <c r="F18" s="59">
        <f t="shared" si="5"/>
        <v>54502</v>
      </c>
      <c r="G18" s="189">
        <f t="shared" si="5"/>
        <v>72628</v>
      </c>
      <c r="H18" s="59">
        <f t="shared" si="5"/>
        <v>85942</v>
      </c>
      <c r="I18" s="59">
        <f t="shared" si="5"/>
        <v>99782</v>
      </c>
      <c r="J18" s="128">
        <f t="shared" ref="J18:N18" si="6">J17+J15-J14</f>
        <v>117742.76000000001</v>
      </c>
      <c r="K18" s="59">
        <f t="shared" si="6"/>
        <v>138936.45680000001</v>
      </c>
      <c r="L18" s="59">
        <f t="shared" si="6"/>
        <v>163945.01902400001</v>
      </c>
      <c r="M18" s="59">
        <f t="shared" si="6"/>
        <v>193455.12244832003</v>
      </c>
      <c r="N18" s="55">
        <f t="shared" si="6"/>
        <v>228277.04448901763</v>
      </c>
    </row>
    <row r="19" spans="2:14" x14ac:dyDescent="0.3">
      <c r="B19" s="210" t="s">
        <v>52</v>
      </c>
      <c r="C19" s="56">
        <f t="shared" ref="C19:I19" si="7">C15-C14+C17-C16</f>
        <v>29460</v>
      </c>
      <c r="D19" s="56">
        <f t="shared" si="7"/>
        <v>36731</v>
      </c>
      <c r="E19" s="56">
        <f t="shared" si="7"/>
        <v>40636</v>
      </c>
      <c r="F19" s="56">
        <f t="shared" si="7"/>
        <v>37802</v>
      </c>
      <c r="G19" s="56">
        <f t="shared" si="7"/>
        <v>54828</v>
      </c>
      <c r="H19" s="56">
        <f t="shared" si="7"/>
        <v>65342</v>
      </c>
      <c r="I19" s="56">
        <f t="shared" si="7"/>
        <v>78607</v>
      </c>
      <c r="J19" s="129">
        <f t="shared" ref="J19:N19" si="8">J15-J14+J17-J16</f>
        <v>92756.260000000009</v>
      </c>
      <c r="K19" s="56">
        <f t="shared" si="8"/>
        <v>109452.38680000001</v>
      </c>
      <c r="L19" s="56">
        <f t="shared" si="8"/>
        <v>129153.81642400002</v>
      </c>
      <c r="M19" s="56">
        <f t="shared" si="8"/>
        <v>152401.50338032001</v>
      </c>
      <c r="N19" s="57">
        <f t="shared" si="8"/>
        <v>179833.77398877763</v>
      </c>
    </row>
    <row r="20" spans="2:14" x14ac:dyDescent="0.3">
      <c r="B20" s="208"/>
      <c r="C20" s="58"/>
      <c r="D20" s="58"/>
      <c r="E20" s="58"/>
      <c r="F20" s="58"/>
      <c r="G20" s="58"/>
      <c r="H20" s="111"/>
      <c r="J20" s="130"/>
      <c r="K20" s="59"/>
      <c r="L20" s="59"/>
      <c r="M20" s="59"/>
      <c r="N20" s="60"/>
    </row>
    <row r="21" spans="2:14" x14ac:dyDescent="0.3">
      <c r="B21" s="207" t="s">
        <v>48</v>
      </c>
      <c r="C21" s="46">
        <f t="shared" ref="C21:I21" si="9">C13/C17</f>
        <v>0.13005006739842095</v>
      </c>
      <c r="D21" s="46">
        <f t="shared" si="9"/>
        <v>0.14008858897540949</v>
      </c>
      <c r="E21" s="46">
        <f t="shared" si="9"/>
        <v>0.14488333956673091</v>
      </c>
      <c r="F21" s="46">
        <f t="shared" si="9"/>
        <v>8.4031684830362885E-2</v>
      </c>
      <c r="G21" s="46">
        <f t="shared" si="9"/>
        <v>0.14157114869277365</v>
      </c>
      <c r="H21" s="46">
        <f t="shared" si="9"/>
        <v>0.15512653766344656</v>
      </c>
      <c r="I21" s="46">
        <f t="shared" si="9"/>
        <v>0.15777104752318644</v>
      </c>
      <c r="J21" s="131">
        <f t="shared" ref="J21:N21" si="10">J13/J17</f>
        <v>0.16627060457136034</v>
      </c>
      <c r="K21" s="46">
        <f t="shared" si="10"/>
        <v>0.16627060457136036</v>
      </c>
      <c r="L21" s="46">
        <f t="shared" si="10"/>
        <v>0.16627060457136036</v>
      </c>
      <c r="M21" s="46">
        <f t="shared" si="10"/>
        <v>0.16627060457136036</v>
      </c>
      <c r="N21" s="47">
        <f t="shared" si="10"/>
        <v>0.16627060457136031</v>
      </c>
    </row>
    <row r="22" spans="2:14" x14ac:dyDescent="0.3">
      <c r="B22" s="207" t="s">
        <v>54</v>
      </c>
      <c r="C22" s="20">
        <f t="shared" ref="C22:I22" si="11">C10/C19</f>
        <v>0.55994568906992537</v>
      </c>
      <c r="D22" s="20">
        <f t="shared" si="11"/>
        <v>0.52707522256404671</v>
      </c>
      <c r="E22" s="20">
        <f t="shared" si="11"/>
        <v>0.58362043508219308</v>
      </c>
      <c r="F22" s="20">
        <f t="shared" si="11"/>
        <v>0.69165652610972961</v>
      </c>
      <c r="G22" s="20">
        <f t="shared" si="11"/>
        <v>0.50200627416648425</v>
      </c>
      <c r="H22" s="20">
        <f t="shared" si="11"/>
        <v>0.5238743840102843</v>
      </c>
      <c r="I22" s="20">
        <f t="shared" si="11"/>
        <v>0.52443166639103389</v>
      </c>
      <c r="J22" s="132">
        <f t="shared" ref="J22:N22" si="12">J10/J19</f>
        <v>0.54551574201029662</v>
      </c>
      <c r="K22" s="20">
        <f t="shared" si="12"/>
        <v>0.54551574201029662</v>
      </c>
      <c r="L22" s="20">
        <f t="shared" si="12"/>
        <v>0.54551574201029662</v>
      </c>
      <c r="M22" s="20">
        <f t="shared" si="12"/>
        <v>0.54551574201029662</v>
      </c>
      <c r="N22" s="22">
        <f t="shared" si="12"/>
        <v>0.54551574201029662</v>
      </c>
    </row>
    <row r="23" spans="2:14" ht="15" thickBot="1" x14ac:dyDescent="0.35">
      <c r="B23" s="211" t="s">
        <v>53</v>
      </c>
      <c r="C23" s="21">
        <f t="shared" ref="C23:I23" si="13">C10/C18</f>
        <v>0.36608965823346651</v>
      </c>
      <c r="D23" s="21">
        <f t="shared" si="13"/>
        <v>0.36854428813462525</v>
      </c>
      <c r="E23" s="21">
        <f t="shared" si="13"/>
        <v>0.41580756013745707</v>
      </c>
      <c r="F23" s="21">
        <f t="shared" si="13"/>
        <v>0.47972551466001245</v>
      </c>
      <c r="G23" s="21">
        <f t="shared" si="13"/>
        <v>0.37897229718565845</v>
      </c>
      <c r="H23" s="21">
        <f t="shared" si="13"/>
        <v>0.39830350701635986</v>
      </c>
      <c r="I23" s="21">
        <f t="shared" si="13"/>
        <v>0.41314064660960897</v>
      </c>
      <c r="J23" s="133">
        <f t="shared" ref="J23:N23" si="14">J10/J18</f>
        <v>0.42975041522722923</v>
      </c>
      <c r="K23" s="21">
        <f t="shared" si="14"/>
        <v>0.42975041522722923</v>
      </c>
      <c r="L23" s="21">
        <f t="shared" si="14"/>
        <v>0.42975041522722923</v>
      </c>
      <c r="M23" s="21">
        <f t="shared" si="14"/>
        <v>0.42975041522722918</v>
      </c>
      <c r="N23" s="23">
        <f t="shared" si="14"/>
        <v>0.42975041522722918</v>
      </c>
    </row>
    <row r="24" spans="2:14" x14ac:dyDescent="0.3">
      <c r="B24" s="1"/>
      <c r="C24" s="1"/>
      <c r="D24" s="1"/>
      <c r="E24" s="1"/>
      <c r="F24" s="1"/>
      <c r="G24" s="1"/>
      <c r="H24" s="1"/>
      <c r="I24" s="1"/>
      <c r="J24" s="1"/>
      <c r="K24" s="1"/>
      <c r="L24" s="1"/>
      <c r="M24" s="1"/>
      <c r="N24" s="1"/>
    </row>
    <row r="25" spans="2:14" x14ac:dyDescent="0.3">
      <c r="B25" s="1"/>
      <c r="C25" s="1"/>
      <c r="D25" s="1"/>
      <c r="E25" s="1"/>
      <c r="F25" s="1"/>
      <c r="G25" s="1"/>
      <c r="H25" s="1"/>
      <c r="I25" s="1"/>
      <c r="J25" s="1"/>
      <c r="K25" s="1"/>
      <c r="L25" s="1"/>
      <c r="M25" s="1"/>
      <c r="N25" s="1"/>
    </row>
    <row r="26" spans="2:14" x14ac:dyDescent="0.3">
      <c r="B26" s="1"/>
      <c r="C26" s="1"/>
      <c r="D26" s="1"/>
      <c r="E26" s="1"/>
      <c r="F26" s="1"/>
      <c r="G26" s="1"/>
      <c r="H26" s="1"/>
      <c r="I26" s="1"/>
      <c r="J26" s="1"/>
      <c r="K26" s="1"/>
      <c r="L26" s="1"/>
      <c r="M26" s="1"/>
      <c r="N26" s="1"/>
    </row>
    <row r="27" spans="2:14" x14ac:dyDescent="0.3">
      <c r="B27" s="1"/>
      <c r="C27" s="1"/>
      <c r="D27" s="1"/>
      <c r="E27" s="1"/>
      <c r="F27" s="1"/>
      <c r="G27" s="1"/>
      <c r="H27" s="1"/>
      <c r="I27" s="1"/>
      <c r="J27" s="1"/>
      <c r="K27" s="1"/>
      <c r="L27" s="1"/>
      <c r="M27" s="1"/>
      <c r="N27" s="1"/>
    </row>
    <row r="28" spans="2:14"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6" zoomScaleNormal="100" workbookViewId="0">
      <selection activeCell="O18" sqref="O18:P18"/>
    </sheetView>
  </sheetViews>
  <sheetFormatPr baseColWidth="10" defaultColWidth="9.109375" defaultRowHeight="14.4" x14ac:dyDescent="0.3"/>
  <cols>
    <col min="1" max="1" width="4" customWidth="1"/>
    <col min="2" max="2" width="35.5546875" customWidth="1"/>
    <col min="3" max="3" width="11.5546875" bestFit="1" customWidth="1"/>
    <col min="9" max="9" width="14.5546875" customWidth="1"/>
    <col min="10" max="10" width="10.5546875" customWidth="1"/>
    <col min="11" max="11" width="14.21875" customWidth="1"/>
    <col min="12" max="12" width="15.5546875" customWidth="1"/>
    <col min="13" max="14" width="10.44140625" customWidth="1"/>
    <col min="15" max="15" width="7" customWidth="1"/>
    <col min="16" max="16" width="13.6640625" customWidth="1"/>
  </cols>
  <sheetData>
    <row r="1" spans="2:22" ht="15" thickBot="1" x14ac:dyDescent="0.35"/>
    <row r="2" spans="2:22" ht="15" customHeight="1" x14ac:dyDescent="0.3">
      <c r="B2" s="270"/>
      <c r="C2" s="279"/>
      <c r="D2" s="280"/>
      <c r="E2" s="280"/>
      <c r="F2" s="280"/>
      <c r="G2" s="280"/>
      <c r="H2" s="280"/>
      <c r="I2" s="280"/>
      <c r="J2" s="280"/>
      <c r="K2" s="280"/>
      <c r="L2" s="280"/>
      <c r="M2" s="280"/>
      <c r="N2" s="281"/>
      <c r="O2" s="1"/>
      <c r="P2" s="1"/>
      <c r="Q2" s="1"/>
      <c r="R2" s="1"/>
      <c r="S2" s="1"/>
      <c r="T2" s="1"/>
      <c r="U2" s="1"/>
      <c r="V2" s="1"/>
    </row>
    <row r="3" spans="2:22" ht="15" customHeight="1" x14ac:dyDescent="0.3">
      <c r="B3" s="271"/>
      <c r="C3" s="282"/>
      <c r="D3" s="283"/>
      <c r="E3" s="283"/>
      <c r="F3" s="283"/>
      <c r="G3" s="283"/>
      <c r="H3" s="283"/>
      <c r="I3" s="283"/>
      <c r="J3" s="283"/>
      <c r="K3" s="283"/>
      <c r="L3" s="283"/>
      <c r="M3" s="283"/>
      <c r="N3" s="284"/>
      <c r="O3" s="1"/>
      <c r="P3" s="1"/>
      <c r="Q3" s="1"/>
      <c r="R3" s="1"/>
      <c r="S3" s="1"/>
      <c r="T3" s="1"/>
      <c r="U3" s="1"/>
      <c r="V3" s="1"/>
    </row>
    <row r="4" spans="2:22" ht="15" customHeight="1" x14ac:dyDescent="0.3">
      <c r="B4" s="271"/>
      <c r="C4" s="282"/>
      <c r="D4" s="283"/>
      <c r="E4" s="283"/>
      <c r="F4" s="283"/>
      <c r="G4" s="283"/>
      <c r="H4" s="283"/>
      <c r="I4" s="283"/>
      <c r="J4" s="283"/>
      <c r="K4" s="283"/>
      <c r="L4" s="283"/>
      <c r="M4" s="283"/>
      <c r="N4" s="284"/>
      <c r="O4" s="1"/>
      <c r="P4" s="1"/>
      <c r="Q4" s="1"/>
      <c r="R4" s="1"/>
      <c r="S4" s="1"/>
      <c r="T4" s="1"/>
      <c r="U4" s="1"/>
      <c r="V4" s="1"/>
    </row>
    <row r="5" spans="2:22" ht="15" customHeight="1" x14ac:dyDescent="0.3">
      <c r="B5" s="271"/>
      <c r="C5" s="282"/>
      <c r="D5" s="283"/>
      <c r="E5" s="283"/>
      <c r="F5" s="283"/>
      <c r="G5" s="283"/>
      <c r="H5" s="283"/>
      <c r="I5" s="283"/>
      <c r="J5" s="283"/>
      <c r="K5" s="283"/>
      <c r="L5" s="283"/>
      <c r="M5" s="283"/>
      <c r="N5" s="284"/>
      <c r="O5" s="1"/>
      <c r="P5" s="1"/>
      <c r="Q5" s="1"/>
      <c r="R5" s="1"/>
      <c r="S5" s="1"/>
      <c r="T5" s="1"/>
      <c r="U5" s="1"/>
      <c r="V5" s="1"/>
    </row>
    <row r="6" spans="2:22" ht="15" customHeight="1" x14ac:dyDescent="0.3">
      <c r="B6" s="271"/>
      <c r="C6" s="282"/>
      <c r="D6" s="283"/>
      <c r="E6" s="283"/>
      <c r="F6" s="283"/>
      <c r="G6" s="283"/>
      <c r="H6" s="283"/>
      <c r="I6" s="283"/>
      <c r="J6" s="283"/>
      <c r="K6" s="283"/>
      <c r="L6" s="283"/>
      <c r="M6" s="283"/>
      <c r="N6" s="284"/>
      <c r="O6" s="1"/>
      <c r="P6" s="1"/>
      <c r="Q6" s="1"/>
      <c r="R6" s="1"/>
      <c r="S6" s="1"/>
      <c r="T6" s="1"/>
      <c r="U6" s="1"/>
      <c r="V6" s="1"/>
    </row>
    <row r="7" spans="2:22" ht="48.75" customHeight="1" thickBot="1" x14ac:dyDescent="0.35">
      <c r="B7" s="271"/>
      <c r="C7" s="282"/>
      <c r="D7" s="283"/>
      <c r="E7" s="283"/>
      <c r="F7" s="283"/>
      <c r="G7" s="283"/>
      <c r="H7" s="283"/>
      <c r="I7" s="283"/>
      <c r="J7" s="285"/>
      <c r="K7" s="285"/>
      <c r="L7" s="285"/>
      <c r="M7" s="285"/>
      <c r="N7" s="286"/>
      <c r="O7" s="1"/>
      <c r="P7" s="1"/>
      <c r="Q7" s="1"/>
      <c r="R7" s="1"/>
      <c r="S7" s="1"/>
      <c r="T7" s="1"/>
      <c r="U7" s="1"/>
      <c r="V7" s="1"/>
    </row>
    <row r="8" spans="2:22" ht="18.75" customHeight="1" thickBot="1" x14ac:dyDescent="0.35">
      <c r="B8" s="271"/>
      <c r="C8" s="33">
        <v>2014</v>
      </c>
      <c r="D8" s="33">
        <v>2015</v>
      </c>
      <c r="E8" s="33">
        <v>2016</v>
      </c>
      <c r="F8" s="33">
        <v>2017</v>
      </c>
      <c r="G8" s="33">
        <v>2018</v>
      </c>
      <c r="H8" s="33">
        <v>2019</v>
      </c>
      <c r="I8" s="33">
        <v>2020</v>
      </c>
      <c r="J8" s="101">
        <v>2021</v>
      </c>
      <c r="K8" s="102">
        <v>2022</v>
      </c>
      <c r="L8" s="102">
        <v>2023</v>
      </c>
      <c r="M8" s="102">
        <v>2024</v>
      </c>
      <c r="N8" s="103">
        <v>2025</v>
      </c>
      <c r="O8" s="215"/>
      <c r="P8" s="1"/>
      <c r="Q8" s="1"/>
      <c r="R8" s="1"/>
      <c r="S8" s="1"/>
      <c r="T8" s="1"/>
      <c r="U8" s="1"/>
      <c r="V8" s="1"/>
    </row>
    <row r="9" spans="2:22" ht="16.2" thickBot="1" x14ac:dyDescent="0.35">
      <c r="B9" s="113" t="s">
        <v>27</v>
      </c>
      <c r="C9" s="116"/>
      <c r="D9" s="30"/>
      <c r="E9" s="30"/>
      <c r="F9" s="30"/>
      <c r="G9" s="30"/>
      <c r="H9" s="30"/>
      <c r="I9" s="105"/>
      <c r="J9" s="30"/>
      <c r="K9" s="30"/>
      <c r="L9" s="30"/>
      <c r="M9" s="58"/>
      <c r="N9" s="117"/>
      <c r="O9" s="272" t="s">
        <v>14</v>
      </c>
      <c r="P9" s="273"/>
      <c r="Q9" s="15">
        <v>2254</v>
      </c>
      <c r="R9" s="1"/>
      <c r="S9" s="1"/>
      <c r="T9" s="1"/>
      <c r="U9" s="1"/>
      <c r="V9" s="1"/>
    </row>
    <row r="10" spans="2:22" ht="15.6" x14ac:dyDescent="0.3">
      <c r="B10" s="62" t="s">
        <v>26</v>
      </c>
      <c r="C10" s="115"/>
      <c r="D10" s="106"/>
      <c r="E10" s="106"/>
      <c r="F10" s="106"/>
      <c r="G10" s="106"/>
      <c r="H10" s="106"/>
      <c r="I10" s="107">
        <f>$Q$9*'1.Income statement'!I27</f>
        <v>1548498</v>
      </c>
      <c r="J10" s="106">
        <f>$Q$9*'1.Income statement'!J27</f>
        <v>1532720</v>
      </c>
      <c r="K10" s="106">
        <f>$Q$9*'1.Income statement'!K27</f>
        <v>1516942</v>
      </c>
      <c r="L10" s="106">
        <f>$Q$9*'1.Income statement'!L27</f>
        <v>1503418</v>
      </c>
      <c r="M10" s="106">
        <f>$Q$9*'1.Income statement'!M27</f>
        <v>1487640</v>
      </c>
      <c r="N10" s="118">
        <f>$Q$9*'1.Income statement'!N27</f>
        <v>1469608</v>
      </c>
      <c r="O10" s="14"/>
      <c r="P10" s="14"/>
      <c r="Q10" s="14"/>
      <c r="R10" s="1"/>
      <c r="S10" s="1"/>
      <c r="T10" s="1"/>
      <c r="U10" s="1"/>
      <c r="V10" s="1"/>
    </row>
    <row r="11" spans="2:22" ht="15.6" x14ac:dyDescent="0.3">
      <c r="B11" s="62" t="s">
        <v>60</v>
      </c>
      <c r="C11" s="106">
        <f>'3.retornos capital'!C15-'3.retornos capital'!C14</f>
        <v>-58800</v>
      </c>
      <c r="D11" s="106">
        <f>'3.retornos capital'!D15-'3.retornos capital'!D14</f>
        <v>-67800</v>
      </c>
      <c r="E11" s="106">
        <f>'3.retornos capital'!E15-'3.retornos capital'!E14</f>
        <v>-82000</v>
      </c>
      <c r="F11" s="106">
        <f>'3.retornos capital'!F15-'3.retornos capital'!F14</f>
        <v>-98000</v>
      </c>
      <c r="G11" s="106">
        <f>'3.retornos capital'!G15-'3.retornos capital'!G14</f>
        <v>-105000</v>
      </c>
      <c r="H11" s="106">
        <f>'3.retornos capital'!H15-'3.retornos capital'!H14</f>
        <v>-115500</v>
      </c>
      <c r="I11" s="107">
        <f>'3.retornos capital'!I15-'3.retornos capital'!I14</f>
        <v>-122762</v>
      </c>
      <c r="J11" s="219">
        <v>-127000</v>
      </c>
      <c r="K11" s="219">
        <v>-132000</v>
      </c>
      <c r="L11" s="219">
        <v>-137000</v>
      </c>
      <c r="M11" s="219">
        <v>-144000</v>
      </c>
      <c r="N11" s="216">
        <v>-150000</v>
      </c>
      <c r="O11" s="274"/>
      <c r="P11" s="274"/>
      <c r="Q11" s="14"/>
      <c r="R11" s="1"/>
      <c r="S11" s="1"/>
      <c r="T11" s="1"/>
      <c r="U11" s="1"/>
      <c r="V11" s="1"/>
    </row>
    <row r="12" spans="2:22" ht="15.6" x14ac:dyDescent="0.3">
      <c r="B12" s="109" t="s">
        <v>81</v>
      </c>
      <c r="C12" s="134">
        <f>C11/'1.Income statement'!C12</f>
        <v>-2.738067520372526</v>
      </c>
      <c r="D12" s="134">
        <f>D11/'1.Income statement'!D12</f>
        <v>-2.7760717356590101</v>
      </c>
      <c r="E12" s="134">
        <f>E11/'1.Income statement'!E12</f>
        <v>-2.7461486939048894</v>
      </c>
      <c r="F12" s="134">
        <f>F11/'1.Income statement'!F12</f>
        <v>-2.9642176582680499</v>
      </c>
      <c r="G12" s="134">
        <f>G11/'1.Income statement'!G12</f>
        <v>-2.8720698049727837</v>
      </c>
      <c r="H12" s="134">
        <f>H11/'1.Income statement'!H12</f>
        <v>-2.5102147265930626</v>
      </c>
      <c r="I12" s="12">
        <f>I11/'1.Income statement'!I12</f>
        <v>-2.2351248998616269</v>
      </c>
      <c r="J12" s="214">
        <f>J11/'1.Income statement'!J12</f>
        <v>-1.9021657729982326</v>
      </c>
      <c r="K12" s="134">
        <f>K11/'1.Income statement'!K12</f>
        <v>-1.6754696519135639</v>
      </c>
      <c r="L12" s="134">
        <f>L11/'1.Income statement'!L12</f>
        <v>-1.473673230047241</v>
      </c>
      <c r="M12" s="134">
        <f>M11/'1.Income statement'!M12</f>
        <v>-1.3126867816825605</v>
      </c>
      <c r="N12" s="119">
        <f>N11/'1.Income statement'!N12</f>
        <v>-1.1587983595361586</v>
      </c>
      <c r="O12" s="275"/>
      <c r="P12" s="275"/>
      <c r="Q12" s="14"/>
      <c r="R12" s="1"/>
      <c r="S12" s="1"/>
      <c r="T12" s="1"/>
      <c r="U12" s="1"/>
      <c r="V12" s="1"/>
    </row>
    <row r="13" spans="2:22" ht="15.6" x14ac:dyDescent="0.3">
      <c r="B13" s="109" t="s">
        <v>82</v>
      </c>
      <c r="C13" s="134">
        <f>C11/'3.retornos capital'!C17</f>
        <v>-0.56614673599075682</v>
      </c>
      <c r="D13" s="134">
        <f>D11/'3.retornos capital'!D17</f>
        <v>-0.56344582858947401</v>
      </c>
      <c r="E13" s="134">
        <f>E11/'3.retornos capital'!E17</f>
        <v>-0.58977530999165684</v>
      </c>
      <c r="F13" s="134">
        <f>F11/'3.retornos capital'!F17</f>
        <v>-0.64261452308822176</v>
      </c>
      <c r="G13" s="134">
        <f>G11/'3.retornos capital'!G17</f>
        <v>-0.5911230211453149</v>
      </c>
      <c r="H13" s="134">
        <f>H11/'3.retornos capital'!H17</f>
        <v>-0.57336603091708782</v>
      </c>
      <c r="I13" s="134">
        <f>I11/'3.retornos capital'!I17</f>
        <v>-0.55163023941332945</v>
      </c>
      <c r="J13" s="214">
        <f>J11/'3.retornos capital'!J17</f>
        <v>-0.48362174960487725</v>
      </c>
      <c r="K13" s="134">
        <f>K11/'3.retornos capital'!K17</f>
        <v>-0.42598472539599491</v>
      </c>
      <c r="L13" s="134">
        <f>L11/'3.retornos capital'!L17</f>
        <v>-0.37467839868548602</v>
      </c>
      <c r="M13" s="134">
        <f>M11/'3.retornos capital'!M17</f>
        <v>-0.33374792410435472</v>
      </c>
      <c r="N13" s="134">
        <f>N11/'3.retornos capital'!N17</f>
        <v>-0.29462210814296852</v>
      </c>
      <c r="O13" s="217"/>
      <c r="P13" s="193"/>
      <c r="Q13" s="14"/>
      <c r="R13" s="1"/>
      <c r="S13" s="1"/>
      <c r="T13" s="1"/>
      <c r="U13" s="1"/>
      <c r="V13" s="1"/>
    </row>
    <row r="14" spans="2:22" ht="15.6" x14ac:dyDescent="0.3">
      <c r="B14" s="110" t="s">
        <v>25</v>
      </c>
      <c r="C14" s="44"/>
      <c r="D14" s="44"/>
      <c r="E14" s="44"/>
      <c r="F14" s="44"/>
      <c r="G14" s="44"/>
      <c r="H14" s="44"/>
      <c r="I14" s="13">
        <f>I10+I11</f>
        <v>1425736</v>
      </c>
      <c r="J14" s="44">
        <f t="shared" ref="J14:N14" si="0">J10+J11</f>
        <v>1405720</v>
      </c>
      <c r="K14" s="44">
        <f t="shared" si="0"/>
        <v>1384942</v>
      </c>
      <c r="L14" s="44">
        <f t="shared" si="0"/>
        <v>1366418</v>
      </c>
      <c r="M14" s="44">
        <f t="shared" si="0"/>
        <v>1343640</v>
      </c>
      <c r="N14" s="45">
        <f t="shared" si="0"/>
        <v>1319608</v>
      </c>
      <c r="O14" s="287"/>
      <c r="P14" s="287"/>
      <c r="Q14" s="14"/>
      <c r="R14" s="1"/>
      <c r="S14" s="1"/>
      <c r="T14" s="1"/>
      <c r="U14" s="1"/>
      <c r="V14" s="1"/>
    </row>
    <row r="15" spans="2:22" ht="15.6" x14ac:dyDescent="0.3">
      <c r="B15" s="62" t="s">
        <v>6</v>
      </c>
      <c r="C15" s="106">
        <f>'1.Income statement'!C12</f>
        <v>21475</v>
      </c>
      <c r="D15" s="106">
        <f>'1.Income statement'!D12</f>
        <v>24423</v>
      </c>
      <c r="E15" s="106">
        <f>'1.Income statement'!E12</f>
        <v>29860</v>
      </c>
      <c r="F15" s="106">
        <f>'1.Income statement'!F12</f>
        <v>33061</v>
      </c>
      <c r="G15" s="106">
        <f>'1.Income statement'!G12</f>
        <v>36559</v>
      </c>
      <c r="H15" s="213">
        <f>'1.Income statement'!H12</f>
        <v>46012</v>
      </c>
      <c r="I15" s="108">
        <f>'1.Income statement'!I12</f>
        <v>54924</v>
      </c>
      <c r="J15" s="106">
        <f>'1.Income statement'!J12</f>
        <v>66766</v>
      </c>
      <c r="K15" s="106">
        <f>'1.Income statement'!K12</f>
        <v>78783.88</v>
      </c>
      <c r="L15" s="106">
        <f>'1.Income statement'!L12</f>
        <v>92964.978400000007</v>
      </c>
      <c r="M15" s="106">
        <f>'1.Income statement'!M12</f>
        <v>109698.674512</v>
      </c>
      <c r="N15" s="120">
        <f>'1.Income statement'!N12</f>
        <v>129444.43592416</v>
      </c>
      <c r="O15" s="275"/>
      <c r="P15" s="275"/>
      <c r="Q15" s="14"/>
      <c r="R15" s="1"/>
      <c r="S15" s="1"/>
      <c r="T15" s="1"/>
      <c r="U15" s="1"/>
      <c r="V15" s="1"/>
    </row>
    <row r="16" spans="2:22" ht="15.6" x14ac:dyDescent="0.3">
      <c r="B16" s="62" t="s">
        <v>11</v>
      </c>
      <c r="C16" s="106">
        <f>'1.Income statement'!C15</f>
        <v>16496</v>
      </c>
      <c r="D16" s="106">
        <f>'1.Income statement'!D15</f>
        <v>19360</v>
      </c>
      <c r="E16" s="106">
        <f>'1.Income statement'!E15</f>
        <v>23716</v>
      </c>
      <c r="F16" s="106">
        <f>'1.Income statement'!F15</f>
        <v>26146</v>
      </c>
      <c r="G16" s="106">
        <f>'1.Income statement'!G15</f>
        <v>27524</v>
      </c>
      <c r="H16" s="106">
        <f>'1.Income statement'!H15</f>
        <v>34231</v>
      </c>
      <c r="I16" s="107">
        <f>'1.Income statement'!I15</f>
        <v>41224</v>
      </c>
      <c r="J16" s="106">
        <f>'1.Income statement'!J15</f>
        <v>50600</v>
      </c>
      <c r="K16" s="106">
        <f>'1.Income statement'!K15</f>
        <v>59708</v>
      </c>
      <c r="L16" s="106">
        <f>'1.Income statement'!L15</f>
        <v>70455.44</v>
      </c>
      <c r="M16" s="106">
        <f>'1.Income statement'!M15</f>
        <v>83137.419200000004</v>
      </c>
      <c r="N16" s="118">
        <f>'1.Income statement'!N15</f>
        <v>98102.154655999999</v>
      </c>
      <c r="O16" s="275"/>
      <c r="P16" s="275"/>
      <c r="Q16" s="14"/>
      <c r="R16" s="1"/>
      <c r="S16" s="1"/>
      <c r="T16" s="1"/>
      <c r="U16" s="1"/>
      <c r="V16" s="1"/>
    </row>
    <row r="17" spans="2:22" ht="15.6" x14ac:dyDescent="0.3">
      <c r="B17" s="62" t="s">
        <v>12</v>
      </c>
      <c r="C17" s="106">
        <f>'1.Income statement'!C24</f>
        <v>13507</v>
      </c>
      <c r="D17" s="106">
        <f>'1.Income statement'!D24</f>
        <v>16857</v>
      </c>
      <c r="E17" s="106">
        <f>'1.Income statement'!E24</f>
        <v>20144</v>
      </c>
      <c r="F17" s="106">
        <f>'1.Income statement'!F24</f>
        <v>12815</v>
      </c>
      <c r="G17" s="106">
        <f>'1.Income statement'!G24</f>
        <v>25147</v>
      </c>
      <c r="H17" s="106">
        <f>'1.Income statement'!H24</f>
        <v>31249</v>
      </c>
      <c r="I17" s="107">
        <f>'1.Income statement'!I24</f>
        <v>35111</v>
      </c>
      <c r="J17" s="106">
        <f>'1.Income statement'!J24</f>
        <v>43662.979999999996</v>
      </c>
      <c r="K17" s="106">
        <f>'1.Income statement'!K24</f>
        <v>51522.316400000003</v>
      </c>
      <c r="L17" s="106">
        <f>'1.Income statement'!L24</f>
        <v>60796.333352000001</v>
      </c>
      <c r="M17" s="106">
        <f>'1.Income statement'!M24</f>
        <v>71739.673355360006</v>
      </c>
      <c r="N17" s="118">
        <f>'1.Income statement'!N24</f>
        <v>84652.81455932479</v>
      </c>
      <c r="O17" s="275"/>
      <c r="P17" s="275"/>
      <c r="Q17" s="14"/>
      <c r="R17" s="1"/>
      <c r="S17" s="1"/>
      <c r="T17" s="1"/>
      <c r="U17" s="1"/>
      <c r="V17" s="1"/>
    </row>
    <row r="18" spans="2:22" ht="15.6" x14ac:dyDescent="0.3">
      <c r="B18" s="62" t="s">
        <v>13</v>
      </c>
      <c r="C18" s="106">
        <f>'2.Flujos de caja'!C15</f>
        <v>7486</v>
      </c>
      <c r="D18" s="106">
        <f>'2.Flujos de caja'!D15</f>
        <v>12020</v>
      </c>
      <c r="E18" s="106">
        <f>'2.Flujos de caja'!E15</f>
        <v>16088</v>
      </c>
      <c r="F18" s="106">
        <f>'2.Flujos de caja'!F15</f>
        <v>6730</v>
      </c>
      <c r="G18" s="106">
        <f>'2.Flujos de caja'!G15</f>
        <v>9182</v>
      </c>
      <c r="H18" s="106">
        <f>'2.Flujos de caja'!H15</f>
        <v>19530</v>
      </c>
      <c r="I18" s="107">
        <f>'2.Flujos de caja'!I15</f>
        <v>26530</v>
      </c>
      <c r="J18" s="106">
        <f>'2.Flujos de caja'!J15</f>
        <v>33537.399999999994</v>
      </c>
      <c r="K18" s="106">
        <f>'2.Flujos de caja'!K15</f>
        <v>39574.132000000005</v>
      </c>
      <c r="L18" s="106">
        <f>'2.Flujos de caja'!L15</f>
        <v>46697.475760000001</v>
      </c>
      <c r="M18" s="106">
        <f>'2.Flujos de caja'!M15</f>
        <v>55103.021396799981</v>
      </c>
      <c r="N18" s="118">
        <f>'2.Flujos de caja'!N15</f>
        <v>65021.565248223989</v>
      </c>
      <c r="O18" s="275"/>
      <c r="P18" s="275"/>
      <c r="Q18" s="5"/>
      <c r="R18" s="1"/>
      <c r="S18" s="1"/>
      <c r="T18" s="1"/>
      <c r="U18" s="1"/>
      <c r="V18" s="1"/>
    </row>
    <row r="19" spans="2:22" ht="16.2" thickBot="1" x14ac:dyDescent="0.35">
      <c r="B19" s="62"/>
      <c r="C19" s="115"/>
      <c r="D19" s="106"/>
      <c r="E19" s="106"/>
      <c r="F19" s="106"/>
      <c r="G19" s="106"/>
      <c r="H19" s="106"/>
      <c r="I19" s="107"/>
      <c r="J19" s="106"/>
      <c r="K19" s="106"/>
      <c r="L19" s="106"/>
      <c r="M19" s="106"/>
      <c r="N19" s="118"/>
      <c r="O19" s="19"/>
      <c r="P19" s="19"/>
      <c r="Q19" s="14"/>
      <c r="R19" s="1"/>
      <c r="S19" s="1"/>
      <c r="T19" s="1"/>
      <c r="U19" s="1"/>
      <c r="V19" s="1"/>
    </row>
    <row r="20" spans="2:22" ht="15" thickBot="1" x14ac:dyDescent="0.35">
      <c r="B20" s="125"/>
      <c r="C20" s="126" t="s">
        <v>49</v>
      </c>
      <c r="D20" s="124" t="s">
        <v>50</v>
      </c>
      <c r="E20" s="111"/>
      <c r="F20" s="111"/>
      <c r="G20" s="111"/>
      <c r="H20" s="111"/>
      <c r="I20" s="112"/>
      <c r="J20" s="111"/>
      <c r="K20" s="111"/>
      <c r="L20" s="111"/>
      <c r="M20" s="111"/>
      <c r="N20" s="121"/>
      <c r="O20" s="288"/>
      <c r="P20" s="288"/>
      <c r="Q20" s="5"/>
      <c r="R20" s="1"/>
      <c r="S20" s="1"/>
      <c r="T20" s="1"/>
      <c r="U20" s="1"/>
      <c r="V20" s="1"/>
    </row>
    <row r="21" spans="2:22" ht="18.600000000000001" thickBot="1" x14ac:dyDescent="0.35">
      <c r="B21" s="25" t="s">
        <v>21</v>
      </c>
      <c r="C21" s="114">
        <f>(L21/$Q$9)^(1/3)-1</f>
        <v>9.2591528233617604E-2</v>
      </c>
      <c r="D21" s="114">
        <f>(N21/$Q$9)^(1/5)-1</f>
        <v>0.12848745391951533</v>
      </c>
      <c r="E21" s="58"/>
      <c r="F21" s="6" t="s">
        <v>58</v>
      </c>
      <c r="G21" s="6"/>
      <c r="H21" s="6"/>
      <c r="I21" s="238">
        <f>IF(--I11&lt;0,(I17*$Q$21-I11),IF(--I11&gt;0,I17*$Q$21))/'1.Income statement'!I27</f>
        <v>1711.9243085880642</v>
      </c>
      <c r="J21" s="239">
        <f>IF(J11&lt;0,J17*$Q$21-J11,IF(J11=0,J17*$Q$21,IF(J11&gt;0,J17*$Q$21)))/'1.Income statement'!J27</f>
        <v>2113.0726470588233</v>
      </c>
      <c r="K21" s="239">
        <f>IF(K11&lt;0,K17*$Q$21-K11,IF(K11=0,K17*$Q$21,IF(K11&gt;0,K17*$Q$21)))/'1.Income statement'!K27</f>
        <v>2492.8224249628529</v>
      </c>
      <c r="L21" s="239">
        <f>IF(L11&lt;0,L17*$Q$21-L11,IF(L11=0,L17*$Q$21,IF(L11&gt;0,L17*$Q$21)))/'1.Income statement'!L27</f>
        <v>2939.8650683058472</v>
      </c>
      <c r="M21" s="239">
        <f>IF(M11&lt;0,M17*$Q$21-M11,IF(M11=0,M17*$Q$21,IF(M11&gt;0,M17*$Q$21)))/'1.Income statement'!M27</f>
        <v>3479.076061607273</v>
      </c>
      <c r="N21" s="239">
        <f>IF(N11&lt;0,N17*$Q$21-N11,IF(N11=0,N17*$Q$21,IF(N11&gt;0,N17*$Q$21)))/'1.Income statement'!N27</f>
        <v>4125.1295042634101</v>
      </c>
      <c r="O21" s="246" t="s">
        <v>28</v>
      </c>
      <c r="P21" s="127"/>
      <c r="Q21" s="9">
        <v>30</v>
      </c>
      <c r="R21" s="1"/>
      <c r="S21" s="1"/>
      <c r="T21" s="1"/>
      <c r="U21" s="1"/>
      <c r="V21" s="1"/>
    </row>
    <row r="22" spans="2:22" ht="18.600000000000001" thickBot="1" x14ac:dyDescent="0.35">
      <c r="B22" s="25" t="s">
        <v>22</v>
      </c>
      <c r="C22" s="104">
        <f t="shared" ref="C22:C24" si="1">(L22/$Q$9)^(1/3)-1</f>
        <v>7.5928304073997754E-3</v>
      </c>
      <c r="D22" s="104">
        <f t="shared" ref="D22:D24" si="2">(N22/$Q$9)^(1/5)-1</f>
        <v>7.4064376042220381E-2</v>
      </c>
      <c r="E22" s="58"/>
      <c r="F22" s="7" t="s">
        <v>57</v>
      </c>
      <c r="G22" s="58"/>
      <c r="H22" s="58"/>
      <c r="I22" s="238">
        <f>IF(--I11&lt;0,(I18*$Q$22-I11),IF(--I11&gt;0,I18*$Q$22))/'1.Income statement'!I27</f>
        <v>1337.2081513828239</v>
      </c>
      <c r="J22" s="239">
        <f>IF(J11&lt;0,J18*$Q$22-J11,IF(J11=0,J18*$Q$22,IF(J11&gt;0,J18*$Q$22)))/'1.Income statement'!J27</f>
        <v>1666.3558823529409</v>
      </c>
      <c r="K22" s="239">
        <f>IF(K11&lt;0,K18*$Q$22-K11,IF(K11=0,K18*$Q$22,IF(K11&gt;0,K18*$Q$22)))/'1.Income statement'!K27</f>
        <v>1960.2139078751861</v>
      </c>
      <c r="L22" s="239">
        <f>IF(L11&lt;0,L18*$Q$22-L11,IF(L11=0,L18*$Q$22,IF(L11&gt;0,L18*$Q$22)))/'1.Income statement'!L27</f>
        <v>2305.7335424287853</v>
      </c>
      <c r="M22" s="239">
        <f>IF(M11&lt;0,M18*$Q$22-M11,IF(M11=0,M18*$Q$22,IF(M11&gt;0,M18*$Q$22)))/'1.Income statement'!M27</f>
        <v>2722.8646089454537</v>
      </c>
      <c r="N22" s="239">
        <f>IF(N11&lt;0,N18*$Q$22-N11,IF(N11=0,N18*$Q$22,IF(N11&gt;0,N18*$Q$22)))/'1.Income statement'!N27</f>
        <v>3221.8511617280974</v>
      </c>
      <c r="O22" s="276" t="s">
        <v>29</v>
      </c>
      <c r="P22" s="277"/>
      <c r="Q22" s="9">
        <v>30</v>
      </c>
      <c r="R22" s="1"/>
      <c r="S22" s="1"/>
      <c r="T22" s="1"/>
      <c r="U22" s="1"/>
      <c r="V22" s="1"/>
    </row>
    <row r="23" spans="2:22" ht="18.600000000000001" thickBot="1" x14ac:dyDescent="0.35">
      <c r="B23" s="25" t="s">
        <v>23</v>
      </c>
      <c r="C23" s="104">
        <f t="shared" si="1"/>
        <v>4.5356189032552674E-2</v>
      </c>
      <c r="D23" s="104">
        <f t="shared" si="2"/>
        <v>9.8484155886230607E-2</v>
      </c>
      <c r="E23" s="58"/>
      <c r="F23" s="7" t="s">
        <v>19</v>
      </c>
      <c r="G23" s="58"/>
      <c r="H23" s="58"/>
      <c r="I23" s="240">
        <f>((I15*$Q$23)-I11)/'1.Income statement'!I27</f>
        <v>1537.8020378457061</v>
      </c>
      <c r="J23" s="241">
        <f>((J15*$Q$23)-J11)/'1.Income statement'!J27</f>
        <v>1855.914705882353</v>
      </c>
      <c r="K23" s="241">
        <f>((K15*$Q$23)-K11)/'1.Income statement'!K27</f>
        <v>2186.2198514115898</v>
      </c>
      <c r="L23" s="241">
        <f>((L15*$Q$23)-L11)/'1.Income statement'!L27</f>
        <v>2574.8195394302847</v>
      </c>
      <c r="M23" s="241">
        <f>((M15*$Q$23)-M11)/'1.Income statement'!M27</f>
        <v>3043.7537374303029</v>
      </c>
      <c r="N23" s="242">
        <f>((N15*$Q$23)-N11)/'1.Income statement'!N27</f>
        <v>3605.1463354458892</v>
      </c>
      <c r="O23" s="278" t="s">
        <v>30</v>
      </c>
      <c r="P23" s="278"/>
      <c r="Q23" s="9">
        <v>17</v>
      </c>
      <c r="R23" s="1"/>
      <c r="S23" s="1"/>
      <c r="T23" s="1"/>
      <c r="U23" s="1"/>
      <c r="V23" s="1"/>
    </row>
    <row r="24" spans="2:22" ht="18.600000000000001" thickBot="1" x14ac:dyDescent="0.35">
      <c r="B24" s="26" t="s">
        <v>24</v>
      </c>
      <c r="C24" s="104">
        <f t="shared" si="1"/>
        <v>3.9154528201108318E-2</v>
      </c>
      <c r="D24" s="104">
        <f t="shared" si="2"/>
        <v>9.4501017417710109E-2</v>
      </c>
      <c r="E24" s="122"/>
      <c r="F24" s="123" t="s">
        <v>20</v>
      </c>
      <c r="G24" s="122"/>
      <c r="H24" s="122"/>
      <c r="I24" s="243">
        <f>((I16*$Q$24)-I11)/'1.Income statement'!I27</f>
        <v>1498.82096069869</v>
      </c>
      <c r="J24" s="244">
        <f>((J16*$Q$24)-J11)/'1.Income statement'!J27</f>
        <v>1823.8235294117646</v>
      </c>
      <c r="K24" s="244">
        <f>((K16*$Q$24)-K11)/'1.Income statement'!K27</f>
        <v>2147.9583952451708</v>
      </c>
      <c r="L24" s="244">
        <f>((L16*$Q$24)-L11)/'1.Income statement'!L27</f>
        <v>2529.2648875562222</v>
      </c>
      <c r="M24" s="244">
        <f>((M16*$Q$24)-M11)/'1.Income statement'!M27</f>
        <v>2989.4291248484851</v>
      </c>
      <c r="N24" s="245">
        <f>((N16*$Q$24)-N11)/'1.Income statement'!N27</f>
        <v>3540.2567521963188</v>
      </c>
      <c r="O24" s="278" t="s">
        <v>31</v>
      </c>
      <c r="P24" s="278"/>
      <c r="Q24" s="9">
        <v>22</v>
      </c>
      <c r="R24" s="1"/>
      <c r="S24" s="1"/>
      <c r="T24" s="1"/>
      <c r="U24" s="1"/>
      <c r="V24" s="1"/>
    </row>
    <row r="25" spans="2:22" ht="15.6" x14ac:dyDescent="0.3">
      <c r="B25" s="4"/>
      <c r="C25" s="3"/>
      <c r="D25" s="3"/>
      <c r="E25" s="3"/>
      <c r="F25" s="3"/>
      <c r="G25" s="3"/>
      <c r="H25" s="3"/>
      <c r="I25" s="3"/>
      <c r="J25" s="3"/>
      <c r="K25" s="3"/>
      <c r="L25" s="3"/>
      <c r="M25" s="3"/>
      <c r="N25" s="3"/>
      <c r="O25" s="1"/>
      <c r="P25" s="1"/>
      <c r="Q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4.4" x14ac:dyDescent="0.3"/>
  <cols>
    <col min="2" max="2" width="105.109375" customWidth="1"/>
    <col min="9" max="9" width="11.44140625" customWidth="1"/>
  </cols>
  <sheetData>
    <row r="3" spans="2:9" ht="51" customHeight="1" x14ac:dyDescent="0.3">
      <c r="B3" s="166" t="s">
        <v>71</v>
      </c>
      <c r="C3" s="163"/>
      <c r="D3" s="163"/>
      <c r="E3" s="163"/>
      <c r="F3" s="163"/>
      <c r="G3" s="163"/>
    </row>
    <row r="4" spans="2:9" ht="46.5" customHeight="1" x14ac:dyDescent="0.3">
      <c r="B4" s="165" t="s">
        <v>59</v>
      </c>
      <c r="C4" s="160"/>
      <c r="D4" s="160"/>
      <c r="E4" s="149"/>
      <c r="F4" s="160"/>
      <c r="G4" s="160"/>
      <c r="H4" s="160"/>
      <c r="I4" s="164"/>
    </row>
    <row r="5" spans="2:9" ht="21" customHeight="1" x14ac:dyDescent="0.3">
      <c r="B5" s="161"/>
      <c r="C5" s="160"/>
      <c r="D5" s="160"/>
      <c r="E5" s="160"/>
      <c r="F5" s="160"/>
      <c r="G5" s="160"/>
      <c r="H5" s="160"/>
      <c r="I5" s="164"/>
    </row>
    <row r="6" spans="2:9" ht="21" customHeight="1" x14ac:dyDescent="0.3">
      <c r="B6" s="289" t="s">
        <v>72</v>
      </c>
      <c r="C6" s="289"/>
      <c r="D6" s="289"/>
      <c r="E6" s="289"/>
      <c r="F6" s="289"/>
      <c r="G6" s="289"/>
      <c r="H6" s="289"/>
      <c r="I6" s="289"/>
    </row>
    <row r="7" spans="2:9" ht="21" customHeight="1" thickBot="1" x14ac:dyDescent="0.4">
      <c r="B7" s="152"/>
      <c r="C7" s="152"/>
      <c r="D7" s="152"/>
      <c r="E7" s="152"/>
      <c r="F7" s="152"/>
      <c r="G7" s="152"/>
      <c r="H7" s="152"/>
      <c r="I7" s="152"/>
    </row>
    <row r="8" spans="2:9" ht="57" customHeight="1" thickBot="1" x14ac:dyDescent="0.4">
      <c r="B8" s="169" t="s">
        <v>73</v>
      </c>
      <c r="C8" s="152"/>
      <c r="D8" s="152"/>
      <c r="E8" s="152"/>
      <c r="F8" s="152"/>
      <c r="G8" s="152"/>
      <c r="H8" s="152"/>
      <c r="I8" s="152"/>
    </row>
    <row r="9" spans="2:9" s="149" customFormat="1" ht="21" customHeight="1" x14ac:dyDescent="0.3">
      <c r="B9" s="157" t="s">
        <v>61</v>
      </c>
      <c r="C9" s="154"/>
      <c r="D9" s="154"/>
      <c r="E9" s="154"/>
      <c r="F9" s="154"/>
      <c r="G9" s="154"/>
      <c r="H9" s="154"/>
      <c r="I9" s="154"/>
    </row>
    <row r="10" spans="2:9" s="149" customFormat="1" ht="21" customHeight="1" x14ac:dyDescent="0.3">
      <c r="B10" s="155" t="s">
        <v>66</v>
      </c>
      <c r="C10" s="154"/>
      <c r="D10" s="154"/>
      <c r="E10" s="154"/>
      <c r="F10" s="154"/>
      <c r="G10" s="154"/>
      <c r="H10" s="154"/>
      <c r="I10" s="154"/>
    </row>
    <row r="11" spans="2:9" s="149" customFormat="1" ht="21" customHeight="1" x14ac:dyDescent="0.3">
      <c r="B11" s="155" t="s">
        <v>62</v>
      </c>
      <c r="C11" s="154"/>
      <c r="D11" s="154"/>
      <c r="E11" s="154"/>
      <c r="F11" s="154"/>
      <c r="G11" s="154"/>
      <c r="H11" s="154"/>
      <c r="I11" s="154"/>
    </row>
    <row r="12" spans="2:9" s="149" customFormat="1" ht="21" customHeight="1" x14ac:dyDescent="0.3">
      <c r="B12" s="155" t="s">
        <v>63</v>
      </c>
      <c r="C12" s="154"/>
      <c r="D12" s="154"/>
      <c r="E12" s="154"/>
      <c r="F12" s="154"/>
      <c r="G12" s="154"/>
      <c r="H12" s="154"/>
      <c r="I12" s="154"/>
    </row>
    <row r="13" spans="2:9" s="149" customFormat="1" ht="21" customHeight="1" x14ac:dyDescent="0.3">
      <c r="B13" s="155" t="s">
        <v>65</v>
      </c>
      <c r="C13" s="154"/>
      <c r="D13" s="154"/>
      <c r="E13" s="154"/>
      <c r="F13" s="154"/>
      <c r="G13" s="154"/>
      <c r="H13" s="154"/>
      <c r="I13" s="154"/>
    </row>
    <row r="14" spans="2:9" s="149" customFormat="1" ht="21" customHeight="1" x14ac:dyDescent="0.3">
      <c r="B14" s="155" t="s">
        <v>79</v>
      </c>
      <c r="C14" s="154"/>
      <c r="D14" s="154"/>
      <c r="E14" s="154"/>
      <c r="F14" s="154"/>
      <c r="G14" s="154"/>
      <c r="H14" s="154"/>
      <c r="I14" s="154"/>
    </row>
    <row r="15" spans="2:9" s="149" customFormat="1" ht="18" customHeight="1" x14ac:dyDescent="0.3">
      <c r="B15" s="290" t="s">
        <v>64</v>
      </c>
      <c r="C15" s="154"/>
      <c r="D15" s="154"/>
      <c r="E15" s="154"/>
      <c r="F15" s="154"/>
      <c r="G15" s="154"/>
      <c r="H15" s="154"/>
      <c r="I15" s="154"/>
    </row>
    <row r="16" spans="2:9" s="149" customFormat="1" ht="39" customHeight="1" thickBot="1" x14ac:dyDescent="0.35">
      <c r="B16" s="291"/>
      <c r="C16" s="154"/>
      <c r="D16" s="154"/>
      <c r="E16" s="154"/>
      <c r="F16" s="154"/>
      <c r="G16" s="154"/>
      <c r="H16" s="154"/>
      <c r="I16" s="154"/>
    </row>
    <row r="17" spans="2:9" s="149" customFormat="1" ht="57" customHeight="1" thickBot="1" x14ac:dyDescent="0.35">
      <c r="B17" s="170" t="s">
        <v>74</v>
      </c>
      <c r="C17" s="150"/>
      <c r="D17" s="150"/>
      <c r="E17" s="150"/>
      <c r="F17" s="150"/>
      <c r="G17" s="150"/>
      <c r="H17" s="150"/>
      <c r="I17" s="150"/>
    </row>
    <row r="18" spans="2:9" s="149" customFormat="1" ht="23.25" customHeight="1" thickBot="1" x14ac:dyDescent="0.35">
      <c r="B18" s="167" t="s">
        <v>77</v>
      </c>
      <c r="C18" s="153"/>
      <c r="D18" s="153"/>
      <c r="E18" s="153"/>
      <c r="F18" s="153"/>
      <c r="G18" s="153"/>
      <c r="H18" s="153"/>
      <c r="I18" s="153"/>
    </row>
    <row r="19" spans="2:9" ht="57" customHeight="1" thickBot="1" x14ac:dyDescent="0.35">
      <c r="B19" s="170" t="s">
        <v>75</v>
      </c>
      <c r="C19" s="153"/>
      <c r="D19" s="153"/>
      <c r="E19" s="153"/>
      <c r="F19" s="153"/>
      <c r="G19" s="153"/>
      <c r="H19" s="153"/>
      <c r="I19" s="153"/>
    </row>
    <row r="20" spans="2:9" ht="21" customHeight="1" x14ac:dyDescent="0.3">
      <c r="B20" s="292" t="s">
        <v>67</v>
      </c>
      <c r="C20" s="149"/>
      <c r="D20" s="149"/>
      <c r="E20" s="149"/>
      <c r="F20" s="149"/>
      <c r="G20" s="149"/>
      <c r="H20" s="149"/>
      <c r="I20" s="149"/>
    </row>
    <row r="21" spans="2:9" ht="21" customHeight="1" x14ac:dyDescent="0.3">
      <c r="B21" s="290"/>
      <c r="C21" s="153"/>
      <c r="D21" s="153"/>
      <c r="E21" s="153"/>
      <c r="F21" s="153"/>
      <c r="G21" s="153"/>
      <c r="H21" s="153"/>
      <c r="I21" s="153"/>
    </row>
    <row r="22" spans="2:9" ht="33" customHeight="1" thickBot="1" x14ac:dyDescent="0.35">
      <c r="B22" s="291"/>
      <c r="C22" s="153"/>
      <c r="D22" s="153"/>
      <c r="E22" s="153"/>
      <c r="F22" s="153"/>
      <c r="G22" s="153"/>
      <c r="H22" s="153"/>
      <c r="I22" s="153"/>
    </row>
    <row r="23" spans="2:9" ht="57" customHeight="1" thickBot="1" x14ac:dyDescent="0.35">
      <c r="B23" s="170" t="s">
        <v>76</v>
      </c>
      <c r="C23" s="153"/>
      <c r="D23" s="153"/>
      <c r="E23" s="153"/>
      <c r="F23" s="153"/>
      <c r="G23" s="153"/>
      <c r="H23" s="153"/>
      <c r="I23" s="153"/>
    </row>
    <row r="24" spans="2:9" ht="35.25" customHeight="1" x14ac:dyDescent="0.3">
      <c r="B24" s="157" t="s">
        <v>78</v>
      </c>
      <c r="C24" s="153"/>
      <c r="D24" s="153"/>
      <c r="E24" s="153"/>
      <c r="F24" s="153"/>
      <c r="G24" s="153"/>
      <c r="H24" s="153"/>
      <c r="I24" s="153"/>
    </row>
    <row r="25" spans="2:9" ht="72" customHeight="1" thickBot="1" x14ac:dyDescent="0.35">
      <c r="B25" s="156" t="s">
        <v>68</v>
      </c>
      <c r="C25" s="153"/>
      <c r="D25" s="153"/>
      <c r="E25" s="153"/>
      <c r="F25" s="153"/>
      <c r="G25" s="153"/>
      <c r="H25" s="153"/>
      <c r="I25" s="153"/>
    </row>
    <row r="26" spans="2:9" ht="26.25" customHeight="1" x14ac:dyDescent="0.3">
      <c r="B26" s="159"/>
      <c r="C26" s="153"/>
      <c r="D26" s="153"/>
      <c r="E26" s="153"/>
      <c r="F26" s="153"/>
      <c r="G26" s="153"/>
      <c r="H26" s="153"/>
      <c r="I26" s="153"/>
    </row>
    <row r="27" spans="2:9" ht="21" x14ac:dyDescent="0.4">
      <c r="B27" s="168" t="s">
        <v>70</v>
      </c>
      <c r="C27" s="158"/>
      <c r="D27" s="158"/>
      <c r="E27" s="158"/>
    </row>
    <row r="28" spans="2:9" ht="61.5" customHeight="1" x14ac:dyDescent="0.3">
      <c r="B28" s="162" t="s">
        <v>69</v>
      </c>
      <c r="C28" s="160"/>
      <c r="D28" s="160"/>
      <c r="E28" s="160"/>
      <c r="F28" s="160"/>
      <c r="G28" s="160"/>
      <c r="H28" s="160"/>
      <c r="I28" s="160"/>
    </row>
    <row r="29" spans="2:9" ht="28.5" customHeight="1" x14ac:dyDescent="0.3">
      <c r="B29" s="293"/>
      <c r="C29" s="293"/>
      <c r="D29" s="293"/>
      <c r="E29" s="293"/>
      <c r="F29" s="29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2021-04-13T20:23:01Z</dcterms:modified>
</cp:coreProperties>
</file>