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4509AA03-0321-5E4A-AB62-3159D6755D8F}" xr6:coauthVersionLast="46" xr6:coauthVersionMax="46" xr10:uidLastSave="{00000000-0000-0000-0000-000000000000}"/>
  <bookViews>
    <workbookView xWindow="25600" yWindow="500" windowWidth="25600" windowHeight="1940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1" l="1"/>
  <c r="G15" i="1"/>
  <c r="H15" i="1"/>
  <c r="H14" i="1"/>
  <c r="I15" i="1"/>
  <c r="J11" i="1" l="1"/>
  <c r="I10" i="3" l="1"/>
  <c r="I11" i="3"/>
  <c r="I12" i="3"/>
  <c r="I18" i="3"/>
  <c r="I19" i="3"/>
  <c r="I10" i="5"/>
  <c r="I11" i="5"/>
  <c r="I19" i="5" s="1"/>
  <c r="I15" i="5"/>
  <c r="I18" i="5"/>
  <c r="I22" i="5" s="1"/>
  <c r="I14" i="2"/>
  <c r="I13" i="2"/>
  <c r="I12" i="2"/>
  <c r="I23" i="3" l="1"/>
  <c r="I13" i="5"/>
  <c r="I22" i="3"/>
  <c r="J11" i="2" l="1"/>
  <c r="J14" i="1"/>
  <c r="J23" i="1"/>
  <c r="J17" i="1"/>
  <c r="J10" i="1"/>
  <c r="I19" i="1"/>
  <c r="I21" i="1" s="1"/>
  <c r="I16" i="1"/>
  <c r="I12" i="1"/>
  <c r="I13" i="1" s="1"/>
  <c r="I11" i="1"/>
  <c r="J21" i="1"/>
  <c r="C11" i="1"/>
  <c r="I14" i="5" l="1"/>
  <c r="I10" i="2"/>
  <c r="I15" i="2" s="1"/>
  <c r="I12" i="5"/>
  <c r="J15" i="1"/>
  <c r="J16" i="1" s="1"/>
  <c r="J12" i="2"/>
  <c r="I22" i="1"/>
  <c r="I24" i="1" s="1"/>
  <c r="J12" i="1" l="1"/>
  <c r="J13" i="1" s="1"/>
  <c r="J19" i="1"/>
  <c r="J20" i="1" s="1"/>
  <c r="J22" i="1" s="1"/>
  <c r="J24" i="1" s="1"/>
  <c r="J25" i="1" s="1"/>
  <c r="I13" i="3"/>
  <c r="I21" i="3" s="1"/>
  <c r="I16" i="5"/>
  <c r="I21" i="5" s="1"/>
  <c r="I16" i="2"/>
  <c r="I17" i="5"/>
  <c r="I26" i="1"/>
  <c r="I25" i="1"/>
  <c r="C18" i="5"/>
  <c r="D18" i="5"/>
  <c r="E18" i="5"/>
  <c r="F18" i="5"/>
  <c r="G18" i="5"/>
  <c r="H18" i="5"/>
  <c r="D19" i="1"/>
  <c r="E19" i="1"/>
  <c r="F19" i="1"/>
  <c r="G19" i="1"/>
  <c r="H19" i="1"/>
  <c r="C19" i="1"/>
  <c r="J26" i="1" l="1"/>
  <c r="K23" i="1"/>
  <c r="L23" i="1" s="1"/>
  <c r="M23" i="1" s="1"/>
  <c r="N23" i="1" s="1"/>
  <c r="G11" i="5" l="1"/>
  <c r="G19" i="5" s="1"/>
  <c r="G19" i="3" l="1"/>
  <c r="F19" i="3"/>
  <c r="E19" i="3"/>
  <c r="D19" i="3"/>
  <c r="C19" i="3"/>
  <c r="G18" i="3"/>
  <c r="F18" i="3"/>
  <c r="E18" i="3"/>
  <c r="D18" i="3"/>
  <c r="C18" i="3"/>
  <c r="G12" i="3"/>
  <c r="F12" i="3"/>
  <c r="E12" i="3"/>
  <c r="D12" i="3"/>
  <c r="C12" i="3"/>
  <c r="G11" i="3"/>
  <c r="F11" i="3"/>
  <c r="E11" i="3"/>
  <c r="D11" i="3"/>
  <c r="C11" i="3"/>
  <c r="G10" i="3"/>
  <c r="F10" i="3"/>
  <c r="E10" i="3"/>
  <c r="D10" i="3"/>
  <c r="C10" i="3"/>
  <c r="C14" i="2"/>
  <c r="D14" i="2"/>
  <c r="E14" i="2"/>
  <c r="F14" i="2"/>
  <c r="G14" i="2"/>
  <c r="H14" i="2"/>
  <c r="J14" i="2"/>
  <c r="K14" i="2"/>
  <c r="L14" i="2"/>
  <c r="M14" i="2"/>
  <c r="N14" i="2"/>
  <c r="G21" i="1"/>
  <c r="F21" i="1"/>
  <c r="E22" i="1"/>
  <c r="E24" i="1" s="1"/>
  <c r="E13" i="3" s="1"/>
  <c r="E21" i="3" s="1"/>
  <c r="D22" i="1"/>
  <c r="D24" i="1" s="1"/>
  <c r="D13" i="3" s="1"/>
  <c r="D21" i="3" s="1"/>
  <c r="C22" i="1"/>
  <c r="C24" i="1" s="1"/>
  <c r="C13" i="3" s="1"/>
  <c r="C21" i="3" s="1"/>
  <c r="G16" i="1"/>
  <c r="F16" i="1"/>
  <c r="E16" i="1"/>
  <c r="D16" i="1"/>
  <c r="C16" i="1"/>
  <c r="G12" i="1"/>
  <c r="G13" i="1" s="1"/>
  <c r="F12" i="1"/>
  <c r="F13" i="1" s="1"/>
  <c r="E12" i="1"/>
  <c r="E13" i="1" s="1"/>
  <c r="D12" i="1"/>
  <c r="D13" i="1" s="1"/>
  <c r="C12" i="1"/>
  <c r="C13" i="1" s="1"/>
  <c r="G11" i="1"/>
  <c r="F11" i="1"/>
  <c r="E11" i="1"/>
  <c r="D11" i="1"/>
  <c r="D23" i="3" l="1"/>
  <c r="E23" i="3"/>
  <c r="C23" i="3"/>
  <c r="F23" i="3"/>
  <c r="C22" i="3"/>
  <c r="E22" i="3"/>
  <c r="G22" i="3"/>
  <c r="G23" i="3"/>
  <c r="D22" i="3"/>
  <c r="F22" i="3"/>
  <c r="E26" i="1"/>
  <c r="E25" i="1"/>
  <c r="C26" i="1"/>
  <c r="C25" i="1"/>
  <c r="D25" i="1"/>
  <c r="D26" i="1"/>
  <c r="F22" i="1"/>
  <c r="F24" i="1" s="1"/>
  <c r="F13" i="3" s="1"/>
  <c r="F21" i="3" s="1"/>
  <c r="G22" i="1"/>
  <c r="G24" i="1" s="1"/>
  <c r="G13" i="3" s="1"/>
  <c r="G21" i="3" s="1"/>
  <c r="D21" i="1"/>
  <c r="E21" i="1"/>
  <c r="C21" i="1"/>
  <c r="H12" i="1"/>
  <c r="H22" i="1"/>
  <c r="H24" i="1" s="1"/>
  <c r="H26" i="1" s="1"/>
  <c r="G26" i="1" l="1"/>
  <c r="G25" i="1"/>
  <c r="F26" i="1"/>
  <c r="F25" i="1"/>
  <c r="H11" i="5" l="1"/>
  <c r="H19" i="5" s="1"/>
  <c r="P10" i="3"/>
  <c r="J15" i="3" l="1"/>
  <c r="J17" i="3"/>
  <c r="J14" i="3"/>
  <c r="J16" i="3"/>
  <c r="C11" i="5"/>
  <c r="C19" i="5" s="1"/>
  <c r="D11" i="5"/>
  <c r="D19" i="5" s="1"/>
  <c r="E11" i="5"/>
  <c r="E19" i="5" s="1"/>
  <c r="F11" i="5"/>
  <c r="F19" i="5" s="1"/>
  <c r="C12" i="5" l="1"/>
  <c r="F12" i="5"/>
  <c r="G12" i="5"/>
  <c r="D12" i="5"/>
  <c r="E12" i="5"/>
  <c r="H18" i="3"/>
  <c r="H19" i="3"/>
  <c r="H15" i="5" l="1"/>
  <c r="G15" i="5"/>
  <c r="F15" i="5"/>
  <c r="E15" i="5"/>
  <c r="D15" i="5"/>
  <c r="C15" i="5"/>
  <c r="N10" i="5"/>
  <c r="N13" i="5" s="1"/>
  <c r="M10" i="5"/>
  <c r="M13" i="5" s="1"/>
  <c r="L10" i="5"/>
  <c r="L13" i="5" s="1"/>
  <c r="K10" i="5"/>
  <c r="K13" i="5" s="1"/>
  <c r="J10" i="5"/>
  <c r="J13" i="5" s="1"/>
  <c r="H10" i="5"/>
  <c r="H13" i="5" s="1"/>
  <c r="H12" i="3" l="1"/>
  <c r="H11" i="3"/>
  <c r="H10" i="3"/>
  <c r="H23" i="3" s="1"/>
  <c r="H22" i="3" l="1"/>
  <c r="K14" i="1" l="1"/>
  <c r="L14" i="1" s="1"/>
  <c r="M14" i="1" s="1"/>
  <c r="N14" i="1" s="1"/>
  <c r="H16" i="1"/>
  <c r="C14" i="5"/>
  <c r="D14" i="5"/>
  <c r="E14" i="5"/>
  <c r="F14" i="5"/>
  <c r="G14" i="5"/>
  <c r="H14" i="5" l="1"/>
  <c r="H12" i="5"/>
  <c r="K15" i="3"/>
  <c r="K14" i="3"/>
  <c r="L14" i="3" s="1"/>
  <c r="M14" i="3" s="1"/>
  <c r="N14" i="3" s="1"/>
  <c r="K16" i="3"/>
  <c r="L16" i="3" s="1"/>
  <c r="M16" i="3" s="1"/>
  <c r="N16" i="3" s="1"/>
  <c r="J18" i="5" l="1"/>
  <c r="J22" i="5" s="1"/>
  <c r="J19" i="5"/>
  <c r="J19" i="3"/>
  <c r="J18" i="3"/>
  <c r="K17" i="3"/>
  <c r="K19" i="5" s="1"/>
  <c r="L15" i="3"/>
  <c r="K11" i="2"/>
  <c r="L11" i="2" s="1"/>
  <c r="M11" i="2" s="1"/>
  <c r="N11" i="2" s="1"/>
  <c r="C13" i="2"/>
  <c r="D13" i="2"/>
  <c r="E13" i="2"/>
  <c r="F13" i="2"/>
  <c r="G13" i="2"/>
  <c r="H13" i="2"/>
  <c r="C12" i="2"/>
  <c r="D12" i="2"/>
  <c r="E12" i="2"/>
  <c r="F12" i="2"/>
  <c r="G12" i="2"/>
  <c r="H12" i="2"/>
  <c r="C10" i="2"/>
  <c r="D10" i="2"/>
  <c r="E10" i="2"/>
  <c r="F10" i="2"/>
  <c r="G10" i="2"/>
  <c r="H10" i="2"/>
  <c r="K21" i="1"/>
  <c r="L21" i="1"/>
  <c r="M21" i="1"/>
  <c r="N21" i="1"/>
  <c r="H13" i="1"/>
  <c r="K11" i="1"/>
  <c r="L11" i="1"/>
  <c r="M11" i="1"/>
  <c r="N11" i="1"/>
  <c r="H11" i="1"/>
  <c r="D15" i="2" l="1"/>
  <c r="D17" i="5" s="1"/>
  <c r="G15" i="2"/>
  <c r="G17" i="5" s="1"/>
  <c r="F15" i="2"/>
  <c r="F17" i="5" s="1"/>
  <c r="H15" i="2"/>
  <c r="H17" i="5" s="1"/>
  <c r="C15" i="2"/>
  <c r="C17" i="5" s="1"/>
  <c r="E15" i="2"/>
  <c r="E17" i="5" s="1"/>
  <c r="K18" i="3"/>
  <c r="K18" i="5"/>
  <c r="K22" i="5" s="1"/>
  <c r="K19" i="3"/>
  <c r="J15" i="5"/>
  <c r="J10" i="3"/>
  <c r="J23" i="3" s="1"/>
  <c r="J11" i="3"/>
  <c r="L17" i="3"/>
  <c r="L19" i="5" s="1"/>
  <c r="M15" i="3"/>
  <c r="K17" i="1"/>
  <c r="K10" i="1"/>
  <c r="K15" i="1" s="1"/>
  <c r="H21" i="1"/>
  <c r="L18" i="3" l="1"/>
  <c r="L18" i="5"/>
  <c r="L22" i="5" s="1"/>
  <c r="C22" i="5" s="1"/>
  <c r="L19" i="3"/>
  <c r="J22" i="3"/>
  <c r="K15" i="5"/>
  <c r="K10" i="3"/>
  <c r="J12" i="5"/>
  <c r="J14" i="5"/>
  <c r="L17" i="1"/>
  <c r="L12" i="2" s="1"/>
  <c r="K11" i="3"/>
  <c r="M17" i="3"/>
  <c r="M19" i="5" s="1"/>
  <c r="N15" i="3"/>
  <c r="K12" i="2"/>
  <c r="K12" i="1"/>
  <c r="K16" i="1"/>
  <c r="L10" i="1"/>
  <c r="L15" i="1" s="1"/>
  <c r="D16" i="2"/>
  <c r="C16" i="2"/>
  <c r="H16" i="2"/>
  <c r="G16" i="2"/>
  <c r="F16" i="2"/>
  <c r="E16" i="2"/>
  <c r="M18" i="3" l="1"/>
  <c r="M18" i="5"/>
  <c r="M22" i="5" s="1"/>
  <c r="M19" i="3"/>
  <c r="C16" i="5"/>
  <c r="G16" i="5"/>
  <c r="F16" i="5"/>
  <c r="L15" i="5"/>
  <c r="L10" i="3"/>
  <c r="L23" i="3" s="1"/>
  <c r="H25" i="1"/>
  <c r="M17" i="1"/>
  <c r="M12" i="2" s="1"/>
  <c r="L11" i="3"/>
  <c r="K14" i="5"/>
  <c r="K12" i="5"/>
  <c r="K13" i="1"/>
  <c r="H16" i="5"/>
  <c r="H13" i="3"/>
  <c r="H21" i="3" s="1"/>
  <c r="K22" i="3"/>
  <c r="K23" i="3"/>
  <c r="N17" i="3"/>
  <c r="N19" i="5" s="1"/>
  <c r="M10" i="1"/>
  <c r="M15" i="1" s="1"/>
  <c r="L12" i="1"/>
  <c r="L16" i="1"/>
  <c r="N18" i="3" l="1"/>
  <c r="N18" i="5"/>
  <c r="N22" i="5" s="1"/>
  <c r="N19" i="3"/>
  <c r="L22" i="3"/>
  <c r="D16" i="5"/>
  <c r="N17" i="1"/>
  <c r="M11" i="3"/>
  <c r="L14" i="5"/>
  <c r="L12" i="5"/>
  <c r="L13" i="1"/>
  <c r="M15" i="5"/>
  <c r="M10" i="3"/>
  <c r="E16" i="5"/>
  <c r="N10" i="1"/>
  <c r="N15" i="1" s="1"/>
  <c r="M16" i="1"/>
  <c r="M12" i="1"/>
  <c r="N11" i="3" l="1"/>
  <c r="N12" i="2"/>
  <c r="N15" i="5"/>
  <c r="N10" i="3"/>
  <c r="N22" i="3" s="1"/>
  <c r="M22" i="3"/>
  <c r="M23" i="3"/>
  <c r="M14" i="5"/>
  <c r="M12" i="5"/>
  <c r="M13" i="1"/>
  <c r="N16" i="1"/>
  <c r="N12" i="1"/>
  <c r="N23" i="3" l="1"/>
  <c r="N14" i="5"/>
  <c r="N12" i="5"/>
  <c r="N13" i="1"/>
  <c r="J10" i="2"/>
  <c r="K19" i="1"/>
  <c r="K10" i="2"/>
  <c r="L10" i="2"/>
  <c r="N10" i="2"/>
  <c r="M10" i="2"/>
  <c r="N19" i="1" l="1"/>
  <c r="N20" i="1" s="1"/>
  <c r="K20" i="1"/>
  <c r="L19" i="1"/>
  <c r="M19" i="1"/>
  <c r="K22" i="1" l="1"/>
  <c r="K24" i="1" s="1"/>
  <c r="K12" i="3"/>
  <c r="N13" i="2"/>
  <c r="N12" i="3"/>
  <c r="N22" i="1"/>
  <c r="M20" i="1"/>
  <c r="K13" i="2"/>
  <c r="L20" i="1"/>
  <c r="K15" i="2" l="1"/>
  <c r="K17" i="5" s="1"/>
  <c r="N15" i="2"/>
  <c r="N17" i="5" s="1"/>
  <c r="D22" i="5"/>
  <c r="L22" i="1"/>
  <c r="L24" i="1" s="1"/>
  <c r="L12" i="3"/>
  <c r="K16" i="5"/>
  <c r="K21" i="5" s="1"/>
  <c r="K13" i="3"/>
  <c r="K21" i="3" s="1"/>
  <c r="M22" i="1"/>
  <c r="M24" i="1" s="1"/>
  <c r="M12" i="3"/>
  <c r="J12" i="3"/>
  <c r="K26" i="1"/>
  <c r="K25" i="1"/>
  <c r="N24" i="1"/>
  <c r="J13" i="2"/>
  <c r="M13" i="2"/>
  <c r="L13" i="2"/>
  <c r="N16" i="2" l="1"/>
  <c r="K16" i="2"/>
  <c r="M15" i="2"/>
  <c r="M17" i="5" s="1"/>
  <c r="J15" i="2"/>
  <c r="J16" i="2" s="1"/>
  <c r="L15" i="2"/>
  <c r="L16" i="2" s="1"/>
  <c r="M16" i="5"/>
  <c r="M21" i="5" s="1"/>
  <c r="M13" i="3"/>
  <c r="M21" i="3" s="1"/>
  <c r="J16" i="5"/>
  <c r="J21" i="5" s="1"/>
  <c r="J13" i="3"/>
  <c r="J21" i="3" s="1"/>
  <c r="L16" i="5"/>
  <c r="L13" i="3"/>
  <c r="L21" i="3" s="1"/>
  <c r="N16" i="5"/>
  <c r="N13" i="3"/>
  <c r="N21" i="3" s="1"/>
  <c r="N25" i="1"/>
  <c r="N26" i="1"/>
  <c r="L26" i="1"/>
  <c r="L25" i="1"/>
  <c r="M26" i="1"/>
  <c r="M25" i="1"/>
  <c r="M16" i="2" l="1"/>
  <c r="J17" i="5"/>
  <c r="L17" i="5"/>
  <c r="N21" i="5"/>
  <c r="D21" i="5" s="1"/>
  <c r="L21" i="5"/>
  <c r="C21"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indexed="81"/>
            <rFont val="Tahoma"/>
            <family val="2"/>
          </rPr>
          <t>Author:</t>
        </r>
        <r>
          <rPr>
            <sz val="9"/>
            <color indexed="81"/>
            <rFont val="Tahoma"/>
            <family val="2"/>
          </rPr>
          <t xml:space="preserve">
EBIT, a veces aparece con nombres como: beneficio operativo, operating income</t>
        </r>
      </text>
    </comment>
    <comment ref="B17" authorId="0" shapeId="0" xr:uid="{00000000-0006-0000-0000-000002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742BD964-4380-4D31-9366-69BA385F8A7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00000000-0006-0000-0000-000004000000}">
      <text>
        <r>
          <rPr>
            <b/>
            <sz val="9"/>
            <color rgb="FF000000"/>
            <rFont val="Tahoma"/>
            <family val="2"/>
          </rPr>
          <t>Author:</t>
        </r>
        <r>
          <rPr>
            <sz val="9"/>
            <color rgb="FF000000"/>
            <rFont val="Tahoma"/>
            <family val="2"/>
          </rPr>
          <t xml:space="preserve">
</t>
        </r>
        <r>
          <rPr>
            <sz val="9"/>
            <color rgb="FF000000"/>
            <rFont val="Tahoma"/>
            <family val="2"/>
          </rPr>
          <t>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rgb="FF000000"/>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rgb="FF000000"/>
            <rFont val="Tahoma"/>
            <family val="2"/>
          </rPr>
          <t>Author:</t>
        </r>
        <r>
          <rPr>
            <sz val="9"/>
            <color rgb="FF000000"/>
            <rFont val="Tahoma"/>
            <family val="2"/>
          </rPr>
          <t xml:space="preserve">
</t>
        </r>
        <r>
          <rPr>
            <sz val="9"/>
            <color rgb="FF000000"/>
            <rFont val="Tahoma"/>
            <family val="2"/>
          </rPr>
          <t>Aparece en los informes como investment in property, ó inversion en activos fijos, ó como "capital expenditures.</t>
        </r>
      </text>
    </comment>
    <comment ref="I11" authorId="0" shapeId="0" xr:uid="{88698F6A-B7AD-4E4F-946E-81017DBA894B}">
      <text>
        <r>
          <rPr>
            <b/>
            <sz val="10"/>
            <color rgb="FF000000"/>
            <rFont val="Tahoma"/>
            <family val="2"/>
          </rPr>
          <t xml:space="preserve">Author:
</t>
        </r>
        <r>
          <rPr>
            <b/>
            <sz val="10"/>
            <color rgb="FF000000"/>
            <rFont val="Tahoma"/>
            <family val="2"/>
          </rPr>
          <t>En empresas financieras y de leasing NO ES NECESARIO llenar el CASH FLOW porque no se usa en este tipo de segmentos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t>
        </r>
        <r>
          <rPr>
            <sz val="9"/>
            <color rgb="FF000000"/>
            <rFont val="Tahoma"/>
            <family val="2"/>
          </rPr>
          <t>Deuda que requiera pago de intereses, tanto a corto plazo como a largo plazo.</t>
        </r>
      </text>
    </comment>
    <comment ref="B17" authorId="0" shapeId="0" xr:uid="{00000000-0006-0000-0200-000002000000}">
      <text>
        <r>
          <rPr>
            <b/>
            <sz val="9"/>
            <color rgb="FF000000"/>
            <rFont val="Tahoma"/>
            <family val="2"/>
          </rPr>
          <t>Author:</t>
        </r>
        <r>
          <rPr>
            <sz val="9"/>
            <color rgb="FF000000"/>
            <rFont val="Tahoma"/>
            <family val="2"/>
          </rPr>
          <t xml:space="preserve">
</t>
        </r>
        <r>
          <rPr>
            <sz val="9"/>
            <color rgb="FF000000"/>
            <rFont val="Tahoma"/>
            <family val="2"/>
          </rPr>
          <t>Si la equity aparece con signo negativo en los informes hemos de introducir la cifra con signo negativo.</t>
        </r>
      </text>
    </comment>
    <comment ref="B21" authorId="0" shapeId="0" xr:uid="{D9115C3A-5E2C-1B45-A630-E59EEC8ACCF0}">
      <text>
        <r>
          <rPr>
            <b/>
            <sz val="10"/>
            <color rgb="FF000000"/>
            <rFont val="Tahoma"/>
            <family val="2"/>
          </rPr>
          <t xml:space="preserve">Author: En empresas financieras se mira el ROE... NO EL ROCE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973400DE-EBFE-4A11-A7B7-13EF76B33B3C}">
      <text>
        <r>
          <rPr>
            <b/>
            <sz val="9"/>
            <color rgb="FF000000"/>
            <rFont val="Tahoma"/>
            <family val="2"/>
          </rPr>
          <t>Author:</t>
        </r>
        <r>
          <rPr>
            <sz val="9"/>
            <color rgb="FF000000"/>
            <rFont val="Tahoma"/>
            <family val="2"/>
          </rPr>
          <t xml:space="preserve">
</t>
        </r>
        <r>
          <rPr>
            <sz val="9"/>
            <color rgb="FF000000"/>
            <rFont val="Tahoma"/>
            <family val="2"/>
          </rPr>
          <t>Si la empresa posee caja neta introducir con signo negativo</t>
        </r>
      </text>
    </comment>
    <comment ref="K11" authorId="0" shapeId="0" xr:uid="{281CB043-95F8-4C71-9340-F4EF60E8A95F}">
      <text>
        <r>
          <rPr>
            <b/>
            <sz val="9"/>
            <color indexed="81"/>
            <rFont val="Tahoma"/>
            <family val="2"/>
          </rPr>
          <t>Author:</t>
        </r>
        <r>
          <rPr>
            <sz val="9"/>
            <color indexed="81"/>
            <rFont val="Tahoma"/>
            <family val="2"/>
          </rPr>
          <t xml:space="preserve">
Si la empresa posee caja neta introducir con signo negativo</t>
        </r>
      </text>
    </comment>
    <comment ref="N11" authorId="0" shapeId="0" xr:uid="{DBA83C0B-41E5-4363-B71C-3928B78A9642}">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<sst xmlns="http://schemas.openxmlformats.org/spreadsheetml/2006/main" count="86" uniqueCount="80">
  <si>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</si>
  <si>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</si>
  <si>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</si>
  <si>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</si>
  <si>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</si>
  <si>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</si>
  <si>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</si>
  <si>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</si>
  <si>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</si>
  <si>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</si>
  <si>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</si>
  <si>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</si>
  <si>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</si>
  <si>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</si>
  <si>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</si>
  <si>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</si>
  <si>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</si>
  <si>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</si>
  <si>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</si>
  <si>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CAGR  by PER</t>
  </si>
  <si>
    <t>Enterprise Value ( EV )</t>
  </si>
  <si>
    <t>Market cap</t>
  </si>
  <si>
    <t>Valuation  ( millons ,except EPS )</t>
  </si>
  <si>
    <t>Multiple PER</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</si>
  <si>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</si>
  <si>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</si>
  <si>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</si>
  <si>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</si>
  <si>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</si>
  <si>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</si>
  <si>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</si>
  <si>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</si>
  <si>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</si>
  <si>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</si>
  <si>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</si>
  <si>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</si>
  <si>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</si>
  <si>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</si>
  <si>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</si>
  <si>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</si>
  <si>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</si>
  <si>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</si>
  <si>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</si>
  <si>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</si>
  <si>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</si>
  <si>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</si>
  <si>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</si>
  <si>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</si>
  <si>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</si>
  <si>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</si>
  <si>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</si>
  <si>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</si>
  <si>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</si>
  <si>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</si>
  <si>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</si>
  <si>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</si>
  <si>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</si>
  <si>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</si>
  <si>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</si>
  <si>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</si>
  <si>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</si>
  <si>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</si>
  <si>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</si>
  <si>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</si>
  <si>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</si>
  <si>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</si>
  <si>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</si>
  <si>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</si>
  <si>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</si>
  <si>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</si>
  <si>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Ingresos/gasto extra (-) si es ingreso</t>
  </si>
  <si>
    <t>Book Value/Share</t>
  </si>
  <si>
    <t>Price target  P/Book value</t>
  </si>
  <si>
    <t>Multiple P/Book</t>
  </si>
  <si>
    <t>CAGR  by  P/Book</t>
  </si>
  <si>
    <t>Deuda neta /EBITDA</t>
  </si>
  <si>
    <t>Debt/Equity</t>
  </si>
  <si>
    <t>Minoritarios (si procede)</t>
  </si>
  <si>
    <t>3 YEARS</t>
  </si>
  <si>
    <t>sdfasdfasdf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</si>
</sst>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0.0;[Red]\-#,##0.0"/>
    <numFmt numFmtId="165" formatCode="0.0"/>
    <numFmt numFmtId="166" formatCode="0.0%"/>
    <numFmt numFmtId="167" formatCode="_-[$€-2]\ * #,##0_-;\-[$€-2]\ * #,##0_-;_-[$€-2]\ * &quot;-&quot;??_-;_-@_-"/>
  </numFmts>
  <fonts count="32"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b/>
      <sz val="9"/>
      <color rgb="FF000000"/>
      <name val="Tahoma"/>
      <family val="2"/>
    </font>
    <font>
      <sz val="9"/>
      <color rgb="FF000000"/>
      <name val="Tahoma"/>
      <family val="2"/>
    </font>
    <font>
      <b/>
      <sz val="10"/>
      <color rgb="FF000000"/>
      <name val="Tahoma"/>
      <family val="2"/>
    </font>
  </fonts>
  <fills count="7">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s>
  <borders count="42">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rgb="FFCCCCCC"/>
      </top>
      <bottom/>
      <diagonal/>
    </border>
    <border>
      <left/>
      <right style="medium">
        <color indexed="64"/>
      </right>
      <top/>
      <bottom style="thin">
        <color indexed="64"/>
      </bottom>
      <diagonal/>
    </border>
    <border>
      <left/>
      <right style="thin">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rgb="FF000000"/>
      </top>
      <bottom/>
      <diagonal/>
    </border>
    <border>
      <left/>
      <right style="medium">
        <color indexed="64"/>
      </right>
      <top style="thin">
        <color rgb="FF000000"/>
      </top>
      <bottom/>
      <diagonal/>
    </border>
    <border>
      <left style="medium">
        <color indexed="64"/>
      </left>
      <right/>
      <top style="medium">
        <color rgb="FFCCCCCC"/>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rgb="FFCCCCCC"/>
      </top>
      <bottom/>
      <diagonal/>
    </border>
    <border>
      <left/>
      <right style="medium">
        <color indexed="64"/>
      </right>
      <top style="thin">
        <color indexed="64"/>
      </top>
      <bottom style="medium">
        <color rgb="FFCCCCCC"/>
      </bottom>
      <diagonal/>
    </border>
    <border>
      <left/>
      <right style="thin">
        <color indexed="64"/>
      </right>
      <top style="medium">
        <color indexed="64"/>
      </top>
      <bottom/>
      <diagonal/>
    </border>
    <border>
      <left/>
      <right/>
      <top style="thin">
        <color indexed="64"/>
      </top>
      <bottom style="medium">
        <color rgb="FFCCCCCC"/>
      </bottom>
      <diagonal/>
    </border>
    <border>
      <left style="medium">
        <color indexed="64"/>
      </left>
      <right/>
      <top/>
      <bottom style="thin">
        <color rgb="FF000000"/>
      </bottom>
      <diagonal/>
    </border>
    <border>
      <left/>
      <right style="thin">
        <color indexed="64"/>
      </right>
      <top style="thin">
        <color indexed="64"/>
      </top>
      <bottom/>
      <diagonal/>
    </border>
    <border>
      <left/>
      <right style="thin">
        <color indexed="64"/>
      </right>
      <top style="medium">
        <color indexed="64"/>
      </top>
      <bottom style="medium">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324">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6" fontId="0" fillId="5" borderId="2" xfId="1" applyNumberFormat="1" applyFont="1" applyFill="1" applyBorder="1" applyAlignment="1">
      <alignment horizontal="center" vertical="center"/>
    </xf>
    <xf numFmtId="167" fontId="13" fillId="4" borderId="9" xfId="0" applyNumberFormat="1" applyFont="1" applyFill="1" applyBorder="1" applyAlignment="1">
      <alignment horizontal="center" vertical="center" wrapText="1"/>
    </xf>
    <xf numFmtId="167" fontId="13" fillId="4" borderId="0" xfId="0" applyNumberFormat="1" applyFont="1" applyFill="1" applyBorder="1" applyAlignment="1">
      <alignment horizontal="left" vertical="center" wrapText="1"/>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1" xfId="1" applyFont="1" applyFill="1" applyBorder="1" applyAlignment="1">
      <alignment horizontal="center" vertical="center"/>
    </xf>
    <xf numFmtId="9" fontId="0" fillId="4" borderId="16"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7" xfId="0" applyNumberFormat="1" applyFont="1" applyFill="1" applyBorder="1" applyAlignment="1" applyProtection="1">
      <alignment horizontal="center" vertical="center"/>
    </xf>
    <xf numFmtId="1" fontId="15" fillId="2" borderId="18"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0" fontId="0" fillId="4" borderId="13" xfId="0" applyFill="1" applyBorder="1" applyAlignment="1">
      <alignment horizontal="center" vertical="center" wrapText="1"/>
    </xf>
    <xf numFmtId="0" fontId="0" fillId="4" borderId="14"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16"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1" fontId="2" fillId="4" borderId="23"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1"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1" xfId="1" applyFont="1" applyFill="1" applyBorder="1" applyAlignment="1">
      <alignment horizontal="center" vertical="center" wrapText="1"/>
    </xf>
    <xf numFmtId="0" fontId="0" fillId="4" borderId="13" xfId="0" applyFont="1" applyFill="1" applyBorder="1" applyAlignment="1">
      <alignment horizontal="center" wrapText="1"/>
    </xf>
    <xf numFmtId="0" fontId="0" fillId="4" borderId="14"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31" xfId="0" applyNumberFormat="1" applyFont="1" applyFill="1" applyBorder="1" applyAlignment="1">
      <alignment horizontal="center" vertical="center" wrapText="1"/>
    </xf>
    <xf numFmtId="1" fontId="0" fillId="4" borderId="6"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1" xfId="0" applyNumberFormat="1" applyFont="1" applyFill="1" applyBorder="1" applyAlignment="1">
      <alignment horizontal="center" vertical="center" wrapText="1"/>
    </xf>
    <xf numFmtId="165" fontId="0" fillId="4" borderId="31" xfId="0" applyNumberFormat="1" applyFont="1" applyFill="1" applyBorder="1" applyAlignment="1">
      <alignment horizontal="center" vertical="center" wrapText="1"/>
    </xf>
    <xf numFmtId="165" fontId="0" fillId="4" borderId="8" xfId="0" applyNumberFormat="1" applyFont="1" applyFill="1" applyBorder="1" applyAlignment="1">
      <alignment horizontal="center" vertical="center" wrapText="1"/>
    </xf>
    <xf numFmtId="165" fontId="0" fillId="4" borderId="21"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5" fontId="0" fillId="4" borderId="0" xfId="0" applyNumberFormat="1" applyFont="1" applyFill="1" applyBorder="1" applyAlignment="1">
      <alignment horizontal="center" vertical="center" wrapText="1"/>
    </xf>
    <xf numFmtId="165" fontId="0" fillId="4" borderId="11"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2" xfId="0" applyNumberFormat="1" applyFont="1" applyFill="1" applyBorder="1" applyAlignment="1" applyProtection="1">
      <alignment horizontal="center"/>
    </xf>
    <xf numFmtId="2" fontId="10" fillId="4" borderId="13" xfId="0" applyNumberFormat="1" applyFont="1" applyFill="1" applyBorder="1" applyAlignment="1" applyProtection="1">
      <alignment horizontal="center"/>
    </xf>
    <xf numFmtId="2" fontId="19" fillId="4" borderId="6" xfId="0" applyNumberFormat="1" applyFont="1" applyFill="1" applyBorder="1" applyAlignment="1" applyProtection="1">
      <alignment horizontal="left" vertical="center"/>
    </xf>
    <xf numFmtId="2" fontId="19" fillId="4" borderId="26" xfId="0" applyNumberFormat="1" applyFont="1" applyFill="1" applyBorder="1" applyAlignment="1" applyProtection="1">
      <alignment horizontal="left" vertical="center"/>
    </xf>
    <xf numFmtId="2" fontId="19" fillId="4" borderId="12" xfId="0" applyNumberFormat="1" applyFont="1" applyFill="1" applyBorder="1" applyAlignment="1" applyProtection="1">
      <alignment vertical="center"/>
    </xf>
    <xf numFmtId="2" fontId="21" fillId="4" borderId="6" xfId="0" applyNumberFormat="1" applyFont="1" applyFill="1" applyBorder="1" applyAlignment="1" applyProtection="1">
      <alignment horizontal="left" vertical="center"/>
    </xf>
    <xf numFmtId="2" fontId="20" fillId="4" borderId="6" xfId="0" applyNumberFormat="1" applyFont="1" applyFill="1" applyBorder="1" applyAlignment="1" applyProtection="1">
      <alignment horizontal="left" vertical="center"/>
    </xf>
    <xf numFmtId="2" fontId="20" fillId="4" borderId="26" xfId="0" applyNumberFormat="1" applyFont="1" applyFill="1" applyBorder="1" applyAlignment="1" applyProtection="1">
      <alignment horizontal="left" vertical="center"/>
    </xf>
    <xf numFmtId="2" fontId="20" fillId="4" borderId="15"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2" xfId="0" applyNumberFormat="1" applyFont="1" applyFill="1" applyBorder="1" applyAlignment="1" applyProtection="1">
      <alignment horizontal="center" vertical="center"/>
    </xf>
    <xf numFmtId="2" fontId="15" fillId="4" borderId="13" xfId="0" applyNumberFormat="1" applyFont="1" applyFill="1" applyBorder="1" applyAlignment="1" applyProtection="1">
      <alignment horizontal="center" vertical="center"/>
    </xf>
    <xf numFmtId="0" fontId="0" fillId="4" borderId="13" xfId="0" applyFont="1" applyFill="1" applyBorder="1" applyAlignment="1">
      <alignment horizontal="center" vertical="center"/>
    </xf>
    <xf numFmtId="0" fontId="0" fillId="4" borderId="14" xfId="0" applyFont="1" applyFill="1" applyBorder="1" applyAlignment="1">
      <alignment horizontal="center" vertical="center"/>
    </xf>
    <xf numFmtId="38" fontId="17" fillId="5" borderId="6" xfId="0" applyNumberFormat="1" applyFont="1" applyFill="1" applyBorder="1" applyAlignment="1" applyProtection="1">
      <alignment horizontal="center" vertical="center"/>
    </xf>
    <xf numFmtId="38" fontId="17" fillId="5" borderId="0" xfId="0" applyNumberFormat="1" applyFont="1" applyFill="1" applyBorder="1" applyAlignment="1" applyProtection="1">
      <alignment horizontal="center" vertical="center"/>
    </xf>
    <xf numFmtId="38" fontId="15" fillId="4" borderId="0" xfId="0" applyNumberFormat="1" applyFont="1" applyFill="1" applyBorder="1" applyAlignment="1" applyProtection="1">
      <alignment horizontal="center" vertical="center"/>
    </xf>
    <xf numFmtId="38" fontId="15" fillId="4" borderId="11"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1"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4" fontId="15" fillId="4" borderId="0" xfId="0" applyNumberFormat="1" applyFont="1" applyFill="1" applyBorder="1" applyAlignment="1" applyProtection="1">
      <alignment horizontal="center" vertical="center"/>
    </xf>
    <xf numFmtId="164" fontId="15" fillId="4" borderId="11" xfId="0" applyNumberFormat="1" applyFont="1" applyFill="1" applyBorder="1" applyAlignment="1" applyProtection="1">
      <alignment horizontal="center" vertical="center"/>
    </xf>
    <xf numFmtId="9" fontId="23" fillId="4" borderId="6" xfId="1" applyFont="1" applyFill="1" applyBorder="1" applyAlignment="1" applyProtection="1">
      <alignment horizontal="center" vertical="center"/>
    </xf>
    <xf numFmtId="9" fontId="23" fillId="4" borderId="11"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1"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7" xfId="0" applyNumberFormat="1" applyFont="1" applyFill="1" applyBorder="1" applyAlignment="1" applyProtection="1">
      <alignment horizontal="center" vertical="center"/>
    </xf>
    <xf numFmtId="164" fontId="17" fillId="5" borderId="6" xfId="0" applyNumberFormat="1" applyFont="1" applyFill="1" applyBorder="1" applyAlignment="1" applyProtection="1">
      <alignment horizontal="center" vertical="center"/>
    </xf>
    <xf numFmtId="164" fontId="17" fillId="5" borderId="0"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7"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7" xfId="0" applyNumberFormat="1" applyFont="1" applyFill="1" applyBorder="1" applyAlignment="1" applyProtection="1">
      <alignment horizontal="center" vertical="center"/>
    </xf>
    <xf numFmtId="40" fontId="15" fillId="4" borderId="6"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1" xfId="0" applyNumberFormat="1" applyFont="1" applyFill="1" applyBorder="1" applyAlignment="1" applyProtection="1">
      <alignment horizontal="center" vertical="center"/>
    </xf>
    <xf numFmtId="38" fontId="17" fillId="5" borderId="15"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6"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18"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1" fontId="15" fillId="4" borderId="0" xfId="0" applyNumberFormat="1" applyFont="1" applyFill="1" applyBorder="1" applyAlignment="1" applyProtection="1">
      <alignment horizontal="center"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1" xfId="0" applyFont="1" applyFill="1" applyBorder="1" applyAlignment="1">
      <alignment horizontal="center" vertical="center" wrapText="1"/>
    </xf>
    <xf numFmtId="1" fontId="15" fillId="4" borderId="11" xfId="0" applyNumberFormat="1" applyFont="1" applyFill="1" applyBorder="1" applyAlignment="1" applyProtection="1">
      <alignment horizontal="center" vertical="center"/>
    </xf>
    <xf numFmtId="2" fontId="2" fillId="4" borderId="11" xfId="0" applyNumberFormat="1" applyFont="1" applyFill="1" applyBorder="1" applyAlignment="1">
      <alignment horizontal="center" vertical="center" wrapText="1"/>
    </xf>
    <xf numFmtId="1" fontId="15" fillId="4" borderId="31" xfId="0" applyNumberFormat="1" applyFont="1" applyFill="1" applyBorder="1" applyAlignment="1" applyProtection="1">
      <alignment horizontal="center" vertical="center"/>
    </xf>
    <xf numFmtId="167" fontId="13" fillId="4" borderId="11" xfId="0" applyNumberFormat="1" applyFont="1" applyFill="1" applyBorder="1" applyAlignment="1">
      <alignment horizontal="left"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167" fontId="13" fillId="4" borderId="7" xfId="0" applyNumberFormat="1" applyFont="1" applyFill="1" applyBorder="1" applyAlignment="1">
      <alignment horizontal="left" vertical="center" wrapText="1"/>
    </xf>
    <xf numFmtId="167" fontId="13" fillId="4" borderId="16" xfId="0" applyNumberFormat="1" applyFont="1" applyFill="1" applyBorder="1" applyAlignment="1">
      <alignment horizontal="left" vertical="center" wrapText="1"/>
    </xf>
    <xf numFmtId="0" fontId="0" fillId="4" borderId="24"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5" fontId="0" fillId="4" borderId="23" xfId="0" applyNumberFormat="1" applyFont="1" applyFill="1" applyBorder="1" applyAlignment="1">
      <alignment horizontal="center" vertical="center" wrapText="1"/>
    </xf>
    <xf numFmtId="165"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5"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4" fontId="17" fillId="4" borderId="0" xfId="0" applyNumberFormat="1" applyFont="1" applyFill="1" applyBorder="1" applyAlignment="1" applyProtection="1">
      <alignment horizontal="center" vertical="center"/>
    </xf>
    <xf numFmtId="164" fontId="17" fillId="4" borderId="11" xfId="0" applyNumberFormat="1" applyFont="1" applyFill="1" applyBorder="1" applyAlignment="1" applyProtection="1">
      <alignment horizontal="center" vertical="center"/>
    </xf>
    <xf numFmtId="165" fontId="8" fillId="4" borderId="0" xfId="0" applyNumberFormat="1" applyFont="1" applyFill="1" applyBorder="1" applyAlignment="1">
      <alignment horizontal="center" vertical="center" wrapText="1"/>
    </xf>
    <xf numFmtId="165" fontId="8" fillId="4" borderId="11" xfId="0" applyNumberFormat="1" applyFont="1" applyFill="1" applyBorder="1" applyAlignment="1">
      <alignment horizontal="center" vertical="center" wrapText="1"/>
    </xf>
    <xf numFmtId="165" fontId="0" fillId="4" borderId="30" xfId="0" applyNumberFormat="1" applyFill="1" applyBorder="1" applyAlignment="1">
      <alignment horizontal="center" vertical="center" wrapText="1"/>
    </xf>
    <xf numFmtId="165" fontId="0" fillId="4" borderId="31" xfId="0" applyNumberFormat="1" applyFill="1" applyBorder="1" applyAlignment="1">
      <alignment horizontal="center" vertical="center" wrapText="1"/>
    </xf>
    <xf numFmtId="165" fontId="0" fillId="4" borderId="0" xfId="0" applyNumberFormat="1" applyFill="1" applyBorder="1" applyAlignment="1">
      <alignment horizontal="center" vertical="center" wrapText="1"/>
    </xf>
    <xf numFmtId="165" fontId="0" fillId="4" borderId="11" xfId="0" applyNumberFormat="1" applyFill="1" applyBorder="1" applyAlignment="1">
      <alignment horizontal="center" vertical="center" wrapText="1"/>
    </xf>
    <xf numFmtId="165" fontId="8" fillId="4" borderId="30" xfId="0" applyNumberFormat="1" applyFont="1" applyFill="1" applyBorder="1" applyAlignment="1">
      <alignment horizontal="center" vertical="center" wrapText="1"/>
    </xf>
    <xf numFmtId="167" fontId="13" fillId="4" borderId="0" xfId="0" applyNumberFormat="1" applyFont="1" applyFill="1" applyBorder="1" applyAlignment="1">
      <alignment horizontal="center" vertical="center" wrapText="1"/>
    </xf>
    <xf numFmtId="0" fontId="24" fillId="5" borderId="28" xfId="0" applyFont="1" applyFill="1" applyBorder="1" applyAlignment="1">
      <alignment horizontal="center" vertical="center" wrapText="1"/>
    </xf>
    <xf numFmtId="0" fontId="24" fillId="5" borderId="2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8"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5" fontId="0" fillId="5" borderId="30"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6" xfId="0" applyNumberFormat="1" applyFont="1" applyFill="1" applyBorder="1" applyAlignment="1" applyProtection="1">
      <alignment horizontal="center" vertical="center"/>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3" xfId="0" applyBorder="1" applyAlignment="1">
      <alignment horizontal="left" vertical="center" wrapText="1"/>
    </xf>
    <xf numFmtId="0" fontId="0" fillId="0" borderId="34" xfId="0" applyBorder="1" applyAlignment="1">
      <alignment horizontal="left" vertical="center" wrapText="1"/>
    </xf>
    <xf numFmtId="0" fontId="0" fillId="0" borderId="25"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5"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19" xfId="0" applyNumberFormat="1" applyFont="1" applyFill="1" applyBorder="1" applyAlignment="1" applyProtection="1">
      <alignment horizontal="center" vertical="center"/>
    </xf>
    <xf numFmtId="2" fontId="19" fillId="4" borderId="24" xfId="0" applyNumberFormat="1" applyFont="1" applyFill="1" applyBorder="1" applyAlignment="1" applyProtection="1">
      <alignment horizontal="left" vertical="center"/>
    </xf>
    <xf numFmtId="1" fontId="15" fillId="4" borderId="17" xfId="0" applyNumberFormat="1" applyFont="1" applyFill="1" applyBorder="1" applyAlignment="1" applyProtection="1">
      <alignment horizontal="center" vertical="center"/>
    </xf>
    <xf numFmtId="1" fontId="15" fillId="4" borderId="18" xfId="0" applyNumberFormat="1" applyFont="1" applyFill="1" applyBorder="1" applyAlignment="1" applyProtection="1">
      <alignment horizontal="center" vertical="center"/>
    </xf>
    <xf numFmtId="0" fontId="24" fillId="5" borderId="35" xfId="0" applyFont="1" applyFill="1" applyBorder="1" applyAlignment="1">
      <alignment horizontal="center" vertical="center" wrapText="1"/>
    </xf>
    <xf numFmtId="2" fontId="17" fillId="4" borderId="15" xfId="0" applyNumberFormat="1" applyFont="1" applyFill="1" applyBorder="1" applyAlignment="1" applyProtection="1">
      <alignment horizontal="center" vertical="center"/>
    </xf>
    <xf numFmtId="2" fontId="17" fillId="4" borderId="7"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38" fontId="15" fillId="4" borderId="13" xfId="0" applyNumberFormat="1" applyFont="1" applyFill="1" applyBorder="1" applyAlignment="1" applyProtection="1">
      <alignment horizontal="center" vertical="center"/>
    </xf>
    <xf numFmtId="38" fontId="17" fillId="4" borderId="15" xfId="0" applyNumberFormat="1" applyFont="1" applyFill="1" applyBorder="1" applyAlignment="1" applyProtection="1">
      <alignment horizontal="center" vertical="center"/>
    </xf>
    <xf numFmtId="38" fontId="17" fillId="4" borderId="7" xfId="0" applyNumberFormat="1" applyFont="1" applyFill="1" applyBorder="1" applyAlignment="1" applyProtection="1">
      <alignment horizontal="center" vertical="center"/>
    </xf>
    <xf numFmtId="9" fontId="23" fillId="4" borderId="17" xfId="1" applyFont="1" applyFill="1" applyBorder="1" applyAlignment="1" applyProtection="1">
      <alignment horizontal="center" vertical="center"/>
    </xf>
    <xf numFmtId="9" fontId="23" fillId="4" borderId="18"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164" fontId="15" fillId="4" borderId="6"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9"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5" xfId="0" applyFont="1" applyFill="1" applyBorder="1" applyAlignment="1">
      <alignment horizontal="left" vertical="center"/>
    </xf>
    <xf numFmtId="165" fontId="0" fillId="4" borderId="30"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1" xfId="0" applyNumberFormat="1" applyFont="1" applyFill="1" applyBorder="1" applyAlignment="1">
      <alignment horizontal="center" vertical="center" wrapText="1"/>
    </xf>
    <xf numFmtId="40" fontId="17" fillId="4" borderId="11" xfId="0" applyNumberFormat="1" applyFont="1" applyFill="1" applyBorder="1" applyAlignment="1" applyProtection="1">
      <alignment horizontal="center" vertical="center"/>
    </xf>
    <xf numFmtId="2" fontId="20" fillId="4" borderId="6" xfId="0" applyNumberFormat="1" applyFont="1" applyFill="1" applyBorder="1" applyAlignment="1" applyProtection="1">
      <alignment vertical="center" wrapText="1"/>
    </xf>
    <xf numFmtId="2" fontId="20" fillId="4" borderId="23" xfId="0" applyNumberFormat="1" applyFont="1" applyFill="1" applyBorder="1" applyAlignment="1" applyProtection="1">
      <alignment vertical="center" wrapText="1"/>
    </xf>
    <xf numFmtId="2" fontId="19" fillId="4" borderId="24" xfId="0" applyNumberFormat="1" applyFont="1" applyFill="1" applyBorder="1" applyAlignment="1" applyProtection="1">
      <alignment vertical="center"/>
    </xf>
    <xf numFmtId="0" fontId="14" fillId="0" borderId="6" xfId="0" applyFont="1" applyBorder="1"/>
    <xf numFmtId="2" fontId="19" fillId="4" borderId="23" xfId="0" applyNumberFormat="1" applyFont="1" applyFill="1" applyBorder="1" applyAlignment="1" applyProtection="1">
      <alignment horizontal="left" vertical="center"/>
    </xf>
    <xf numFmtId="2" fontId="2" fillId="4" borderId="6" xfId="0" applyNumberFormat="1" applyFont="1" applyFill="1" applyBorder="1" applyAlignment="1">
      <alignment horizontal="center" vertical="center" wrapText="1"/>
    </xf>
    <xf numFmtId="1" fontId="15" fillId="3" borderId="17" xfId="0" applyNumberFormat="1" applyFont="1" applyFill="1" applyBorder="1" applyAlignment="1" applyProtection="1">
      <alignment horizontal="center" vertical="center"/>
    </xf>
    <xf numFmtId="0" fontId="9" fillId="4" borderId="6" xfId="0" applyFont="1" applyFill="1" applyBorder="1" applyAlignment="1">
      <alignment vertical="center"/>
    </xf>
    <xf numFmtId="0" fontId="9" fillId="4" borderId="15" xfId="0" applyFont="1" applyFill="1" applyBorder="1" applyAlignment="1">
      <alignment vertical="center"/>
    </xf>
    <xf numFmtId="0" fontId="0" fillId="4" borderId="13" xfId="0" applyFont="1" applyFill="1" applyBorder="1" applyAlignment="1">
      <alignment horizontal="center" vertical="center" wrapText="1"/>
    </xf>
    <xf numFmtId="0" fontId="0" fillId="4" borderId="37" xfId="0" applyFont="1" applyFill="1" applyBorder="1" applyAlignment="1">
      <alignment horizontal="center" vertical="center" wrapText="1"/>
    </xf>
    <xf numFmtId="0" fontId="0" fillId="4" borderId="14" xfId="0" applyFont="1" applyFill="1" applyBorder="1" applyAlignment="1">
      <alignment horizontal="center" vertical="center" wrapText="1"/>
    </xf>
    <xf numFmtId="9" fontId="2" fillId="4" borderId="6" xfId="1" applyFont="1" applyFill="1" applyBorder="1" applyAlignment="1">
      <alignment horizontal="center" vertical="center" wrapText="1"/>
    </xf>
    <xf numFmtId="9" fontId="2" fillId="4" borderId="15" xfId="1" applyFont="1" applyFill="1" applyBorder="1" applyAlignment="1">
      <alignment horizontal="center" vertical="center" wrapText="1"/>
    </xf>
    <xf numFmtId="1" fontId="15" fillId="4" borderId="26" xfId="0" applyNumberFormat="1" applyFont="1" applyFill="1" applyBorder="1" applyAlignment="1" applyProtection="1">
      <alignment horizontal="center" vertical="center"/>
    </xf>
    <xf numFmtId="38" fontId="17" fillId="4" borderId="26" xfId="0" applyNumberFormat="1" applyFont="1" applyFill="1" applyBorder="1" applyAlignment="1" applyProtection="1">
      <alignment horizontal="center" vertical="center"/>
    </xf>
    <xf numFmtId="38" fontId="15" fillId="4" borderId="26" xfId="0" applyNumberFormat="1" applyFont="1" applyFill="1" applyBorder="1" applyAlignment="1" applyProtection="1">
      <alignment horizontal="center" vertical="center"/>
    </xf>
    <xf numFmtId="0" fontId="2" fillId="4" borderId="0" xfId="0" applyFont="1" applyFill="1" applyAlignment="1">
      <alignment horizontal="left" vertical="center"/>
    </xf>
    <xf numFmtId="2" fontId="17" fillId="0" borderId="0" xfId="0" applyNumberFormat="1" applyFont="1" applyFill="1" applyBorder="1" applyAlignment="1" applyProtection="1">
      <alignment horizontal="center" vertical="center"/>
    </xf>
    <xf numFmtId="2" fontId="17" fillId="0" borderId="11" xfId="0" applyNumberFormat="1" applyFont="1" applyFill="1" applyBorder="1" applyAlignment="1" applyProtection="1">
      <alignment horizontal="center" vertical="center"/>
    </xf>
    <xf numFmtId="0" fontId="0" fillId="0" borderId="0" xfId="0" applyBorder="1"/>
    <xf numFmtId="165" fontId="8" fillId="4" borderId="31" xfId="0" applyNumberFormat="1" applyFont="1" applyFill="1" applyBorder="1" applyAlignment="1">
      <alignment horizontal="center" vertical="center" wrapText="1"/>
    </xf>
    <xf numFmtId="164" fontId="15" fillId="4" borderId="30" xfId="0" applyNumberFormat="1" applyFont="1" applyFill="1" applyBorder="1" applyAlignment="1" applyProtection="1">
      <alignment horizontal="center" vertical="center"/>
    </xf>
    <xf numFmtId="38" fontId="17" fillId="5" borderId="38" xfId="0" applyNumberFormat="1" applyFont="1" applyFill="1" applyBorder="1" applyAlignment="1" applyProtection="1">
      <alignment horizontal="center" vertical="center"/>
    </xf>
    <xf numFmtId="164" fontId="17" fillId="5" borderId="30" xfId="0" applyNumberFormat="1" applyFont="1" applyFill="1" applyBorder="1" applyAlignment="1" applyProtection="1">
      <alignment horizontal="center" vertical="center"/>
    </xf>
    <xf numFmtId="164" fontId="17" fillId="5" borderId="18" xfId="0" applyNumberFormat="1" applyFont="1" applyFill="1" applyBorder="1" applyAlignment="1" applyProtection="1">
      <alignment horizontal="center" vertical="center"/>
    </xf>
    <xf numFmtId="38" fontId="17" fillId="4" borderId="18" xfId="0" applyNumberFormat="1" applyFont="1" applyFill="1" applyBorder="1" applyAlignment="1" applyProtection="1">
      <alignment horizontal="center" vertical="center"/>
    </xf>
    <xf numFmtId="40" fontId="17" fillId="5" borderId="18" xfId="0" applyNumberFormat="1" applyFont="1" applyFill="1" applyBorder="1" applyAlignment="1" applyProtection="1">
      <alignment horizontal="center" vertical="center"/>
    </xf>
    <xf numFmtId="2" fontId="17" fillId="0" borderId="39" xfId="0" applyNumberFormat="1" applyFont="1" applyFill="1" applyBorder="1" applyAlignment="1" applyProtection="1">
      <alignment horizontal="center" vertical="center"/>
    </xf>
    <xf numFmtId="38" fontId="17" fillId="5" borderId="11" xfId="0" applyNumberFormat="1" applyFont="1" applyFill="1" applyBorder="1" applyAlignment="1">
      <alignment horizontal="center" vertical="center"/>
    </xf>
    <xf numFmtId="164" fontId="15" fillId="4" borderId="30" xfId="0" applyNumberFormat="1" applyFont="1" applyFill="1" applyBorder="1" applyAlignment="1">
      <alignment horizontal="center" vertical="center"/>
    </xf>
    <xf numFmtId="9" fontId="23" fillId="4" borderId="21" xfId="1" applyFont="1" applyFill="1" applyBorder="1" applyAlignment="1">
      <alignment horizontal="center" vertical="center"/>
    </xf>
    <xf numFmtId="38" fontId="17" fillId="5" borderId="36" xfId="0" applyNumberFormat="1" applyFont="1" applyFill="1" applyBorder="1" applyAlignment="1">
      <alignment horizontal="center" vertical="center"/>
    </xf>
    <xf numFmtId="166" fontId="23" fillId="4" borderId="21" xfId="1" applyNumberFormat="1" applyFont="1" applyFill="1" applyBorder="1" applyAlignment="1">
      <alignment horizontal="center" vertical="center"/>
    </xf>
    <xf numFmtId="164" fontId="17" fillId="5" borderId="31" xfId="0" applyNumberFormat="1" applyFont="1" applyFill="1" applyBorder="1" applyAlignment="1">
      <alignment horizontal="center" vertical="center"/>
    </xf>
    <xf numFmtId="40" fontId="17" fillId="4" borderId="16" xfId="0" applyNumberFormat="1" applyFont="1" applyFill="1" applyBorder="1" applyAlignment="1">
      <alignment horizontal="center" vertical="center"/>
    </xf>
    <xf numFmtId="1" fontId="15" fillId="4" borderId="19" xfId="0" applyNumberFormat="1" applyFont="1" applyFill="1" applyBorder="1" applyAlignment="1">
      <alignment horizontal="center" vertical="center"/>
    </xf>
    <xf numFmtId="164" fontId="17" fillId="5"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38" fontId="17" fillId="4" borderId="19"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5" fillId="4" borderId="14" xfId="0" applyNumberFormat="1" applyFont="1" applyFill="1" applyBorder="1" applyAlignment="1">
      <alignment horizontal="center" vertical="center"/>
    </xf>
    <xf numFmtId="9" fontId="23" fillId="4" borderId="11" xfId="1" applyFont="1" applyFill="1" applyBorder="1" applyAlignment="1">
      <alignment horizontal="center" vertical="center"/>
    </xf>
    <xf numFmtId="40" fontId="15" fillId="4" borderId="11" xfId="0" applyNumberFormat="1" applyFont="1" applyFill="1" applyBorder="1" applyAlignment="1">
      <alignment horizontal="center" vertical="center"/>
    </xf>
    <xf numFmtId="38" fontId="17" fillId="5" borderId="16" xfId="0" applyNumberFormat="1" applyFont="1" applyFill="1" applyBorder="1" applyAlignment="1">
      <alignment horizontal="center" vertical="center"/>
    </xf>
    <xf numFmtId="40" fontId="17" fillId="4" borderId="39" xfId="0" applyNumberFormat="1" applyFont="1" applyFill="1" applyBorder="1" applyAlignment="1" applyProtection="1">
      <alignment horizontal="center" vertical="center"/>
    </xf>
    <xf numFmtId="0" fontId="0" fillId="5" borderId="30" xfId="0" applyFont="1" applyFill="1" applyBorder="1" applyAlignment="1">
      <alignment horizontal="center" vertical="center" wrapText="1"/>
    </xf>
    <xf numFmtId="0" fontId="0" fillId="4" borderId="30" xfId="0" applyFont="1" applyFill="1" applyBorder="1" applyAlignment="1">
      <alignment horizontal="center" vertical="center" wrapText="1"/>
    </xf>
    <xf numFmtId="167" fontId="13" fillId="4" borderId="7" xfId="0" applyNumberFormat="1" applyFont="1" applyFill="1" applyBorder="1" applyAlignment="1">
      <alignment horizontal="center" vertical="center" wrapText="1"/>
    </xf>
    <xf numFmtId="1" fontId="15" fillId="4" borderId="30" xfId="0" applyNumberFormat="1" applyFont="1" applyFill="1" applyBorder="1" applyAlignment="1" applyProtection="1">
      <alignment horizontal="center" vertical="center"/>
    </xf>
    <xf numFmtId="1" fontId="15" fillId="2" borderId="41" xfId="0" applyNumberFormat="1" applyFont="1" applyFill="1" applyBorder="1" applyAlignment="1" applyProtection="1">
      <alignment horizontal="center" vertical="center"/>
    </xf>
    <xf numFmtId="2" fontId="15" fillId="4" borderId="9" xfId="0" applyNumberFormat="1" applyFont="1" applyFill="1" applyBorder="1" applyAlignment="1" applyProtection="1">
      <alignment vertical="center"/>
    </xf>
    <xf numFmtId="1" fontId="15" fillId="4" borderId="9" xfId="0" applyNumberFormat="1" applyFont="1" applyFill="1" applyBorder="1" applyAlignment="1" applyProtection="1">
      <alignment horizontal="center" vertical="center"/>
    </xf>
    <xf numFmtId="167" fontId="13" fillId="4" borderId="32" xfId="0" applyNumberFormat="1" applyFont="1" applyFill="1" applyBorder="1" applyAlignment="1">
      <alignment horizontal="left" vertical="center" wrapText="1"/>
    </xf>
    <xf numFmtId="2" fontId="4" fillId="4" borderId="14" xfId="0" applyNumberFormat="1" applyFont="1" applyFill="1" applyBorder="1" applyAlignment="1" applyProtection="1">
      <alignment vertical="center"/>
    </xf>
    <xf numFmtId="165" fontId="0" fillId="5" borderId="31" xfId="0" applyNumberFormat="1" applyFill="1" applyBorder="1" applyAlignment="1">
      <alignment horizontal="center" vertical="center" wrapText="1"/>
    </xf>
    <xf numFmtId="40" fontId="0" fillId="5" borderId="21" xfId="0" applyNumberFormat="1" applyFont="1" applyFill="1" applyBorder="1" applyAlignment="1">
      <alignment horizontal="center" vertical="center" wrapText="1"/>
    </xf>
    <xf numFmtId="165" fontId="8" fillId="4" borderId="23" xfId="0" applyNumberFormat="1" applyFont="1" applyFill="1" applyBorder="1" applyAlignment="1">
      <alignment horizontal="center" vertical="center" wrapText="1"/>
    </xf>
    <xf numFmtId="1" fontId="15" fillId="4" borderId="40" xfId="0" applyNumberFormat="1" applyFont="1" applyFill="1" applyBorder="1" applyAlignment="1" applyProtection="1">
      <alignment horizontal="center" vertical="center"/>
    </xf>
    <xf numFmtId="0" fontId="0" fillId="5" borderId="31"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21" xfId="0" applyFill="1" applyBorder="1" applyAlignment="1">
      <alignment horizontal="center" vertical="center" wrapText="1"/>
    </xf>
    <xf numFmtId="2" fontId="11" fillId="4" borderId="3" xfId="0" applyNumberFormat="1" applyFont="1" applyFill="1" applyBorder="1" applyAlignment="1" applyProtection="1"/>
    <xf numFmtId="2" fontId="10" fillId="4" borderId="25"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5"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9" xfId="0" applyFont="1" applyFill="1" applyBorder="1"/>
    <xf numFmtId="0" fontId="2" fillId="4" borderId="25" xfId="0" applyFont="1" applyFill="1" applyBorder="1"/>
    <xf numFmtId="0" fontId="0" fillId="4" borderId="5" xfId="0" applyFont="1" applyFill="1" applyBorder="1"/>
    <xf numFmtId="1" fontId="15" fillId="5" borderId="0" xfId="0" applyNumberFormat="1" applyFont="1" applyFill="1" applyAlignment="1">
      <alignment horizontal="center" vertical="center"/>
    </xf>
    <xf numFmtId="1" fontId="15" fillId="5" borderId="11" xfId="0" applyNumberFormat="1" applyFont="1" applyFill="1" applyBorder="1" applyAlignment="1">
      <alignment horizontal="center" vertical="center"/>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1"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1"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1"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6" xfId="0" applyNumberFormat="1" applyFont="1" applyFill="1" applyBorder="1" applyAlignment="1" applyProtection="1">
      <alignment horizontal="center" vertical="center"/>
    </xf>
    <xf numFmtId="0" fontId="2" fillId="4" borderId="0" xfId="0" applyFont="1" applyFill="1" applyAlignment="1">
      <alignment horizontal="left" vertical="center"/>
    </xf>
    <xf numFmtId="0" fontId="2" fillId="4" borderId="6" xfId="0" applyFont="1" applyFill="1" applyBorder="1" applyAlignment="1">
      <alignment horizontal="left" vertical="center"/>
    </xf>
    <xf numFmtId="0" fontId="2" fillId="4" borderId="0" xfId="0" applyFont="1" applyFill="1" applyBorder="1" applyAlignment="1">
      <alignment horizontal="left" vertical="center"/>
    </xf>
    <xf numFmtId="0" fontId="0" fillId="0" borderId="0" xfId="0" applyFill="1" applyBorder="1" applyAlignment="1">
      <alignment horizontal="center" vertical="center"/>
    </xf>
    <xf numFmtId="2" fontId="3" fillId="0" borderId="6"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1" xfId="0" applyFont="1" applyFill="1" applyBorder="1" applyAlignment="1">
      <alignment horizontal="left" vertical="center"/>
    </xf>
    <xf numFmtId="0" fontId="0" fillId="4" borderId="0" xfId="0" applyFill="1" applyAlignment="1">
      <alignment horizontal="center" vertical="center"/>
    </xf>
    <xf numFmtId="0" fontId="0" fillId="0" borderId="0" xfId="0" applyFont="1" applyAlignment="1">
      <alignment horizontal="left"/>
    </xf>
    <xf numFmtId="0" fontId="0" fillId="0" borderId="33" xfId="0" applyBorder="1" applyAlignment="1">
      <alignment horizontal="left" vertical="center" wrapText="1"/>
    </xf>
    <xf numFmtId="0" fontId="0" fillId="0" borderId="29"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xf numFmtId="44" fontId="13" fillId="4" borderId="9" xfId="2" applyFont="1" applyFill="1" applyBorder="1" applyAlignment="1">
      <alignment horizontal="center" vertical="center" wrapText="1"/>
    </xf>
    <xf numFmtId="44" fontId="13" fillId="4" borderId="0" xfId="2" applyFont="1" applyFill="1" applyBorder="1" applyAlignment="1">
      <alignment horizontal="center" vertical="center" wrapText="1"/>
    </xf>
    <xf numFmtId="44" fontId="13" fillId="4" borderId="11" xfId="2" applyFont="1" applyFill="1" applyBorder="1" applyAlignment="1">
      <alignment horizontal="center" vertical="center" wrapText="1"/>
    </xf>
    <xf numFmtId="2" fontId="19" fillId="6" borderId="6" xfId="0" applyNumberFormat="1" applyFont="1" applyFill="1" applyBorder="1" applyAlignment="1">
      <alignment horizontal="left" vertical="center"/>
    </xf>
    <xf numFmtId="2" fontId="15" fillId="6" borderId="15" xfId="0" applyNumberFormat="1" applyFont="1" applyFill="1" applyBorder="1" applyAlignment="1">
      <alignment horizontal="center" vertical="center"/>
    </xf>
    <xf numFmtId="2" fontId="15" fillId="6" borderId="7" xfId="0" applyNumberFormat="1" applyFont="1" applyFill="1" applyBorder="1" applyAlignment="1">
      <alignment horizontal="center" vertical="center"/>
    </xf>
    <xf numFmtId="2" fontId="15" fillId="6" borderId="22" xfId="0" applyNumberFormat="1" applyFont="1" applyFill="1" applyBorder="1" applyAlignment="1">
      <alignment horizontal="center" vertical="center"/>
    </xf>
    <xf numFmtId="2" fontId="15" fillId="6" borderId="16" xfId="0" applyNumberFormat="1" applyFont="1" applyFill="1" applyBorder="1" applyAlignment="1">
      <alignment horizontal="center" vertical="center"/>
    </xf>
    <xf numFmtId="1" fontId="15" fillId="6" borderId="0" xfId="0" applyNumberFormat="1" applyFont="1" applyFill="1" applyBorder="1" applyAlignment="1" applyProtection="1">
      <alignment horizontal="center" vertical="center"/>
    </xf>
    <xf numFmtId="1" fontId="15" fillId="6" borderId="9" xfId="0" applyNumberFormat="1" applyFont="1" applyFill="1" applyBorder="1" applyAlignment="1" applyProtection="1">
      <alignment horizontal="center" vertical="center"/>
    </xf>
    <xf numFmtId="1" fontId="15" fillId="6" borderId="11" xfId="0" applyNumberFormat="1" applyFont="1" applyFill="1" applyBorder="1" applyAlignment="1" applyProtection="1">
      <alignment horizontal="center" vertical="center"/>
    </xf>
    <xf numFmtId="1" fontId="15" fillId="6" borderId="6" xfId="0" applyNumberFormat="1" applyFont="1" applyFill="1" applyBorder="1" applyAlignment="1" applyProtection="1">
      <alignment horizontal="center" vertical="center"/>
    </xf>
    <xf numFmtId="2" fontId="19" fillId="6" borderId="6" xfId="0" applyNumberFormat="1" applyFont="1" applyFill="1" applyBorder="1" applyAlignment="1" applyProtection="1">
      <alignment horizontal="left" vertic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marker>
            <c:symbol val="none"/>
          </c:marker>
          <c:val>
            <c:numRef>
              <c:f>'4. Valoración'!$H$22:$N$22</c:f>
              <c:numCache>
                <c:formatCode>_("$"* #,##0.00_);_("$"* \(#,##0.00\);_("$"* "-"??_);_(@_)</c:formatCode>
                <c:ptCount val="7"/>
                <c:pt idx="1">
                  <c:v>63.297637795275591</c:v>
                </c:pt>
                <c:pt idx="2">
                  <c:v>68.99969999999999</c:v>
                </c:pt>
                <c:pt idx="3">
                  <c:v>76.146097499999982</c:v>
                </c:pt>
                <c:pt idx="4">
                  <c:v>84.463594303846151</c:v>
                </c:pt>
                <c:pt idx="5">
                  <c:v>94.247293977374994</c:v>
                </c:pt>
                <c:pt idx="6">
                  <c:v>105.89968668730499</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_-;\-[$€-2]\ * #,##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554182</xdr:colOff>
      <xdr:row>3</xdr:row>
      <xdr:rowOff>0</xdr:rowOff>
    </xdr:from>
    <xdr:to>
      <xdr:col>1</xdr:col>
      <xdr:colOff>2357632</xdr:colOff>
      <xdr:row>4</xdr:row>
      <xdr:rowOff>150091</xdr:rowOff>
    </xdr:to>
    <xdr:pic>
      <xdr:nvPicPr>
        <xdr:cNvPr id="2" name="Picture 2" descr="Resultado de imagen de aercap logo">
          <a:extLst>
            <a:ext uri="{FF2B5EF4-FFF2-40B4-BE49-F238E27FC236}">
              <a16:creationId xmlns:a16="http://schemas.microsoft.com/office/drawing/2014/main" id="{7AA2242C-0BF1-E440-B18E-BD8770ABE6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08182" y="808182"/>
          <a:ext cx="1803450" cy="357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723900</xdr:colOff>
      <xdr:row>4</xdr:row>
      <xdr:rowOff>76200</xdr:rowOff>
    </xdr:from>
    <xdr:to>
      <xdr:col>1</xdr:col>
      <xdr:colOff>2527350</xdr:colOff>
      <xdr:row>6</xdr:row>
      <xdr:rowOff>53109</xdr:rowOff>
    </xdr:to>
    <xdr:pic>
      <xdr:nvPicPr>
        <xdr:cNvPr id="4" name="Picture 2" descr="Resultado de imagen de aercap logo">
          <a:extLst>
            <a:ext uri="{FF2B5EF4-FFF2-40B4-BE49-F238E27FC236}">
              <a16:creationId xmlns:a16="http://schemas.microsoft.com/office/drawing/2014/main" id="{ABEA08B9-E8F3-2544-BC3F-064C0E04E2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0600" y="863600"/>
          <a:ext cx="1803450" cy="357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812800</xdr:colOff>
      <xdr:row>4</xdr:row>
      <xdr:rowOff>63500</xdr:rowOff>
    </xdr:from>
    <xdr:to>
      <xdr:col>1</xdr:col>
      <xdr:colOff>2616250</xdr:colOff>
      <xdr:row>6</xdr:row>
      <xdr:rowOff>40409</xdr:rowOff>
    </xdr:to>
    <xdr:pic>
      <xdr:nvPicPr>
        <xdr:cNvPr id="5" name="Picture 2" descr="Resultado de imagen de aercap logo">
          <a:extLst>
            <a:ext uri="{FF2B5EF4-FFF2-40B4-BE49-F238E27FC236}">
              <a16:creationId xmlns:a16="http://schemas.microsoft.com/office/drawing/2014/main" id="{21F6D49A-8BBD-8D4C-9B39-F902A36C47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30300" y="838200"/>
          <a:ext cx="1803450" cy="357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3810</xdr:colOff>
      <xdr:row>25</xdr:row>
      <xdr:rowOff>61912</xdr:rowOff>
    </xdr:from>
    <xdr:to>
      <xdr:col>10</xdr:col>
      <xdr:colOff>348615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393700</xdr:colOff>
      <xdr:row>4</xdr:row>
      <xdr:rowOff>0</xdr:rowOff>
    </xdr:from>
    <xdr:to>
      <xdr:col>1</xdr:col>
      <xdr:colOff>2197150</xdr:colOff>
      <xdr:row>5</xdr:row>
      <xdr:rowOff>167409</xdr:rowOff>
    </xdr:to>
    <xdr:pic>
      <xdr:nvPicPr>
        <xdr:cNvPr id="4" name="Picture 2" descr="Resultado de imagen de aercap logo">
          <a:extLst>
            <a:ext uri="{FF2B5EF4-FFF2-40B4-BE49-F238E27FC236}">
              <a16:creationId xmlns:a16="http://schemas.microsoft.com/office/drawing/2014/main" id="{84AAB0E2-AC4F-A743-9167-6421DD93EF2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98500" y="774700"/>
          <a:ext cx="1803450" cy="357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zoomScale="110" zoomScaleNormal="110" workbookViewId="0">
      <selection activeCell="J26" sqref="J26:L26"/>
    </sheetView>
  </sheetViews>
  <sheetFormatPr baseColWidth="10" defaultColWidth="11.5" defaultRowHeight="16" outlineLevelRow="1" x14ac:dyDescent="0.2"/>
  <cols>
    <col min="1" max="1" width="3.33203125" style="39" customWidth="1"/>
    <col min="2" max="2" width="42.33203125" style="31" customWidth="1"/>
    <col min="3" max="8" width="11" style="75" customWidth="1"/>
    <col min="9" max="9" width="10.5" style="75" customWidth="1"/>
    <col min="10" max="14" width="11" style="75" customWidth="1"/>
    <col min="15" max="15" width="14.5" style="39" customWidth="1"/>
    <col min="16" max="16384" width="11.5" style="39"/>
  </cols>
  <sheetData>
    <row r="1" spans="2:19" ht="17" thickBot="1" x14ac:dyDescent="0.25"/>
    <row r="2" spans="2:19" ht="30" customHeight="1" x14ac:dyDescent="0.2">
      <c r="B2" s="275"/>
      <c r="C2" s="278"/>
      <c r="D2" s="278"/>
      <c r="E2" s="278"/>
      <c r="F2" s="278"/>
      <c r="G2" s="278"/>
      <c r="H2" s="278"/>
      <c r="I2" s="278"/>
      <c r="J2" s="278"/>
      <c r="K2" s="278"/>
      <c r="L2" s="278"/>
      <c r="M2" s="278"/>
      <c r="N2" s="279"/>
      <c r="O2" s="26"/>
      <c r="P2" s="26"/>
      <c r="Q2" s="14"/>
      <c r="R2" s="14"/>
    </row>
    <row r="3" spans="2:19" ht="16" customHeight="1" x14ac:dyDescent="0.2">
      <c r="B3" s="276"/>
      <c r="C3" s="280"/>
      <c r="D3" s="280"/>
      <c r="E3" s="280"/>
      <c r="F3" s="280"/>
      <c r="G3" s="280"/>
      <c r="H3" s="280"/>
      <c r="I3" s="280"/>
      <c r="J3" s="280"/>
      <c r="K3" s="280"/>
      <c r="L3" s="280"/>
      <c r="M3" s="280"/>
      <c r="N3" s="281"/>
      <c r="O3" s="26"/>
      <c r="P3" s="26"/>
      <c r="Q3" s="14"/>
      <c r="R3" s="14"/>
    </row>
    <row r="4" spans="2:19" ht="16" customHeight="1" x14ac:dyDescent="0.2">
      <c r="B4" s="276"/>
      <c r="C4" s="280"/>
      <c r="D4" s="280"/>
      <c r="E4" s="280"/>
      <c r="F4" s="280"/>
      <c r="G4" s="280"/>
      <c r="H4" s="280"/>
      <c r="I4" s="280"/>
      <c r="J4" s="280"/>
      <c r="K4" s="280"/>
      <c r="L4" s="280"/>
      <c r="M4" s="280"/>
      <c r="N4" s="281"/>
      <c r="O4" s="26"/>
      <c r="P4" s="26"/>
      <c r="Q4" s="14"/>
      <c r="R4" s="14"/>
    </row>
    <row r="5" spans="2:19" ht="16" customHeight="1" x14ac:dyDescent="0.2">
      <c r="B5" s="276"/>
      <c r="C5" s="280"/>
      <c r="D5" s="280"/>
      <c r="E5" s="280"/>
      <c r="F5" s="280"/>
      <c r="G5" s="280"/>
      <c r="H5" s="280"/>
      <c r="I5" s="280"/>
      <c r="J5" s="280"/>
      <c r="K5" s="280"/>
      <c r="L5" s="280"/>
      <c r="M5" s="280"/>
      <c r="N5" s="281"/>
      <c r="O5" s="26"/>
      <c r="P5" s="26"/>
      <c r="Q5" s="14"/>
      <c r="R5" s="14"/>
    </row>
    <row r="6" spans="2:19" ht="16" customHeight="1" x14ac:dyDescent="0.2">
      <c r="B6" s="276"/>
      <c r="C6" s="280"/>
      <c r="D6" s="280"/>
      <c r="E6" s="280"/>
      <c r="F6" s="280"/>
      <c r="G6" s="280"/>
      <c r="H6" s="280"/>
      <c r="I6" s="280"/>
      <c r="J6" s="280"/>
      <c r="K6" s="280"/>
      <c r="L6" s="280"/>
      <c r="M6" s="280"/>
      <c r="N6" s="281"/>
      <c r="O6" s="26"/>
      <c r="P6" s="26"/>
      <c r="Q6" s="14"/>
    </row>
    <row r="7" spans="2:19" ht="16" customHeight="1" thickBot="1" x14ac:dyDescent="0.25">
      <c r="B7" s="276"/>
      <c r="C7" s="282"/>
      <c r="D7" s="282"/>
      <c r="E7" s="282"/>
      <c r="F7" s="282"/>
      <c r="G7" s="282"/>
      <c r="H7" s="282"/>
      <c r="I7" s="282"/>
      <c r="J7" s="282"/>
      <c r="K7" s="282"/>
      <c r="L7" s="282"/>
      <c r="M7" s="282"/>
      <c r="N7" s="283"/>
      <c r="O7" s="26"/>
      <c r="P7" s="26"/>
      <c r="Q7" s="14"/>
    </row>
    <row r="8" spans="2:19" ht="16" customHeight="1" thickBot="1" x14ac:dyDescent="0.25">
      <c r="B8" s="277"/>
      <c r="C8" s="32">
        <v>2014</v>
      </c>
      <c r="D8" s="33">
        <v>2015</v>
      </c>
      <c r="E8" s="33">
        <v>2016</v>
      </c>
      <c r="F8" s="33">
        <v>2017</v>
      </c>
      <c r="G8" s="33">
        <v>2018</v>
      </c>
      <c r="H8" s="33">
        <v>2019</v>
      </c>
      <c r="I8" s="33">
        <v>2020</v>
      </c>
      <c r="J8" s="205">
        <v>2021</v>
      </c>
      <c r="K8" s="112">
        <v>2022</v>
      </c>
      <c r="L8" s="112">
        <v>2023</v>
      </c>
      <c r="M8" s="112">
        <v>2024</v>
      </c>
      <c r="N8" s="113">
        <v>2025</v>
      </c>
      <c r="O8" s="14"/>
      <c r="P8" s="14"/>
      <c r="Q8" s="14"/>
    </row>
    <row r="9" spans="2:19" ht="16" customHeight="1" x14ac:dyDescent="0.2">
      <c r="B9" s="68" t="s">
        <v>28</v>
      </c>
      <c r="C9" s="76"/>
      <c r="D9" s="77"/>
      <c r="E9" s="77"/>
      <c r="F9" s="77"/>
      <c r="G9" s="77"/>
      <c r="H9" s="77"/>
      <c r="I9" s="77"/>
      <c r="J9" s="76"/>
      <c r="K9" s="77"/>
      <c r="L9" s="77"/>
      <c r="M9" s="78"/>
      <c r="N9" s="79"/>
      <c r="O9" s="14"/>
      <c r="P9" s="14"/>
      <c r="Q9" s="14"/>
    </row>
    <row r="10" spans="2:19" ht="16" customHeight="1" thickBot="1" x14ac:dyDescent="0.25">
      <c r="B10" s="66" t="s">
        <v>15</v>
      </c>
      <c r="C10" s="80"/>
      <c r="D10" s="81"/>
      <c r="E10" s="81">
        <v>4867</v>
      </c>
      <c r="F10" s="81">
        <v>5037</v>
      </c>
      <c r="G10" s="81">
        <v>4799</v>
      </c>
      <c r="H10" s="81">
        <v>4937</v>
      </c>
      <c r="I10" s="228">
        <v>4493</v>
      </c>
      <c r="J10" s="82">
        <f>(I10*$P$11)+I10</f>
        <v>4627.79</v>
      </c>
      <c r="K10" s="82">
        <f>(J10*$P$11)+J10</f>
        <v>4766.6237000000001</v>
      </c>
      <c r="L10" s="82">
        <f>(K10*$P$11)+K10</f>
        <v>4909.6224110000003</v>
      </c>
      <c r="M10" s="82">
        <f>(L10*$P$11)+L10</f>
        <v>5056.9110833300001</v>
      </c>
      <c r="N10" s="83">
        <f>(M10*$P$11)+M10</f>
        <v>5208.6184158299002</v>
      </c>
      <c r="O10" s="14"/>
      <c r="P10" s="14"/>
      <c r="Q10" s="14"/>
    </row>
    <row r="11" spans="2:19" ht="15.75" customHeight="1" thickBot="1" x14ac:dyDescent="0.25">
      <c r="B11" s="69" t="s">
        <v>27</v>
      </c>
      <c r="C11" s="189" t="e">
        <f t="shared" ref="C11:D11" si="0">(C10-B10)/B10</f>
        <v>#VALUE!</v>
      </c>
      <c r="D11" s="85" t="e">
        <f t="shared" si="0"/>
        <v>#DIV/0!</v>
      </c>
      <c r="E11" s="85" t="e">
        <f t="shared" ref="E11" si="1">(E10-D10)/D10</f>
        <v>#DIV/0!</v>
      </c>
      <c r="F11" s="85">
        <f t="shared" ref="F11" si="2">(F10-E10)/E10</f>
        <v>3.4929114444216147E-2</v>
      </c>
      <c r="G11" s="85">
        <f t="shared" ref="G11" si="3">(G10-F10)/F10</f>
        <v>-4.7250347429025216E-2</v>
      </c>
      <c r="H11" s="85">
        <f>(H10-G10)/G10</f>
        <v>2.8755990831423214E-2</v>
      </c>
      <c r="I11" s="230">
        <f t="shared" ref="I11" si="4">(I10-H10)/H10</f>
        <v>-8.9933157788130449E-2</v>
      </c>
      <c r="J11" s="85">
        <f>$P$11</f>
        <v>0.03</v>
      </c>
      <c r="K11" s="85">
        <f>$P$11</f>
        <v>0.03</v>
      </c>
      <c r="L11" s="85">
        <f>$P$11</f>
        <v>0.03</v>
      </c>
      <c r="M11" s="85">
        <f>$P$11</f>
        <v>0.03</v>
      </c>
      <c r="N11" s="86">
        <f>$P$11</f>
        <v>0.03</v>
      </c>
      <c r="O11" s="40" t="s">
        <v>25</v>
      </c>
      <c r="P11" s="10">
        <v>0.03</v>
      </c>
      <c r="Q11" s="14"/>
      <c r="S11"/>
    </row>
    <row r="12" spans="2:19" ht="16" customHeight="1" x14ac:dyDescent="0.2">
      <c r="B12" s="67" t="s">
        <v>6</v>
      </c>
      <c r="C12" s="190">
        <f t="shared" ref="C12:E12" si="5">C15+C14</f>
        <v>0</v>
      </c>
      <c r="D12" s="89">
        <f t="shared" si="5"/>
        <v>0</v>
      </c>
      <c r="E12" s="89">
        <f t="shared" si="5"/>
        <v>0</v>
      </c>
      <c r="F12" s="89">
        <f>F15+F14</f>
        <v>4135</v>
      </c>
      <c r="G12" s="89">
        <f>G15+G14</f>
        <v>4044</v>
      </c>
      <c r="H12" s="221">
        <f>H15+H14</f>
        <v>4548</v>
      </c>
      <c r="I12" s="229">
        <f t="shared" ref="I12" si="6">I15+I14</f>
        <v>3665</v>
      </c>
      <c r="J12" s="190">
        <f t="shared" ref="J12:N12" si="7">J15+J14</f>
        <v>4054.5228999999999</v>
      </c>
      <c r="K12" s="89">
        <f t="shared" si="7"/>
        <v>4176.1585869999999</v>
      </c>
      <c r="L12" s="89">
        <f t="shared" si="7"/>
        <v>4301.4433446100002</v>
      </c>
      <c r="M12" s="89">
        <f t="shared" si="7"/>
        <v>4430.4866449482997</v>
      </c>
      <c r="N12" s="90">
        <f t="shared" si="7"/>
        <v>4563.4012442967487</v>
      </c>
      <c r="O12" s="14"/>
      <c r="P12" s="20"/>
      <c r="Q12" s="14"/>
    </row>
    <row r="13" spans="2:19" ht="16" customHeight="1" x14ac:dyDescent="0.2">
      <c r="B13" s="69" t="s">
        <v>16</v>
      </c>
      <c r="C13" s="189" t="e">
        <f t="shared" ref="C13:G13" si="8">(C12/C10)</f>
        <v>#DIV/0!</v>
      </c>
      <c r="D13" s="85" t="e">
        <f t="shared" si="8"/>
        <v>#DIV/0!</v>
      </c>
      <c r="E13" s="85">
        <f t="shared" si="8"/>
        <v>0</v>
      </c>
      <c r="F13" s="85">
        <f t="shared" si="8"/>
        <v>0.82092515386142551</v>
      </c>
      <c r="G13" s="85">
        <f t="shared" si="8"/>
        <v>0.84267555740779332</v>
      </c>
      <c r="H13" s="85">
        <f t="shared" ref="H13:I13" si="9">(H12/H10)</f>
        <v>0.92120721085679558</v>
      </c>
      <c r="I13" s="230">
        <f t="shared" si="9"/>
        <v>0.81571333184954375</v>
      </c>
      <c r="J13" s="91">
        <f>J12/J10</f>
        <v>0.87612508346316487</v>
      </c>
      <c r="K13" s="84">
        <f>K12/K10</f>
        <v>0.87612508346316487</v>
      </c>
      <c r="L13" s="84">
        <f>L12/L10</f>
        <v>0.87612508346316487</v>
      </c>
      <c r="M13" s="84">
        <f>M12/M10</f>
        <v>0.87612508346316487</v>
      </c>
      <c r="N13" s="92">
        <f>N12/N10</f>
        <v>0.87612508346316487</v>
      </c>
      <c r="O13" s="14"/>
      <c r="P13" s="14"/>
      <c r="Q13" s="14"/>
    </row>
    <row r="14" spans="2:19" ht="16" customHeight="1" thickBot="1" x14ac:dyDescent="0.25">
      <c r="B14" s="70" t="s">
        <v>0</v>
      </c>
      <c r="C14" s="80"/>
      <c r="D14" s="81"/>
      <c r="E14" s="81"/>
      <c r="F14" s="222">
        <v>1727</v>
      </c>
      <c r="G14" s="222">
        <v>1676</v>
      </c>
      <c r="H14" s="222">
        <f>1676+167</f>
        <v>1843</v>
      </c>
      <c r="I14" s="231">
        <v>1645</v>
      </c>
      <c r="J14" s="93">
        <f>(I14*$P$11)+I14</f>
        <v>1694.35</v>
      </c>
      <c r="K14" s="93">
        <f>(J14*$P$11)+J14</f>
        <v>1745.1804999999999</v>
      </c>
      <c r="L14" s="93">
        <f>(K14*$P$11)+K14</f>
        <v>1797.5359149999999</v>
      </c>
      <c r="M14" s="93">
        <f>(L14*$P$11)+L14</f>
        <v>1851.46199245</v>
      </c>
      <c r="N14" s="94">
        <f>(M14*$P$11)+M14</f>
        <v>1907.0058522234999</v>
      </c>
      <c r="O14" s="14"/>
      <c r="P14" s="14"/>
      <c r="Q14" s="14"/>
    </row>
    <row r="15" spans="2:19" ht="16" customHeight="1" outlineLevel="1" thickBot="1" x14ac:dyDescent="0.25">
      <c r="B15" s="66" t="s">
        <v>7</v>
      </c>
      <c r="C15" s="147"/>
      <c r="D15" s="148"/>
      <c r="E15" s="148"/>
      <c r="F15" s="148">
        <f>1235+61+1112</f>
        <v>2408</v>
      </c>
      <c r="G15" s="148">
        <f>1150+44+1174</f>
        <v>2368</v>
      </c>
      <c r="H15" s="148">
        <f>1340+70+1295</f>
        <v>2705</v>
      </c>
      <c r="I15" s="180">
        <f>-314+1086+1248</f>
        <v>2020</v>
      </c>
      <c r="J15" s="82">
        <f>J10*$P$16</f>
        <v>2360.1729</v>
      </c>
      <c r="K15" s="82">
        <f>K10*$P$16</f>
        <v>2430.978087</v>
      </c>
      <c r="L15" s="82">
        <f>L10*$P$16</f>
        <v>2503.9074296100002</v>
      </c>
      <c r="M15" s="82">
        <f>M10*$P$16</f>
        <v>2579.0246524982999</v>
      </c>
      <c r="N15" s="83">
        <f>N10*$P$16</f>
        <v>2656.3953920732492</v>
      </c>
      <c r="O15" s="14"/>
      <c r="P15" s="14"/>
      <c r="Q15" s="14"/>
    </row>
    <row r="16" spans="2:19" ht="16" customHeight="1" outlineLevel="1" thickBot="1" x14ac:dyDescent="0.25">
      <c r="B16" s="69" t="s">
        <v>17</v>
      </c>
      <c r="C16" s="189" t="e">
        <f t="shared" ref="C16:E16" si="10">(C15/C10)</f>
        <v>#DIV/0!</v>
      </c>
      <c r="D16" s="85" t="e">
        <f t="shared" si="10"/>
        <v>#DIV/0!</v>
      </c>
      <c r="E16" s="85">
        <f t="shared" si="10"/>
        <v>0</v>
      </c>
      <c r="F16" s="85">
        <f>(F15/F10)</f>
        <v>0.47806233869366688</v>
      </c>
      <c r="G16" s="85">
        <f>(G15/G10)</f>
        <v>0.49343613252760993</v>
      </c>
      <c r="H16" s="85">
        <f>(H15/H10)</f>
        <v>0.54790358517318205</v>
      </c>
      <c r="I16" s="232">
        <f t="shared" ref="I16" si="11">(I15/I10)</f>
        <v>0.44958824838637879</v>
      </c>
      <c r="J16" s="91">
        <f t="shared" ref="J16:N16" si="12">(J15/J10)</f>
        <v>0.51</v>
      </c>
      <c r="K16" s="84">
        <f t="shared" si="12"/>
        <v>0.51</v>
      </c>
      <c r="L16" s="84">
        <f t="shared" si="12"/>
        <v>0.51</v>
      </c>
      <c r="M16" s="84">
        <f t="shared" si="12"/>
        <v>0.51</v>
      </c>
      <c r="N16" s="92">
        <f t="shared" si="12"/>
        <v>0.51</v>
      </c>
      <c r="O16" s="40" t="s">
        <v>24</v>
      </c>
      <c r="P16" s="17">
        <v>0.51</v>
      </c>
      <c r="Q16" s="14"/>
    </row>
    <row r="17" spans="2:17" ht="16" customHeight="1" outlineLevel="1" x14ac:dyDescent="0.2">
      <c r="B17" s="199" t="s">
        <v>46</v>
      </c>
      <c r="C17" s="97"/>
      <c r="D17" s="98"/>
      <c r="E17" s="98"/>
      <c r="F17" s="98">
        <v>1112</v>
      </c>
      <c r="G17" s="98">
        <v>1174</v>
      </c>
      <c r="H17" s="223">
        <v>1295</v>
      </c>
      <c r="I17" s="233">
        <v>1248</v>
      </c>
      <c r="J17" s="137">
        <f>(I17*$P$11)+I17</f>
        <v>1285.44</v>
      </c>
      <c r="K17" s="137">
        <f>(J17*$P$11)+J17</f>
        <v>1324.0032000000001</v>
      </c>
      <c r="L17" s="137">
        <f>(K17*$P$11)+K17</f>
        <v>1363.7232960000001</v>
      </c>
      <c r="M17" s="137">
        <f>(L17*$P$11)+L17</f>
        <v>1404.63499488</v>
      </c>
      <c r="N17" s="138">
        <f>(M17*$P$11)+M17</f>
        <v>1446.7740447264</v>
      </c>
      <c r="O17" s="14"/>
      <c r="P17" s="14"/>
      <c r="Q17" s="14"/>
    </row>
    <row r="18" spans="2:17" ht="16" customHeight="1" outlineLevel="1" thickBot="1" x14ac:dyDescent="0.25">
      <c r="B18" s="200" t="s">
        <v>70</v>
      </c>
      <c r="C18" s="181"/>
      <c r="D18" s="182"/>
      <c r="E18" s="182"/>
      <c r="F18" s="182"/>
      <c r="G18" s="182"/>
      <c r="H18" s="182"/>
      <c r="I18" s="234"/>
      <c r="J18" s="227"/>
      <c r="K18" s="137"/>
      <c r="L18" s="217"/>
      <c r="M18" s="137"/>
      <c r="N18" s="218"/>
      <c r="O18" s="14"/>
      <c r="P18" s="14"/>
      <c r="Q18" s="14"/>
    </row>
    <row r="19" spans="2:17" ht="16" customHeight="1" thickBot="1" x14ac:dyDescent="0.25">
      <c r="B19" s="177" t="s">
        <v>1</v>
      </c>
      <c r="C19" s="178">
        <f>C15-C17-C18</f>
        <v>0</v>
      </c>
      <c r="D19" s="179">
        <f t="shared" ref="D19:H19" si="13">D15-D17-D18</f>
        <v>0</v>
      </c>
      <c r="E19" s="179">
        <f t="shared" si="13"/>
        <v>0</v>
      </c>
      <c r="F19" s="179">
        <f t="shared" si="13"/>
        <v>1296</v>
      </c>
      <c r="G19" s="179">
        <f t="shared" si="13"/>
        <v>1194</v>
      </c>
      <c r="H19" s="179">
        <f t="shared" si="13"/>
        <v>1410</v>
      </c>
      <c r="I19" s="235">
        <f t="shared" ref="I19" si="14">I15-I17</f>
        <v>772</v>
      </c>
      <c r="J19" s="213">
        <f t="shared" ref="J19:N19" si="15">J15-J17-J18</f>
        <v>1074.7329</v>
      </c>
      <c r="K19" s="95">
        <f t="shared" si="15"/>
        <v>1106.9748869999999</v>
      </c>
      <c r="L19" s="95">
        <f t="shared" si="15"/>
        <v>1140.1841336100001</v>
      </c>
      <c r="M19" s="95">
        <f t="shared" si="15"/>
        <v>1174.3896576182999</v>
      </c>
      <c r="N19" s="96">
        <f t="shared" si="15"/>
        <v>1209.6213473468492</v>
      </c>
      <c r="O19" s="14"/>
      <c r="P19" s="14"/>
      <c r="Q19" s="14"/>
    </row>
    <row r="20" spans="2:17" ht="16" customHeight="1" collapsed="1" thickBot="1" x14ac:dyDescent="0.25">
      <c r="B20" s="70" t="s">
        <v>2</v>
      </c>
      <c r="C20" s="97"/>
      <c r="D20" s="98"/>
      <c r="E20" s="98"/>
      <c r="F20" s="98">
        <v>164</v>
      </c>
      <c r="G20" s="98">
        <v>144</v>
      </c>
      <c r="H20" s="224">
        <v>167</v>
      </c>
      <c r="I20" s="236">
        <v>92</v>
      </c>
      <c r="J20" s="93">
        <f t="shared" ref="J20:N20" si="16">J19*J21</f>
        <v>128.96794799999998</v>
      </c>
      <c r="K20" s="93">
        <f t="shared" si="16"/>
        <v>132.83698643999998</v>
      </c>
      <c r="L20" s="93">
        <f t="shared" si="16"/>
        <v>136.82209603320001</v>
      </c>
      <c r="M20" s="93">
        <f t="shared" si="16"/>
        <v>140.92675891419597</v>
      </c>
      <c r="N20" s="94">
        <f t="shared" si="16"/>
        <v>145.15456168162191</v>
      </c>
      <c r="O20" s="14"/>
      <c r="P20" s="14"/>
      <c r="Q20" s="14"/>
    </row>
    <row r="21" spans="2:17" ht="16" customHeight="1" thickBot="1" x14ac:dyDescent="0.25">
      <c r="B21" s="69" t="s">
        <v>10</v>
      </c>
      <c r="C21" s="187" t="e">
        <f t="shared" ref="C21:G21" si="17">(C20/C19)</f>
        <v>#DIV/0!</v>
      </c>
      <c r="D21" s="188" t="e">
        <f t="shared" si="17"/>
        <v>#DIV/0!</v>
      </c>
      <c r="E21" s="188" t="e">
        <f t="shared" si="17"/>
        <v>#DIV/0!</v>
      </c>
      <c r="F21" s="188">
        <f t="shared" si="17"/>
        <v>0.12654320987654322</v>
      </c>
      <c r="G21" s="188">
        <f t="shared" si="17"/>
        <v>0.12060301507537688</v>
      </c>
      <c r="H21" s="188">
        <f t="shared" ref="H21:I21" si="18">(H20/H19)</f>
        <v>0.11843971631205674</v>
      </c>
      <c r="I21" s="237">
        <f t="shared" si="18"/>
        <v>0.11917098445595854</v>
      </c>
      <c r="J21" s="91">
        <f>$P$21</f>
        <v>0.12</v>
      </c>
      <c r="K21" s="84">
        <f>$P$21</f>
        <v>0.12</v>
      </c>
      <c r="L21" s="84">
        <f>$P$21</f>
        <v>0.12</v>
      </c>
      <c r="M21" s="84">
        <f>$P$21</f>
        <v>0.12</v>
      </c>
      <c r="N21" s="92">
        <f>$P$21</f>
        <v>0.12</v>
      </c>
      <c r="O21" s="40" t="s">
        <v>26</v>
      </c>
      <c r="P21" s="11">
        <v>0.12</v>
      </c>
      <c r="Q21" s="14"/>
    </row>
    <row r="22" spans="2:17" ht="16" customHeight="1" thickBot="1" x14ac:dyDescent="0.25">
      <c r="B22" s="71" t="s">
        <v>3</v>
      </c>
      <c r="C22" s="185">
        <f t="shared" ref="C22:G22" si="19">C19-C20</f>
        <v>0</v>
      </c>
      <c r="D22" s="186">
        <f t="shared" si="19"/>
        <v>0</v>
      </c>
      <c r="E22" s="186">
        <f t="shared" si="19"/>
        <v>0</v>
      </c>
      <c r="F22" s="186">
        <f t="shared" si="19"/>
        <v>1132</v>
      </c>
      <c r="G22" s="186">
        <f t="shared" si="19"/>
        <v>1050</v>
      </c>
      <c r="H22" s="225">
        <f t="shared" ref="H22:I22" si="20">H19-H20</f>
        <v>1243</v>
      </c>
      <c r="I22" s="238">
        <f t="shared" si="20"/>
        <v>680</v>
      </c>
      <c r="J22" s="214">
        <f t="shared" ref="J22:N22" si="21">J19-J20</f>
        <v>945.76495199999999</v>
      </c>
      <c r="K22" s="99">
        <f t="shared" si="21"/>
        <v>974.13790055999993</v>
      </c>
      <c r="L22" s="99">
        <f t="shared" si="21"/>
        <v>1003.3620375768</v>
      </c>
      <c r="M22" s="99">
        <f t="shared" si="21"/>
        <v>1033.462898704104</v>
      </c>
      <c r="N22" s="100">
        <f t="shared" si="21"/>
        <v>1064.4667856652272</v>
      </c>
      <c r="O22" s="14"/>
      <c r="P22" s="14"/>
      <c r="Q22" s="14"/>
    </row>
    <row r="23" spans="2:17" ht="16" customHeight="1" thickBot="1" x14ac:dyDescent="0.25">
      <c r="B23" s="70" t="s">
        <v>4</v>
      </c>
      <c r="C23" s="155"/>
      <c r="D23" s="156"/>
      <c r="E23" s="156"/>
      <c r="F23" s="156">
        <v>4</v>
      </c>
      <c r="G23" s="156">
        <v>1</v>
      </c>
      <c r="H23" s="226">
        <v>21</v>
      </c>
      <c r="I23" s="239">
        <v>3</v>
      </c>
      <c r="J23" s="244">
        <f>I23*(1+$P$11)</f>
        <v>3.09</v>
      </c>
      <c r="K23" s="87">
        <f>J23*(1+$P$11)</f>
        <v>3.1827000000000001</v>
      </c>
      <c r="L23" s="87">
        <f>K23*(1+$P$11)</f>
        <v>3.278181</v>
      </c>
      <c r="M23" s="87">
        <f>L23*(1+$P$11)</f>
        <v>3.3765264300000002</v>
      </c>
      <c r="N23" s="198">
        <f>M23*(1+$P$11)</f>
        <v>3.4778222229000004</v>
      </c>
      <c r="O23" s="14"/>
      <c r="P23" s="14"/>
      <c r="Q23" s="14"/>
    </row>
    <row r="24" spans="2:17" ht="16" customHeight="1" x14ac:dyDescent="0.2">
      <c r="B24" s="67" t="s">
        <v>5</v>
      </c>
      <c r="C24" s="183">
        <f t="shared" ref="C24:G24" si="22">C22-C23</f>
        <v>0</v>
      </c>
      <c r="D24" s="184">
        <f t="shared" si="22"/>
        <v>0</v>
      </c>
      <c r="E24" s="184">
        <f t="shared" si="22"/>
        <v>0</v>
      </c>
      <c r="F24" s="184">
        <f t="shared" si="22"/>
        <v>1128</v>
      </c>
      <c r="G24" s="184">
        <f t="shared" si="22"/>
        <v>1049</v>
      </c>
      <c r="H24" s="184">
        <f t="shared" ref="H24:I24" si="23">H22-H23</f>
        <v>1222</v>
      </c>
      <c r="I24" s="240">
        <f t="shared" si="23"/>
        <v>677</v>
      </c>
      <c r="J24" s="215">
        <f t="shared" ref="J24:N24" si="24">J22-J23</f>
        <v>942.67495199999996</v>
      </c>
      <c r="K24" s="101">
        <f t="shared" si="24"/>
        <v>970.95520055999998</v>
      </c>
      <c r="L24" s="101">
        <f t="shared" si="24"/>
        <v>1000.0838565768</v>
      </c>
      <c r="M24" s="101">
        <f t="shared" si="24"/>
        <v>1030.086372274104</v>
      </c>
      <c r="N24" s="102">
        <f t="shared" si="24"/>
        <v>1060.9889634423273</v>
      </c>
      <c r="O24" s="14"/>
      <c r="P24" s="14"/>
      <c r="Q24" s="14"/>
    </row>
    <row r="25" spans="2:17" ht="16" customHeight="1" x14ac:dyDescent="0.2">
      <c r="B25" s="69" t="s">
        <v>29</v>
      </c>
      <c r="C25" s="91" t="e">
        <f t="shared" ref="C25:G25" si="25">C24/C10</f>
        <v>#DIV/0!</v>
      </c>
      <c r="D25" s="84" t="e">
        <f t="shared" si="25"/>
        <v>#DIV/0!</v>
      </c>
      <c r="E25" s="84">
        <f t="shared" si="25"/>
        <v>0</v>
      </c>
      <c r="F25" s="84">
        <f t="shared" si="25"/>
        <v>0.22394282310899344</v>
      </c>
      <c r="G25" s="84">
        <f t="shared" si="25"/>
        <v>0.21858720566784748</v>
      </c>
      <c r="H25" s="84">
        <f t="shared" ref="H25:N25" si="26">H24/H10</f>
        <v>0.2475187360745392</v>
      </c>
      <c r="I25" s="241">
        <f t="shared" si="26"/>
        <v>0.15067883374137547</v>
      </c>
      <c r="J25" s="91">
        <f t="shared" si="26"/>
        <v>0.20369873135989316</v>
      </c>
      <c r="K25" s="84">
        <f t="shared" si="26"/>
        <v>0.20369873135989316</v>
      </c>
      <c r="L25" s="84">
        <f t="shared" si="26"/>
        <v>0.20369873135989316</v>
      </c>
      <c r="M25" s="84">
        <f t="shared" si="26"/>
        <v>0.20369873135989316</v>
      </c>
      <c r="N25" s="92">
        <f t="shared" si="26"/>
        <v>0.20369873135989319</v>
      </c>
      <c r="O25" s="14"/>
      <c r="P25" s="14"/>
      <c r="Q25" s="14"/>
    </row>
    <row r="26" spans="2:17" ht="16" customHeight="1" x14ac:dyDescent="0.2">
      <c r="B26" s="66" t="s">
        <v>18</v>
      </c>
      <c r="C26" s="103" t="e">
        <f t="shared" ref="C26:G26" si="27">C24/C27</f>
        <v>#DIV/0!</v>
      </c>
      <c r="D26" s="104" t="e">
        <f t="shared" si="27"/>
        <v>#DIV/0!</v>
      </c>
      <c r="E26" s="104" t="e">
        <f t="shared" si="27"/>
        <v>#DIV/0!</v>
      </c>
      <c r="F26" s="104">
        <f t="shared" si="27"/>
        <v>6.7544910179640718</v>
      </c>
      <c r="G26" s="104">
        <f t="shared" si="27"/>
        <v>7.0878378378378377</v>
      </c>
      <c r="H26" s="104">
        <f t="shared" ref="H26:I26" si="28">H24/H27</f>
        <v>9.0518518518518523</v>
      </c>
      <c r="I26" s="242">
        <f t="shared" si="28"/>
        <v>5.3307086614173231</v>
      </c>
      <c r="J26" s="103">
        <f t="shared" ref="J26:N26" si="29">J24/J27</f>
        <v>7.8556245999999996</v>
      </c>
      <c r="K26" s="104">
        <f t="shared" si="29"/>
        <v>8.6692428621428572</v>
      </c>
      <c r="L26" s="104">
        <f t="shared" si="29"/>
        <v>9.6161909286230767</v>
      </c>
      <c r="M26" s="104">
        <f t="shared" si="29"/>
        <v>10.73006637785525</v>
      </c>
      <c r="N26" s="105">
        <f t="shared" si="29"/>
        <v>12.056692766390084</v>
      </c>
      <c r="O26" s="14"/>
      <c r="P26" s="14"/>
      <c r="Q26" s="14"/>
    </row>
    <row r="27" spans="2:17" ht="16" customHeight="1" thickBot="1" x14ac:dyDescent="0.25">
      <c r="B27" s="72" t="s">
        <v>47</v>
      </c>
      <c r="C27" s="106"/>
      <c r="D27" s="107"/>
      <c r="E27" s="107"/>
      <c r="F27" s="107">
        <v>167</v>
      </c>
      <c r="G27" s="107">
        <v>148</v>
      </c>
      <c r="H27" s="107">
        <v>135</v>
      </c>
      <c r="I27" s="243">
        <v>127</v>
      </c>
      <c r="J27" s="106">
        <v>120</v>
      </c>
      <c r="K27" s="107">
        <v>112</v>
      </c>
      <c r="L27" s="107">
        <v>104</v>
      </c>
      <c r="M27" s="107">
        <v>96</v>
      </c>
      <c r="N27" s="108">
        <v>88</v>
      </c>
      <c r="O27" s="14"/>
      <c r="P27" s="14"/>
      <c r="Q27" s="14"/>
    </row>
    <row r="28" spans="2:17" ht="16" customHeight="1" x14ac:dyDescent="0.2">
      <c r="B28" s="73"/>
      <c r="C28" s="87"/>
      <c r="D28" s="87"/>
      <c r="E28" s="87"/>
      <c r="F28" s="87"/>
      <c r="G28" s="87"/>
      <c r="H28" s="87"/>
      <c r="I28" s="87"/>
      <c r="J28" s="87"/>
      <c r="K28" s="87"/>
      <c r="L28" s="88"/>
      <c r="M28" s="109"/>
      <c r="N28" s="109"/>
      <c r="O28" s="14"/>
      <c r="P28" s="14"/>
      <c r="Q28" s="14"/>
    </row>
    <row r="29" spans="2:17" ht="16" customHeight="1" x14ac:dyDescent="0.2">
      <c r="B29" s="73"/>
      <c r="C29" s="88"/>
      <c r="D29" s="88"/>
      <c r="E29" s="88"/>
      <c r="F29" s="88"/>
      <c r="G29" s="88"/>
      <c r="H29" s="88"/>
      <c r="I29" s="88"/>
      <c r="J29" s="87"/>
      <c r="K29" s="87"/>
      <c r="L29" s="88"/>
      <c r="M29" s="109"/>
      <c r="N29" s="109"/>
      <c r="O29" s="14"/>
      <c r="P29" s="14"/>
      <c r="Q29" s="14"/>
    </row>
    <row r="30" spans="2:17" ht="16" customHeight="1" x14ac:dyDescent="0.2">
      <c r="B30" s="73"/>
      <c r="C30" s="87"/>
      <c r="D30" s="87"/>
      <c r="E30" s="87"/>
      <c r="F30" s="87"/>
      <c r="G30" s="87"/>
      <c r="H30" s="87"/>
      <c r="I30" s="87"/>
      <c r="J30" s="87"/>
      <c r="K30" s="87"/>
      <c r="L30" s="87"/>
      <c r="M30" s="109"/>
      <c r="N30" s="109"/>
      <c r="O30" s="14"/>
      <c r="P30" s="14"/>
      <c r="Q30" s="14"/>
    </row>
    <row r="31" spans="2:17" ht="16" customHeight="1" x14ac:dyDescent="0.2">
      <c r="B31" s="273"/>
      <c r="C31" s="273"/>
      <c r="D31" s="273"/>
      <c r="E31" s="273"/>
      <c r="F31" s="273"/>
      <c r="G31" s="273"/>
      <c r="H31" s="273"/>
      <c r="I31" s="273"/>
      <c r="J31" s="273"/>
      <c r="K31" s="273"/>
      <c r="L31" s="273"/>
      <c r="M31" s="110"/>
      <c r="N31" s="109"/>
      <c r="O31" s="14"/>
      <c r="P31" s="14"/>
      <c r="Q31" s="14"/>
    </row>
    <row r="32" spans="2:17" ht="16" customHeight="1" x14ac:dyDescent="0.2">
      <c r="B32" s="73"/>
      <c r="C32" s="87"/>
      <c r="D32" s="87"/>
      <c r="E32" s="87"/>
      <c r="F32" s="87"/>
      <c r="G32" s="87"/>
      <c r="H32" s="87"/>
      <c r="I32" s="87"/>
      <c r="J32" s="87"/>
      <c r="K32" s="87"/>
      <c r="L32" s="87"/>
      <c r="M32" s="110"/>
      <c r="N32" s="109"/>
    </row>
    <row r="33" spans="2:14" ht="16" customHeight="1" x14ac:dyDescent="0.2">
      <c r="B33" s="73"/>
      <c r="C33" s="82"/>
      <c r="D33" s="82"/>
      <c r="E33" s="82"/>
      <c r="F33" s="82"/>
      <c r="G33" s="82"/>
      <c r="H33" s="82"/>
      <c r="I33" s="82"/>
      <c r="J33" s="87"/>
      <c r="K33" s="87"/>
      <c r="L33" s="87"/>
      <c r="M33" s="110"/>
      <c r="N33" s="109"/>
    </row>
    <row r="34" spans="2:14" ht="16" customHeight="1" x14ac:dyDescent="0.2">
      <c r="B34" s="74"/>
      <c r="C34" s="104"/>
      <c r="D34" s="104"/>
      <c r="E34" s="104"/>
      <c r="F34" s="104"/>
      <c r="G34" s="104"/>
      <c r="H34" s="104"/>
      <c r="I34" s="104"/>
      <c r="J34" s="104"/>
      <c r="K34" s="104"/>
      <c r="L34" s="104"/>
      <c r="M34" s="110"/>
      <c r="N34" s="109"/>
    </row>
    <row r="35" spans="2:14" ht="16" customHeight="1" x14ac:dyDescent="0.2">
      <c r="B35" s="73"/>
      <c r="C35" s="87"/>
      <c r="D35" s="87"/>
      <c r="E35" s="87"/>
      <c r="F35" s="87"/>
      <c r="G35" s="88"/>
      <c r="H35" s="87"/>
      <c r="I35" s="87"/>
      <c r="J35" s="87"/>
      <c r="K35" s="87"/>
      <c r="L35" s="87"/>
      <c r="M35" s="110"/>
      <c r="N35" s="109"/>
    </row>
    <row r="36" spans="2:14" ht="16" customHeight="1" x14ac:dyDescent="0.2">
      <c r="B36" s="73"/>
      <c r="C36" s="88"/>
      <c r="D36" s="88"/>
      <c r="E36" s="87"/>
      <c r="F36" s="87"/>
      <c r="G36" s="87"/>
      <c r="H36" s="87"/>
      <c r="I36" s="87"/>
      <c r="J36" s="87"/>
      <c r="K36" s="87"/>
      <c r="L36" s="87"/>
      <c r="M36" s="110"/>
      <c r="N36" s="109"/>
    </row>
    <row r="37" spans="2:14" ht="16" customHeight="1" x14ac:dyDescent="0.2">
      <c r="B37" s="74"/>
      <c r="C37" s="104"/>
      <c r="D37" s="104"/>
      <c r="E37" s="104"/>
      <c r="F37" s="104"/>
      <c r="G37" s="104"/>
      <c r="H37" s="104"/>
      <c r="I37" s="104"/>
      <c r="J37" s="104"/>
      <c r="K37" s="104"/>
      <c r="L37" s="104"/>
      <c r="M37" s="110"/>
      <c r="N37" s="109"/>
    </row>
    <row r="38" spans="2:14" ht="16" customHeight="1" x14ac:dyDescent="0.2">
      <c r="B38" s="73"/>
      <c r="C38" s="87"/>
      <c r="D38" s="87"/>
      <c r="E38" s="87"/>
      <c r="F38" s="87"/>
      <c r="G38" s="87"/>
      <c r="H38" s="87"/>
      <c r="I38" s="87"/>
      <c r="J38" s="87"/>
      <c r="K38" s="87"/>
      <c r="L38" s="87"/>
      <c r="M38" s="110"/>
      <c r="N38" s="109"/>
    </row>
    <row r="39" spans="2:14" ht="16" customHeight="1" x14ac:dyDescent="0.2">
      <c r="B39" s="73"/>
      <c r="C39" s="87"/>
      <c r="D39" s="87"/>
      <c r="E39" s="87"/>
      <c r="F39" s="87"/>
      <c r="G39" s="87"/>
      <c r="H39" s="87"/>
      <c r="I39" s="87"/>
      <c r="J39" s="87"/>
      <c r="K39" s="87"/>
      <c r="L39" s="87"/>
      <c r="M39" s="110"/>
      <c r="N39" s="109"/>
    </row>
    <row r="40" spans="2:14" ht="16" customHeight="1" x14ac:dyDescent="0.2">
      <c r="B40" s="73"/>
      <c r="C40" s="87"/>
      <c r="D40" s="87"/>
      <c r="E40" s="87"/>
      <c r="F40" s="88"/>
      <c r="G40" s="87"/>
      <c r="H40" s="87"/>
      <c r="I40" s="87"/>
      <c r="J40" s="87"/>
      <c r="K40" s="87"/>
      <c r="L40" s="87"/>
      <c r="M40" s="110"/>
      <c r="N40" s="109"/>
    </row>
    <row r="41" spans="2:14" ht="16" customHeight="1" x14ac:dyDescent="0.2">
      <c r="B41" s="73"/>
      <c r="C41" s="88"/>
      <c r="D41" s="87"/>
      <c r="E41" s="87"/>
      <c r="F41" s="87"/>
      <c r="G41" s="87"/>
      <c r="H41" s="87"/>
      <c r="I41" s="87"/>
      <c r="J41" s="87"/>
      <c r="K41" s="87"/>
      <c r="L41" s="87"/>
      <c r="M41" s="110"/>
      <c r="N41" s="109"/>
    </row>
    <row r="42" spans="2:14" ht="16" customHeight="1" x14ac:dyDescent="0.2">
      <c r="B42" s="74"/>
      <c r="C42" s="104"/>
      <c r="D42" s="104"/>
      <c r="E42" s="104"/>
      <c r="F42" s="111"/>
      <c r="G42" s="104"/>
      <c r="H42" s="104"/>
      <c r="I42" s="104"/>
      <c r="J42" s="104"/>
      <c r="K42" s="104"/>
      <c r="L42" s="104"/>
      <c r="M42" s="110"/>
      <c r="N42" s="109"/>
    </row>
    <row r="43" spans="2:14" ht="16" customHeight="1" x14ac:dyDescent="0.2">
      <c r="B43" s="274"/>
      <c r="C43" s="274"/>
      <c r="D43" s="274"/>
      <c r="E43" s="274"/>
      <c r="F43" s="274"/>
      <c r="G43" s="274"/>
      <c r="H43" s="274"/>
      <c r="I43" s="274"/>
      <c r="J43" s="274"/>
      <c r="K43" s="274"/>
      <c r="L43" s="274"/>
      <c r="M43" s="109"/>
      <c r="N43" s="109"/>
    </row>
    <row r="44" spans="2:14" ht="16" customHeight="1" x14ac:dyDescent="0.2">
      <c r="B44" s="73"/>
      <c r="C44" s="87"/>
      <c r="D44" s="87"/>
      <c r="E44" s="87"/>
      <c r="F44" s="87"/>
      <c r="G44" s="87"/>
      <c r="H44" s="87"/>
      <c r="I44" s="87"/>
      <c r="J44" s="87"/>
      <c r="K44" s="87"/>
      <c r="L44" s="87"/>
      <c r="M44" s="109"/>
      <c r="N44" s="109"/>
    </row>
    <row r="45" spans="2:14" ht="16" customHeight="1" x14ac:dyDescent="0.2">
      <c r="B45" s="73"/>
      <c r="C45" s="87"/>
      <c r="D45" s="87"/>
      <c r="E45" s="87"/>
      <c r="F45" s="88"/>
      <c r="G45" s="87"/>
      <c r="H45" s="87"/>
      <c r="I45" s="87"/>
      <c r="J45" s="87"/>
      <c r="K45" s="87"/>
      <c r="L45" s="87"/>
      <c r="M45" s="109"/>
      <c r="N45" s="109"/>
    </row>
    <row r="46" spans="2:14" ht="16" customHeight="1" x14ac:dyDescent="0.2">
      <c r="B46" s="73"/>
      <c r="C46" s="87"/>
      <c r="D46" s="87"/>
      <c r="E46" s="87"/>
      <c r="F46" s="87"/>
      <c r="G46" s="87"/>
      <c r="H46" s="87"/>
      <c r="I46" s="87"/>
      <c r="J46" s="87"/>
      <c r="K46" s="87"/>
      <c r="L46" s="87"/>
      <c r="M46" s="109"/>
      <c r="N46" s="109"/>
    </row>
  </sheetData>
  <mergeCells count="4">
    <mergeCell ref="B31:L31"/>
    <mergeCell ref="B43:L43"/>
    <mergeCell ref="B2:B8"/>
    <mergeCell ref="C2:N7"/>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B30"/>
  <sheetViews>
    <sheetView workbookViewId="0">
      <selection activeCell="B2" sqref="B2:B8"/>
    </sheetView>
  </sheetViews>
  <sheetFormatPr baseColWidth="10" defaultColWidth="9.1640625" defaultRowHeight="16" x14ac:dyDescent="0.2"/>
  <cols>
    <col min="1" max="1" width="3.5" customWidth="1"/>
    <col min="2" max="2" width="46.5" style="29" customWidth="1"/>
    <col min="3" max="4" width="9.5" bestFit="1" customWidth="1"/>
    <col min="5" max="8" width="10.5" bestFit="1" customWidth="1"/>
    <col min="9" max="9" width="10.5" customWidth="1"/>
    <col min="10" max="14" width="10.5" bestFit="1" customWidth="1"/>
  </cols>
  <sheetData>
    <row r="1" spans="2:28" ht="17" thickBot="1" x14ac:dyDescent="0.25"/>
    <row r="2" spans="2:28" ht="15" customHeight="1" x14ac:dyDescent="0.2">
      <c r="B2" s="275"/>
      <c r="C2" s="285"/>
      <c r="D2" s="285"/>
      <c r="E2" s="285"/>
      <c r="F2" s="285"/>
      <c r="G2" s="285"/>
      <c r="H2" s="285"/>
      <c r="I2" s="285"/>
      <c r="J2" s="285"/>
      <c r="K2" s="285"/>
      <c r="L2" s="285"/>
      <c r="M2" s="285"/>
      <c r="N2" s="286"/>
    </row>
    <row r="3" spans="2:28" ht="15" customHeight="1" x14ac:dyDescent="0.2">
      <c r="B3" s="276"/>
      <c r="C3" s="287"/>
      <c r="D3" s="287"/>
      <c r="E3" s="287"/>
      <c r="F3" s="287"/>
      <c r="G3" s="287"/>
      <c r="H3" s="287"/>
      <c r="I3" s="287"/>
      <c r="J3" s="287"/>
      <c r="K3" s="287"/>
      <c r="L3" s="287"/>
      <c r="M3" s="287"/>
      <c r="N3" s="288"/>
    </row>
    <row r="4" spans="2:28" ht="15" customHeight="1" x14ac:dyDescent="0.2">
      <c r="B4" s="276"/>
      <c r="C4" s="287"/>
      <c r="D4" s="287"/>
      <c r="E4" s="287"/>
      <c r="F4" s="287"/>
      <c r="G4" s="287"/>
      <c r="H4" s="287"/>
      <c r="I4" s="287"/>
      <c r="J4" s="287"/>
      <c r="K4" s="287"/>
      <c r="L4" s="287"/>
      <c r="M4" s="287"/>
      <c r="N4" s="288"/>
    </row>
    <row r="5" spans="2:28" ht="15" customHeight="1" x14ac:dyDescent="0.2">
      <c r="B5" s="276"/>
      <c r="C5" s="287"/>
      <c r="D5" s="287"/>
      <c r="E5" s="287"/>
      <c r="F5" s="287"/>
      <c r="G5" s="287"/>
      <c r="H5" s="287"/>
      <c r="I5" s="287"/>
      <c r="J5" s="287"/>
      <c r="K5" s="287"/>
      <c r="L5" s="287"/>
      <c r="M5" s="287"/>
      <c r="N5" s="288"/>
    </row>
    <row r="6" spans="2:28" ht="15" customHeight="1" x14ac:dyDescent="0.2">
      <c r="B6" s="276"/>
      <c r="C6" s="287"/>
      <c r="D6" s="287"/>
      <c r="E6" s="287"/>
      <c r="F6" s="287"/>
      <c r="G6" s="287"/>
      <c r="H6" s="287"/>
      <c r="I6" s="287"/>
      <c r="J6" s="287"/>
      <c r="K6" s="287"/>
      <c r="L6" s="287"/>
      <c r="M6" s="287"/>
      <c r="N6" s="288"/>
    </row>
    <row r="7" spans="2:28" ht="48.75" customHeight="1" thickBot="1" x14ac:dyDescent="0.25">
      <c r="B7" s="276"/>
      <c r="C7" s="287"/>
      <c r="D7" s="287"/>
      <c r="E7" s="287"/>
      <c r="F7" s="287"/>
      <c r="G7" s="287"/>
      <c r="H7" s="287"/>
      <c r="I7" s="287"/>
      <c r="J7" s="287"/>
      <c r="K7" s="287"/>
      <c r="L7" s="287"/>
      <c r="M7" s="287"/>
      <c r="N7" s="288"/>
    </row>
    <row r="8" spans="2:28" ht="18.75" customHeight="1" thickBot="1" x14ac:dyDescent="0.25">
      <c r="B8" s="284"/>
      <c r="C8" s="33">
        <v>2014</v>
      </c>
      <c r="D8" s="33">
        <v>2015</v>
      </c>
      <c r="E8" s="33">
        <v>2016</v>
      </c>
      <c r="F8" s="33">
        <v>2017</v>
      </c>
      <c r="G8" s="33">
        <v>2018</v>
      </c>
      <c r="H8" s="33">
        <v>2019</v>
      </c>
      <c r="I8" s="176">
        <v>2020</v>
      </c>
      <c r="J8" s="205">
        <v>2021</v>
      </c>
      <c r="K8" s="112">
        <v>2022</v>
      </c>
      <c r="L8" s="112">
        <v>2023</v>
      </c>
      <c r="M8" s="112">
        <v>2024</v>
      </c>
      <c r="N8" s="113">
        <v>2025</v>
      </c>
    </row>
    <row r="9" spans="2:28" x14ac:dyDescent="0.2">
      <c r="B9" s="60" t="s">
        <v>30</v>
      </c>
      <c r="C9" s="34"/>
      <c r="D9" s="34"/>
      <c r="E9" s="34"/>
      <c r="F9" s="34"/>
      <c r="G9" s="34"/>
      <c r="H9" s="34"/>
      <c r="I9" s="253"/>
      <c r="J9" s="34"/>
      <c r="K9" s="34"/>
      <c r="L9" s="34"/>
      <c r="M9" s="35"/>
      <c r="N9" s="36"/>
    </row>
    <row r="10" spans="2:28" x14ac:dyDescent="0.2">
      <c r="B10" s="61" t="s">
        <v>6</v>
      </c>
      <c r="C10" s="139">
        <f>'1.Income statement'!C12</f>
        <v>0</v>
      </c>
      <c r="D10" s="139">
        <f>'1.Income statement'!D12</f>
        <v>0</v>
      </c>
      <c r="E10" s="139">
        <f>'1.Income statement'!E12</f>
        <v>0</v>
      </c>
      <c r="F10" s="139">
        <f>'1.Income statement'!F12</f>
        <v>4135</v>
      </c>
      <c r="G10" s="139">
        <f>'1.Income statement'!G12</f>
        <v>4044</v>
      </c>
      <c r="H10" s="139">
        <f>'1.Income statement'!H12</f>
        <v>4548</v>
      </c>
      <c r="I10" s="139">
        <f>'1.Income statement'!I12</f>
        <v>3665</v>
      </c>
      <c r="J10" s="256">
        <f>'1.Income statement'!J12</f>
        <v>4054.5228999999999</v>
      </c>
      <c r="K10" s="139">
        <f>'1.Income statement'!K12</f>
        <v>4176.1585869999999</v>
      </c>
      <c r="L10" s="139">
        <f>'1.Income statement'!L12</f>
        <v>4301.4433446100002</v>
      </c>
      <c r="M10" s="139">
        <f>'1.Income statement'!M12</f>
        <v>4430.4866449482997</v>
      </c>
      <c r="N10" s="140">
        <f>'1.Income statement'!N12</f>
        <v>4563.4012442967487</v>
      </c>
    </row>
    <row r="11" spans="2:28" x14ac:dyDescent="0.2">
      <c r="B11" s="192" t="s">
        <v>32</v>
      </c>
      <c r="C11" s="152"/>
      <c r="D11" s="152"/>
      <c r="E11" s="152"/>
      <c r="F11" s="152">
        <v>3445</v>
      </c>
      <c r="G11" s="152">
        <v>4126</v>
      </c>
      <c r="H11" s="152">
        <v>2955</v>
      </c>
      <c r="I11" s="254">
        <v>712</v>
      </c>
      <c r="J11" s="141">
        <f>(I11*'1.Income statement'!$P$11)+'2.Flujos de caja'!I11</f>
        <v>733.36</v>
      </c>
      <c r="K11" s="141">
        <f>(J11*'1.Income statement'!$P$11)+'2.Flujos de caja'!J11</f>
        <v>755.36080000000004</v>
      </c>
      <c r="L11" s="141">
        <f>(K11*'1.Income statement'!$P$11)+'2.Flujos de caja'!K11</f>
        <v>778.02162400000009</v>
      </c>
      <c r="M11" s="141">
        <f>(L11*'1.Income statement'!$P$11)+'2.Flujos de caja'!L11</f>
        <v>801.36227272000008</v>
      </c>
      <c r="N11" s="142">
        <f>(M11*'1.Income statement'!$P$11)+'2.Flujos de caja'!M11</f>
        <v>825.40314090160007</v>
      </c>
    </row>
    <row r="12" spans="2:28" x14ac:dyDescent="0.2">
      <c r="B12" s="193" t="s">
        <v>31</v>
      </c>
      <c r="C12" s="143">
        <f>'1.Income statement'!C17</f>
        <v>0</v>
      </c>
      <c r="D12" s="143">
        <f>'1.Income statement'!D17</f>
        <v>0</v>
      </c>
      <c r="E12" s="143">
        <f>'1.Income statement'!E17</f>
        <v>0</v>
      </c>
      <c r="F12" s="143">
        <f>'1.Income statement'!F17</f>
        <v>1112</v>
      </c>
      <c r="G12" s="143">
        <f>'1.Income statement'!G17</f>
        <v>1174</v>
      </c>
      <c r="H12" s="143">
        <f>'1.Income statement'!H17</f>
        <v>1295</v>
      </c>
      <c r="I12" s="144">
        <f>'1.Income statement'!I17</f>
        <v>1248</v>
      </c>
      <c r="J12" s="143">
        <f>'1.Income statement'!J17</f>
        <v>1285.44</v>
      </c>
      <c r="K12" s="143">
        <f>'1.Income statement'!K17</f>
        <v>1324.0032000000001</v>
      </c>
      <c r="L12" s="143">
        <f>'1.Income statement'!L17</f>
        <v>1363.7232960000001</v>
      </c>
      <c r="M12" s="143">
        <f>'1.Income statement'!M17</f>
        <v>1404.63499488</v>
      </c>
      <c r="N12" s="144">
        <f>'1.Income statement'!N17</f>
        <v>1446.7740447264</v>
      </c>
    </row>
    <row r="13" spans="2:28" x14ac:dyDescent="0.2">
      <c r="B13" s="193" t="s">
        <v>33</v>
      </c>
      <c r="C13" s="143">
        <f>'1.Income statement'!C20</f>
        <v>0</v>
      </c>
      <c r="D13" s="143">
        <f>'1.Income statement'!D20</f>
        <v>0</v>
      </c>
      <c r="E13" s="143">
        <f>'1.Income statement'!E20</f>
        <v>0</v>
      </c>
      <c r="F13" s="143">
        <f>'1.Income statement'!F20</f>
        <v>164</v>
      </c>
      <c r="G13" s="143">
        <f>'1.Income statement'!G20</f>
        <v>144</v>
      </c>
      <c r="H13" s="143">
        <f>'1.Income statement'!H20</f>
        <v>167</v>
      </c>
      <c r="I13" s="144">
        <f>'1.Income statement'!I20</f>
        <v>92</v>
      </c>
      <c r="J13" s="143">
        <f>'1.Income statement'!J20</f>
        <v>128.96794799999998</v>
      </c>
      <c r="K13" s="143">
        <f>'1.Income statement'!K20</f>
        <v>132.83698643999998</v>
      </c>
      <c r="L13" s="143">
        <f>'1.Income statement'!L20</f>
        <v>136.82209603320001</v>
      </c>
      <c r="M13" s="143">
        <f>'1.Income statement'!M20</f>
        <v>140.92675891419597</v>
      </c>
      <c r="N13" s="144">
        <f>'1.Income statement'!N20</f>
        <v>145.15456168162191</v>
      </c>
    </row>
    <row r="14" spans="2:28" x14ac:dyDescent="0.2">
      <c r="B14" s="194" t="s">
        <v>77</v>
      </c>
      <c r="C14" s="191">
        <f>'1.Income statement'!C23</f>
        <v>0</v>
      </c>
      <c r="D14" s="191">
        <f>'1.Income statement'!D23</f>
        <v>0</v>
      </c>
      <c r="E14" s="191">
        <f>'1.Income statement'!E23</f>
        <v>0</v>
      </c>
      <c r="F14" s="191">
        <f>'1.Income statement'!F23</f>
        <v>4</v>
      </c>
      <c r="G14" s="191">
        <f>'1.Income statement'!G23</f>
        <v>1</v>
      </c>
      <c r="H14" s="191">
        <f>'1.Income statement'!H23</f>
        <v>21</v>
      </c>
      <c r="I14" s="255">
        <f>'1.Income statement'!I23</f>
        <v>3</v>
      </c>
      <c r="J14" s="196">
        <f>'1.Income statement'!J23</f>
        <v>3.09</v>
      </c>
      <c r="K14" s="196">
        <f>'1.Income statement'!K23</f>
        <v>3.1827000000000001</v>
      </c>
      <c r="L14" s="196">
        <f>'1.Income statement'!L23</f>
        <v>3.278181</v>
      </c>
      <c r="M14" s="196">
        <f>'1.Income statement'!M23</f>
        <v>3.3765264300000002</v>
      </c>
      <c r="N14" s="197">
        <f>'1.Income statement'!N23</f>
        <v>3.4778222229000004</v>
      </c>
      <c r="AB14" t="s">
        <v>79</v>
      </c>
    </row>
    <row r="15" spans="2:28" x14ac:dyDescent="0.2">
      <c r="B15" s="62" t="s">
        <v>8</v>
      </c>
      <c r="C15" s="145">
        <f t="shared" ref="C15:N15" si="0">C10-C11-C12-C13-C14</f>
        <v>0</v>
      </c>
      <c r="D15" s="145">
        <f t="shared" si="0"/>
        <v>0</v>
      </c>
      <c r="E15" s="145">
        <f t="shared" si="0"/>
        <v>0</v>
      </c>
      <c r="F15" s="145">
        <f t="shared" si="0"/>
        <v>-590</v>
      </c>
      <c r="G15" s="145">
        <f t="shared" si="0"/>
        <v>-1401</v>
      </c>
      <c r="H15" s="145">
        <f t="shared" si="0"/>
        <v>110</v>
      </c>
      <c r="I15" s="220">
        <f t="shared" ref="I15" si="1">I10-I11-I12-I13-I14</f>
        <v>1610</v>
      </c>
      <c r="J15" s="145">
        <f t="shared" si="0"/>
        <v>1903.6649519999999</v>
      </c>
      <c r="K15" s="145">
        <f t="shared" si="0"/>
        <v>1960.7749005599999</v>
      </c>
      <c r="L15" s="145">
        <f t="shared" si="0"/>
        <v>2019.5981475768001</v>
      </c>
      <c r="M15" s="145">
        <f t="shared" si="0"/>
        <v>2080.186092004104</v>
      </c>
      <c r="N15" s="220">
        <f t="shared" si="0"/>
        <v>2142.5916747642264</v>
      </c>
    </row>
    <row r="16" spans="2:28" ht="17" thickBot="1" x14ac:dyDescent="0.25">
      <c r="B16" s="63" t="s">
        <v>9</v>
      </c>
      <c r="C16" s="37" t="e">
        <f>C15/'1.Income statement'!C27</f>
        <v>#DIV/0!</v>
      </c>
      <c r="D16" s="37" t="e">
        <f>D15/'1.Income statement'!D27</f>
        <v>#DIV/0!</v>
      </c>
      <c r="E16" s="37" t="e">
        <f>E15/'1.Income statement'!E27</f>
        <v>#DIV/0!</v>
      </c>
      <c r="F16" s="37">
        <f>F15/'1.Income statement'!F27</f>
        <v>-3.532934131736527</v>
      </c>
      <c r="G16" s="37">
        <f>G15/'1.Income statement'!G27</f>
        <v>-9.4662162162162158</v>
      </c>
      <c r="H16" s="37">
        <f>H15/'1.Income statement'!H27</f>
        <v>0.81481481481481477</v>
      </c>
      <c r="I16" s="38">
        <f>I15/'1.Income statement'!I27</f>
        <v>12.677165354330709</v>
      </c>
      <c r="J16" s="37">
        <f>J15/'1.Income statement'!J27</f>
        <v>15.863874599999999</v>
      </c>
      <c r="K16" s="37">
        <f>K15/'1.Income statement'!K27</f>
        <v>17.506918754999997</v>
      </c>
      <c r="L16" s="37">
        <f>L15/'1.Income statement'!L27</f>
        <v>19.419212957469231</v>
      </c>
      <c r="M16" s="37">
        <f>M15/'1.Income statement'!M27</f>
        <v>21.668605125042749</v>
      </c>
      <c r="N16" s="38">
        <f>N15/'1.Income statement'!N27</f>
        <v>24.347632667775301</v>
      </c>
    </row>
    <row r="17" spans="2:14" x14ac:dyDescent="0.2">
      <c r="B17" s="28"/>
      <c r="C17" s="3"/>
      <c r="D17" s="3"/>
      <c r="E17" s="3"/>
      <c r="F17" s="3"/>
      <c r="G17" s="3"/>
      <c r="H17" s="3"/>
      <c r="I17" s="3"/>
      <c r="J17" s="3"/>
      <c r="K17" s="3"/>
      <c r="L17" s="3"/>
      <c r="M17" s="3"/>
      <c r="N17" s="3"/>
    </row>
    <row r="18" spans="2:14" x14ac:dyDescent="0.2">
      <c r="B18" s="4"/>
      <c r="C18" s="3"/>
      <c r="D18" s="3"/>
      <c r="E18" s="3"/>
      <c r="F18" s="3"/>
      <c r="G18" s="3"/>
      <c r="H18" s="3"/>
      <c r="I18" s="3"/>
      <c r="J18" s="3"/>
      <c r="K18" s="3"/>
      <c r="L18" s="3"/>
      <c r="M18" s="3"/>
      <c r="N18" s="3"/>
    </row>
    <row r="19" spans="2:14" x14ac:dyDescent="0.2">
      <c r="B19" s="28"/>
      <c r="C19" s="3"/>
      <c r="D19" s="3"/>
      <c r="E19" s="3"/>
      <c r="F19" s="3"/>
      <c r="G19" s="3"/>
      <c r="H19" s="3"/>
      <c r="I19" s="3"/>
      <c r="J19" s="3"/>
      <c r="K19" s="3"/>
      <c r="L19" s="3"/>
      <c r="M19" s="3"/>
      <c r="N19" s="3"/>
    </row>
    <row r="20" spans="2:14" x14ac:dyDescent="0.2">
      <c r="B20" s="28"/>
      <c r="C20" s="3"/>
      <c r="D20" s="3"/>
      <c r="E20" s="3"/>
      <c r="F20" s="3"/>
      <c r="G20" s="3"/>
      <c r="H20" s="3"/>
      <c r="I20" s="3"/>
      <c r="J20" s="3"/>
      <c r="K20" s="3"/>
      <c r="L20" s="3"/>
      <c r="M20" s="3"/>
      <c r="N20" s="3"/>
    </row>
    <row r="21" spans="2:14" x14ac:dyDescent="0.2">
      <c r="B21" s="28"/>
      <c r="C21" s="3"/>
      <c r="D21" s="3"/>
      <c r="E21" s="3"/>
      <c r="F21" s="3"/>
      <c r="G21" s="3"/>
      <c r="H21" s="3"/>
      <c r="I21" s="3"/>
      <c r="J21" s="3"/>
      <c r="K21" s="3"/>
      <c r="L21" s="3"/>
      <c r="M21" s="3"/>
      <c r="N21" s="3"/>
    </row>
    <row r="22" spans="2:14" x14ac:dyDescent="0.2">
      <c r="B22" s="28"/>
      <c r="C22" s="3"/>
      <c r="D22" s="3"/>
      <c r="E22" s="3"/>
      <c r="F22" s="3"/>
      <c r="G22" s="3"/>
      <c r="H22" s="3"/>
      <c r="I22" s="3"/>
      <c r="J22" s="3"/>
      <c r="K22" s="3"/>
      <c r="L22" s="3"/>
      <c r="M22" s="3"/>
      <c r="N22" s="3"/>
    </row>
    <row r="23" spans="2:14" x14ac:dyDescent="0.2">
      <c r="B23" s="28"/>
      <c r="C23" s="3"/>
      <c r="D23" s="3"/>
      <c r="E23" s="3"/>
      <c r="F23" s="3"/>
      <c r="G23" s="3"/>
      <c r="H23" s="3"/>
      <c r="I23" s="3"/>
      <c r="J23" s="3"/>
      <c r="K23" s="3"/>
      <c r="L23" s="3"/>
      <c r="M23" s="3"/>
      <c r="N23" s="3"/>
    </row>
    <row r="24" spans="2:14" x14ac:dyDescent="0.2">
      <c r="B24" s="28"/>
      <c r="C24" s="2"/>
      <c r="D24" s="2"/>
      <c r="E24" s="2"/>
      <c r="F24" s="2"/>
      <c r="G24" s="2"/>
      <c r="H24" s="2"/>
      <c r="I24" s="2"/>
      <c r="J24" s="2"/>
      <c r="K24" s="2"/>
      <c r="L24" s="2"/>
      <c r="M24" s="2"/>
      <c r="N24" s="2"/>
    </row>
    <row r="25" spans="2:14" x14ac:dyDescent="0.2">
      <c r="B25" s="27"/>
      <c r="C25" s="1"/>
      <c r="D25" s="1"/>
      <c r="E25" s="1"/>
      <c r="F25" s="1"/>
      <c r="G25" s="1"/>
      <c r="H25" s="1"/>
      <c r="I25" s="1"/>
      <c r="J25" s="1"/>
      <c r="K25" s="1"/>
      <c r="L25" s="1"/>
      <c r="M25" s="1"/>
      <c r="N25" s="1"/>
    </row>
    <row r="26" spans="2:14" x14ac:dyDescent="0.2">
      <c r="B26" s="27"/>
      <c r="C26" s="1"/>
      <c r="D26" s="1"/>
      <c r="E26" s="1"/>
      <c r="F26" s="1"/>
      <c r="G26" s="1"/>
      <c r="H26" s="1"/>
      <c r="I26" s="1"/>
      <c r="J26" s="1"/>
      <c r="K26" s="1"/>
      <c r="L26" s="1"/>
      <c r="M26" s="1"/>
      <c r="N26" s="1"/>
    </row>
    <row r="27" spans="2:14" x14ac:dyDescent="0.2">
      <c r="B27" s="27"/>
      <c r="C27" s="1"/>
      <c r="D27" s="1"/>
      <c r="E27" s="1"/>
      <c r="F27" s="1"/>
      <c r="G27" s="1"/>
      <c r="H27" s="1"/>
      <c r="I27" s="1"/>
      <c r="J27" s="1"/>
      <c r="K27" s="1"/>
      <c r="L27" s="1"/>
      <c r="M27" s="1"/>
      <c r="N27" s="1"/>
    </row>
    <row r="28" spans="2:14" x14ac:dyDescent="0.2">
      <c r="B28" s="27"/>
      <c r="C28" s="1"/>
      <c r="D28" s="1"/>
      <c r="E28" s="1"/>
      <c r="F28" s="1"/>
      <c r="G28" s="1"/>
      <c r="H28" s="1"/>
      <c r="I28" s="1"/>
      <c r="J28" s="1"/>
      <c r="K28" s="1"/>
      <c r="L28" s="1"/>
      <c r="M28" s="1"/>
      <c r="N28" s="1"/>
    </row>
    <row r="29" spans="2:14" x14ac:dyDescent="0.2">
      <c r="B29" s="27"/>
      <c r="C29" s="1"/>
      <c r="D29" s="1"/>
      <c r="E29" s="1"/>
      <c r="F29" s="1"/>
      <c r="G29" s="1"/>
      <c r="H29" s="1"/>
      <c r="I29" s="1"/>
      <c r="J29" s="1"/>
      <c r="K29" s="1"/>
      <c r="L29" s="1"/>
      <c r="M29" s="1"/>
      <c r="N29" s="1"/>
    </row>
    <row r="30" spans="2:14" x14ac:dyDescent="0.2">
      <c r="B30" s="27"/>
      <c r="C30" s="1"/>
      <c r="D30" s="1"/>
      <c r="E30" s="1"/>
      <c r="F30" s="1"/>
      <c r="G30" s="1"/>
      <c r="H30" s="1"/>
      <c r="I30" s="1"/>
      <c r="J30" s="1"/>
      <c r="K30" s="1"/>
      <c r="L30" s="1"/>
      <c r="M30" s="1"/>
      <c r="N30"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R28"/>
  <sheetViews>
    <sheetView workbookViewId="0">
      <selection activeCell="F21" sqref="F21:I21"/>
    </sheetView>
  </sheetViews>
  <sheetFormatPr baseColWidth="10" defaultColWidth="9.1640625" defaultRowHeight="15" x14ac:dyDescent="0.2"/>
  <cols>
    <col min="1" max="1" width="4.1640625" customWidth="1"/>
    <col min="2" max="2" width="45.6640625" customWidth="1"/>
    <col min="3" max="3" width="9" customWidth="1"/>
    <col min="15" max="15" width="13.83203125" customWidth="1"/>
  </cols>
  <sheetData>
    <row r="1" spans="2:16" ht="16" thickBot="1" x14ac:dyDescent="0.25"/>
    <row r="2" spans="2:16" ht="15" customHeight="1" x14ac:dyDescent="0.2">
      <c r="B2" s="289"/>
      <c r="C2" s="285"/>
      <c r="D2" s="285"/>
      <c r="E2" s="285"/>
      <c r="F2" s="285"/>
      <c r="G2" s="285"/>
      <c r="H2" s="285"/>
      <c r="I2" s="285"/>
      <c r="J2" s="285"/>
      <c r="K2" s="285"/>
      <c r="L2" s="285"/>
      <c r="M2" s="285"/>
      <c r="N2" s="286"/>
    </row>
    <row r="3" spans="2:16" ht="15" customHeight="1" x14ac:dyDescent="0.2">
      <c r="B3" s="290"/>
      <c r="C3" s="287"/>
      <c r="D3" s="287"/>
      <c r="E3" s="287"/>
      <c r="F3" s="287"/>
      <c r="G3" s="287"/>
      <c r="H3" s="287"/>
      <c r="I3" s="287"/>
      <c r="J3" s="287"/>
      <c r="K3" s="287"/>
      <c r="L3" s="287"/>
      <c r="M3" s="287"/>
      <c r="N3" s="288"/>
    </row>
    <row r="4" spans="2:16" ht="15" customHeight="1" x14ac:dyDescent="0.2">
      <c r="B4" s="290"/>
      <c r="C4" s="287"/>
      <c r="D4" s="287"/>
      <c r="E4" s="287"/>
      <c r="F4" s="287"/>
      <c r="G4" s="287"/>
      <c r="H4" s="287"/>
      <c r="I4" s="287"/>
      <c r="J4" s="287"/>
      <c r="K4" s="287"/>
      <c r="L4" s="287"/>
      <c r="M4" s="287"/>
      <c r="N4" s="288"/>
    </row>
    <row r="5" spans="2:16" ht="15" customHeight="1" x14ac:dyDescent="0.2">
      <c r="B5" s="290"/>
      <c r="C5" s="287"/>
      <c r="D5" s="287"/>
      <c r="E5" s="287"/>
      <c r="F5" s="287"/>
      <c r="G5" s="287"/>
      <c r="H5" s="287"/>
      <c r="I5" s="287"/>
      <c r="J5" s="287"/>
      <c r="K5" s="287"/>
      <c r="L5" s="287"/>
      <c r="M5" s="287"/>
      <c r="N5" s="288"/>
    </row>
    <row r="6" spans="2:16" ht="15" customHeight="1" x14ac:dyDescent="0.2">
      <c r="B6" s="290"/>
      <c r="C6" s="287"/>
      <c r="D6" s="287"/>
      <c r="E6" s="287"/>
      <c r="F6" s="287"/>
      <c r="G6" s="287"/>
      <c r="H6" s="287"/>
      <c r="I6" s="287"/>
      <c r="J6" s="287"/>
      <c r="K6" s="287"/>
      <c r="L6" s="287"/>
      <c r="M6" s="287"/>
      <c r="N6" s="288"/>
    </row>
    <row r="7" spans="2:16" ht="48.75" customHeight="1" thickBot="1" x14ac:dyDescent="0.25">
      <c r="B7" s="290"/>
      <c r="C7" s="287"/>
      <c r="D7" s="287"/>
      <c r="E7" s="287"/>
      <c r="F7" s="287"/>
      <c r="G7" s="287"/>
      <c r="H7" s="287"/>
      <c r="I7" s="287"/>
      <c r="J7" s="287"/>
      <c r="K7" s="287"/>
      <c r="L7" s="287"/>
      <c r="M7" s="287"/>
      <c r="N7" s="288"/>
    </row>
    <row r="8" spans="2:16" ht="18.75" customHeight="1" thickBot="1" x14ac:dyDescent="0.25">
      <c r="B8" s="290"/>
      <c r="C8" s="33">
        <v>2014</v>
      </c>
      <c r="D8" s="33">
        <v>2015</v>
      </c>
      <c r="E8" s="33">
        <v>2016</v>
      </c>
      <c r="F8" s="33">
        <v>2017</v>
      </c>
      <c r="G8" s="33">
        <v>2018</v>
      </c>
      <c r="H8" s="33">
        <v>2019</v>
      </c>
      <c r="I8" s="33">
        <v>2020</v>
      </c>
      <c r="J8" s="205">
        <v>2021</v>
      </c>
      <c r="K8" s="112">
        <v>2022</v>
      </c>
      <c r="L8" s="112">
        <v>2023</v>
      </c>
      <c r="M8" s="112">
        <v>2024</v>
      </c>
      <c r="N8" s="113">
        <v>2025</v>
      </c>
    </row>
    <row r="9" spans="2:16" ht="17" thickBot="1" x14ac:dyDescent="0.25">
      <c r="B9" s="261" t="s">
        <v>34</v>
      </c>
      <c r="C9" s="65"/>
      <c r="D9" s="65"/>
      <c r="E9" s="65"/>
      <c r="F9" s="65"/>
      <c r="G9" s="65"/>
      <c r="H9" s="65"/>
      <c r="I9" s="65"/>
      <c r="J9" s="64"/>
      <c r="K9" s="65"/>
      <c r="L9" s="65"/>
      <c r="M9" s="46"/>
      <c r="N9" s="47"/>
    </row>
    <row r="10" spans="2:16" ht="16" thickBot="1" x14ac:dyDescent="0.25">
      <c r="B10" s="262" t="s">
        <v>11</v>
      </c>
      <c r="C10" s="42">
        <f>'1.Income statement'!C15</f>
        <v>0</v>
      </c>
      <c r="D10" s="42">
        <f>'1.Income statement'!D15</f>
        <v>0</v>
      </c>
      <c r="E10" s="42">
        <f>'1.Income statement'!E15</f>
        <v>0</v>
      </c>
      <c r="F10" s="42">
        <f>'1.Income statement'!F15</f>
        <v>2408</v>
      </c>
      <c r="G10" s="42">
        <f>'1.Income statement'!G15</f>
        <v>2368</v>
      </c>
      <c r="H10" s="42">
        <f>'1.Income statement'!H15</f>
        <v>2705</v>
      </c>
      <c r="I10" s="42">
        <f>'1.Income statement'!I15</f>
        <v>2020</v>
      </c>
      <c r="J10" s="41">
        <f>'1.Income statement'!J15</f>
        <v>2360.1729</v>
      </c>
      <c r="K10" s="42">
        <f>'1.Income statement'!K15</f>
        <v>2430.978087</v>
      </c>
      <c r="L10" s="42">
        <f>'1.Income statement'!L15</f>
        <v>2503.9074296100002</v>
      </c>
      <c r="M10" s="42">
        <f>'1.Income statement'!M15</f>
        <v>2579.0246524982999</v>
      </c>
      <c r="N10" s="43">
        <f>'1.Income statement'!N15</f>
        <v>2656.3953920732492</v>
      </c>
      <c r="O10" s="16" t="s">
        <v>25</v>
      </c>
      <c r="P10" s="10">
        <f>'1.Income statement'!$P$11</f>
        <v>0.03</v>
      </c>
    </row>
    <row r="11" spans="2:16" x14ac:dyDescent="0.2">
      <c r="B11" s="263" t="s">
        <v>35</v>
      </c>
      <c r="C11" s="49">
        <f>'1.Income statement'!C17</f>
        <v>0</v>
      </c>
      <c r="D11" s="49">
        <f>'1.Income statement'!D17</f>
        <v>0</v>
      </c>
      <c r="E11" s="49">
        <f>'1.Income statement'!E17</f>
        <v>0</v>
      </c>
      <c r="F11" s="49">
        <f>'1.Income statement'!F17</f>
        <v>1112</v>
      </c>
      <c r="G11" s="49">
        <f>'1.Income statement'!G17</f>
        <v>1174</v>
      </c>
      <c r="H11" s="49">
        <f>'1.Income statement'!H17</f>
        <v>1295</v>
      </c>
      <c r="I11" s="49">
        <f>'1.Income statement'!I17</f>
        <v>1248</v>
      </c>
      <c r="J11" s="48">
        <f>'1.Income statement'!J17</f>
        <v>1285.44</v>
      </c>
      <c r="K11" s="49">
        <f>'1.Income statement'!K17</f>
        <v>1324.0032000000001</v>
      </c>
      <c r="L11" s="49">
        <f>'1.Income statement'!L17</f>
        <v>1363.7232960000001</v>
      </c>
      <c r="M11" s="49">
        <f>'1.Income statement'!M17</f>
        <v>1404.63499488</v>
      </c>
      <c r="N11" s="50">
        <f>'1.Income statement'!N17</f>
        <v>1446.7740447264</v>
      </c>
    </row>
    <row r="12" spans="2:16" x14ac:dyDescent="0.2">
      <c r="B12" s="264" t="s">
        <v>33</v>
      </c>
      <c r="C12" s="52">
        <f>'1.Income statement'!C20</f>
        <v>0</v>
      </c>
      <c r="D12" s="52">
        <f>'1.Income statement'!D20</f>
        <v>0</v>
      </c>
      <c r="E12" s="52">
        <f>'1.Income statement'!E20</f>
        <v>0</v>
      </c>
      <c r="F12" s="52">
        <f>'1.Income statement'!F20</f>
        <v>164</v>
      </c>
      <c r="G12" s="52">
        <f>'1.Income statement'!G20</f>
        <v>144</v>
      </c>
      <c r="H12" s="52">
        <f>'1.Income statement'!H20</f>
        <v>167</v>
      </c>
      <c r="I12" s="52">
        <f>'1.Income statement'!I20</f>
        <v>92</v>
      </c>
      <c r="J12" s="51">
        <f>'1.Income statement'!J20</f>
        <v>128.96794799999998</v>
      </c>
      <c r="K12" s="52">
        <f>'1.Income statement'!K20</f>
        <v>132.83698643999998</v>
      </c>
      <c r="L12" s="52">
        <f>'1.Income statement'!L20</f>
        <v>136.82209603320001</v>
      </c>
      <c r="M12" s="52">
        <f>'1.Income statement'!M20</f>
        <v>140.92675891419597</v>
      </c>
      <c r="N12" s="53">
        <f>'1.Income statement'!N20</f>
        <v>145.15456168162191</v>
      </c>
    </row>
    <row r="13" spans="2:16" x14ac:dyDescent="0.2">
      <c r="B13" s="265" t="s">
        <v>12</v>
      </c>
      <c r="C13" s="42">
        <f>'1.Income statement'!C24</f>
        <v>0</v>
      </c>
      <c r="D13" s="42">
        <f>'1.Income statement'!D24</f>
        <v>0</v>
      </c>
      <c r="E13" s="42">
        <f>'1.Income statement'!E24</f>
        <v>0</v>
      </c>
      <c r="F13" s="42">
        <f>'1.Income statement'!F24</f>
        <v>1128</v>
      </c>
      <c r="G13" s="42">
        <f>'1.Income statement'!G24</f>
        <v>1049</v>
      </c>
      <c r="H13" s="42">
        <f>'1.Income statement'!H24</f>
        <v>1222</v>
      </c>
      <c r="I13" s="42">
        <f>'1.Income statement'!I24</f>
        <v>677</v>
      </c>
      <c r="J13" s="41">
        <f>'1.Income statement'!J24</f>
        <v>942.67495199999996</v>
      </c>
      <c r="K13" s="42">
        <f>'1.Income statement'!K24</f>
        <v>970.95520055999998</v>
      </c>
      <c r="L13" s="42">
        <f>'1.Income statement'!L24</f>
        <v>1000.0838565768</v>
      </c>
      <c r="M13" s="42">
        <f>'1.Income statement'!M24</f>
        <v>1030.086372274104</v>
      </c>
      <c r="N13" s="43">
        <f>'1.Income statement'!N24</f>
        <v>1060.9889634423273</v>
      </c>
    </row>
    <row r="14" spans="2:16" x14ac:dyDescent="0.2">
      <c r="B14" s="266" t="s">
        <v>39</v>
      </c>
      <c r="C14" s="149"/>
      <c r="D14" s="149"/>
      <c r="E14" s="149"/>
      <c r="F14" s="149">
        <v>1659</v>
      </c>
      <c r="G14" s="149">
        <v>1204</v>
      </c>
      <c r="H14" s="245">
        <v>1121</v>
      </c>
      <c r="I14" s="258">
        <v>1248</v>
      </c>
      <c r="J14" s="52">
        <f t="shared" ref="J14:N14" si="0">I14*$P$10+I14</f>
        <v>1285.44</v>
      </c>
      <c r="K14" s="52">
        <f t="shared" si="0"/>
        <v>1324.0032000000001</v>
      </c>
      <c r="L14" s="52">
        <f t="shared" si="0"/>
        <v>1363.7232960000001</v>
      </c>
      <c r="M14" s="52">
        <f t="shared" si="0"/>
        <v>1404.63499488</v>
      </c>
      <c r="N14" s="53">
        <f t="shared" si="0"/>
        <v>1446.7740447264</v>
      </c>
    </row>
    <row r="15" spans="2:16" x14ac:dyDescent="0.2">
      <c r="B15" s="267" t="s">
        <v>36</v>
      </c>
      <c r="C15" s="149"/>
      <c r="D15" s="149"/>
      <c r="E15" s="149"/>
      <c r="F15" s="149">
        <v>28420</v>
      </c>
      <c r="G15" s="149">
        <v>29507</v>
      </c>
      <c r="H15" s="149">
        <v>29486</v>
      </c>
      <c r="I15" s="259">
        <v>28742</v>
      </c>
      <c r="J15" s="52">
        <f t="shared" ref="J15:N17" si="1">I15*$P$10+I15</f>
        <v>29604.26</v>
      </c>
      <c r="K15" s="52">
        <f t="shared" si="1"/>
        <v>30492.387799999997</v>
      </c>
      <c r="L15" s="52">
        <f t="shared" si="1"/>
        <v>31407.159433999997</v>
      </c>
      <c r="M15" s="52">
        <f t="shared" si="1"/>
        <v>32349.374217019998</v>
      </c>
      <c r="N15" s="53">
        <f t="shared" si="1"/>
        <v>33319.8554435306</v>
      </c>
    </row>
    <row r="16" spans="2:16" x14ac:dyDescent="0.2">
      <c r="B16" s="266" t="s">
        <v>37</v>
      </c>
      <c r="C16" s="149"/>
      <c r="D16" s="149"/>
      <c r="E16" s="149"/>
      <c r="F16" s="149">
        <v>59</v>
      </c>
      <c r="G16" s="149">
        <v>52</v>
      </c>
      <c r="H16" s="149">
        <v>67</v>
      </c>
      <c r="I16" s="259">
        <v>0</v>
      </c>
      <c r="J16" s="52">
        <f t="shared" si="1"/>
        <v>0</v>
      </c>
      <c r="K16" s="52">
        <f t="shared" si="1"/>
        <v>0</v>
      </c>
      <c r="L16" s="52">
        <f t="shared" si="1"/>
        <v>0</v>
      </c>
      <c r="M16" s="52">
        <f t="shared" si="1"/>
        <v>0</v>
      </c>
      <c r="N16" s="53">
        <f t="shared" si="1"/>
        <v>0</v>
      </c>
    </row>
    <row r="17" spans="2:18" x14ac:dyDescent="0.2">
      <c r="B17" s="266" t="s">
        <v>38</v>
      </c>
      <c r="C17" s="150"/>
      <c r="D17" s="150"/>
      <c r="E17" s="150"/>
      <c r="F17" s="150">
        <v>8638</v>
      </c>
      <c r="G17" s="149">
        <v>8880</v>
      </c>
      <c r="H17" s="150">
        <v>9382</v>
      </c>
      <c r="I17" s="260">
        <v>8932</v>
      </c>
      <c r="J17" s="151">
        <f t="shared" si="1"/>
        <v>9199.9599999999991</v>
      </c>
      <c r="K17" s="151">
        <f t="shared" si="1"/>
        <v>9475.9587999999985</v>
      </c>
      <c r="L17" s="151">
        <f t="shared" si="1"/>
        <v>9760.2375639999991</v>
      </c>
      <c r="M17" s="151">
        <f t="shared" si="1"/>
        <v>10053.04469092</v>
      </c>
      <c r="N17" s="53">
        <f t="shared" si="1"/>
        <v>10354.6360316476</v>
      </c>
    </row>
    <row r="18" spans="2:18" x14ac:dyDescent="0.2">
      <c r="B18" s="268" t="s">
        <v>42</v>
      </c>
      <c r="C18" s="58">
        <f t="shared" ref="C18:F18" si="2">C17+C15-C14</f>
        <v>0</v>
      </c>
      <c r="D18" s="58">
        <f t="shared" si="2"/>
        <v>0</v>
      </c>
      <c r="E18" s="58">
        <f t="shared" si="2"/>
        <v>0</v>
      </c>
      <c r="F18" s="58">
        <f t="shared" si="2"/>
        <v>35399</v>
      </c>
      <c r="G18" s="195">
        <f>G17+G15-G14</f>
        <v>37183</v>
      </c>
      <c r="H18" s="195">
        <f>H17+H15-H14</f>
        <v>37747</v>
      </c>
      <c r="I18" s="54">
        <f>I17+I15-I14</f>
        <v>36426</v>
      </c>
      <c r="J18" s="195">
        <f t="shared" ref="J18:N18" si="3">J17+J15-J14</f>
        <v>37518.78</v>
      </c>
      <c r="K18" s="58">
        <f t="shared" si="3"/>
        <v>38644.343399999998</v>
      </c>
      <c r="L18" s="58">
        <f t="shared" si="3"/>
        <v>39803.673702</v>
      </c>
      <c r="M18" s="58">
        <f t="shared" si="3"/>
        <v>40997.783913059997</v>
      </c>
      <c r="N18" s="54">
        <f t="shared" si="3"/>
        <v>42227.717430451798</v>
      </c>
      <c r="R18" s="219"/>
    </row>
    <row r="19" spans="2:18" x14ac:dyDescent="0.2">
      <c r="B19" s="269" t="s">
        <v>43</v>
      </c>
      <c r="C19" s="55">
        <f t="shared" ref="C19:F19" si="4">C15-C14+C17-C16</f>
        <v>0</v>
      </c>
      <c r="D19" s="55">
        <f t="shared" si="4"/>
        <v>0</v>
      </c>
      <c r="E19" s="55">
        <f t="shared" si="4"/>
        <v>0</v>
      </c>
      <c r="F19" s="55">
        <f t="shared" si="4"/>
        <v>35340</v>
      </c>
      <c r="G19" s="55">
        <f>G15-G14+G17-G16</f>
        <v>37131</v>
      </c>
      <c r="H19" s="55">
        <f>H15-H14+H17-H16</f>
        <v>37680</v>
      </c>
      <c r="I19" s="55">
        <f>I15-I14+I17-I16</f>
        <v>36426</v>
      </c>
      <c r="J19" s="131">
        <f t="shared" ref="J19:N19" si="5">J15-J14+J17-J16</f>
        <v>37518.78</v>
      </c>
      <c r="K19" s="55">
        <f t="shared" si="5"/>
        <v>38644.343399999998</v>
      </c>
      <c r="L19" s="55">
        <f t="shared" si="5"/>
        <v>39803.673702</v>
      </c>
      <c r="M19" s="55">
        <f t="shared" si="5"/>
        <v>40997.783913059997</v>
      </c>
      <c r="N19" s="56">
        <f t="shared" si="5"/>
        <v>42227.717430451798</v>
      </c>
    </row>
    <row r="20" spans="2:18" x14ac:dyDescent="0.2">
      <c r="B20" s="267"/>
      <c r="C20" s="57"/>
      <c r="D20" s="57"/>
      <c r="E20" s="57"/>
      <c r="F20" s="57"/>
      <c r="G20" s="57"/>
      <c r="H20" s="246"/>
      <c r="I20" s="246"/>
      <c r="J20" s="132"/>
      <c r="K20" s="58"/>
      <c r="L20" s="58"/>
      <c r="M20" s="58"/>
      <c r="N20" s="59"/>
    </row>
    <row r="21" spans="2:18" x14ac:dyDescent="0.2">
      <c r="B21" s="266" t="s">
        <v>40</v>
      </c>
      <c r="C21" s="44" t="e">
        <f t="shared" ref="C21:G21" si="6">C13/C17</f>
        <v>#DIV/0!</v>
      </c>
      <c r="D21" s="44" t="e">
        <f t="shared" si="6"/>
        <v>#DIV/0!</v>
      </c>
      <c r="E21" s="44" t="e">
        <f t="shared" si="6"/>
        <v>#DIV/0!</v>
      </c>
      <c r="F21" s="44">
        <f t="shared" si="6"/>
        <v>0.13058578374623755</v>
      </c>
      <c r="G21" s="44">
        <f t="shared" si="6"/>
        <v>0.11813063063063063</v>
      </c>
      <c r="H21" s="44">
        <f t="shared" ref="H21:N21" si="7">H13/H17</f>
        <v>0.13024941377105095</v>
      </c>
      <c r="I21" s="44">
        <f t="shared" ref="I21" si="8">I13/I17</f>
        <v>7.5794894760411999E-2</v>
      </c>
      <c r="J21" s="133">
        <f t="shared" si="7"/>
        <v>0.10246511419614869</v>
      </c>
      <c r="K21" s="44">
        <f t="shared" si="7"/>
        <v>0.10246511419614869</v>
      </c>
      <c r="L21" s="44">
        <f t="shared" si="7"/>
        <v>0.10246511419614869</v>
      </c>
      <c r="M21" s="44">
        <f t="shared" si="7"/>
        <v>0.10246511419614868</v>
      </c>
      <c r="N21" s="45">
        <f t="shared" si="7"/>
        <v>0.10246511419614869</v>
      </c>
    </row>
    <row r="22" spans="2:18" x14ac:dyDescent="0.2">
      <c r="B22" s="266" t="s">
        <v>45</v>
      </c>
      <c r="C22" s="22" t="e">
        <f t="shared" ref="C22:G22" si="9">C10/C19</f>
        <v>#DIV/0!</v>
      </c>
      <c r="D22" s="22" t="e">
        <f t="shared" si="9"/>
        <v>#DIV/0!</v>
      </c>
      <c r="E22" s="22" t="e">
        <f t="shared" si="9"/>
        <v>#DIV/0!</v>
      </c>
      <c r="F22" s="22">
        <f t="shared" si="9"/>
        <v>6.8138087153367291E-2</v>
      </c>
      <c r="G22" s="22">
        <f t="shared" si="9"/>
        <v>6.3774204842315052E-2</v>
      </c>
      <c r="H22" s="22">
        <f t="shared" ref="H22:N22" si="10">H10/H19</f>
        <v>7.1788747346072185E-2</v>
      </c>
      <c r="I22" s="22">
        <f t="shared" ref="I22" si="11">I10/I19</f>
        <v>5.5454894855323122E-2</v>
      </c>
      <c r="J22" s="134">
        <f t="shared" si="10"/>
        <v>6.2906440454620335E-2</v>
      </c>
      <c r="K22" s="22">
        <f t="shared" si="10"/>
        <v>6.2906440454620335E-2</v>
      </c>
      <c r="L22" s="22">
        <f t="shared" si="10"/>
        <v>6.2906440454620335E-2</v>
      </c>
      <c r="M22" s="22">
        <f t="shared" si="10"/>
        <v>6.2906440454620335E-2</v>
      </c>
      <c r="N22" s="24">
        <f t="shared" si="10"/>
        <v>6.2906440454620335E-2</v>
      </c>
    </row>
    <row r="23" spans="2:18" ht="16" thickBot="1" x14ac:dyDescent="0.25">
      <c r="B23" s="270" t="s">
        <v>44</v>
      </c>
      <c r="C23" s="23" t="e">
        <f t="shared" ref="C23:G23" si="12">C10/C18</f>
        <v>#DIV/0!</v>
      </c>
      <c r="D23" s="23" t="e">
        <f t="shared" si="12"/>
        <v>#DIV/0!</v>
      </c>
      <c r="E23" s="23" t="e">
        <f t="shared" si="12"/>
        <v>#DIV/0!</v>
      </c>
      <c r="F23" s="23">
        <f t="shared" si="12"/>
        <v>6.8024520466679853E-2</v>
      </c>
      <c r="G23" s="23">
        <f t="shared" si="12"/>
        <v>6.368501734663691E-2</v>
      </c>
      <c r="H23" s="23">
        <f t="shared" ref="H23:N23" si="13">H10/H18</f>
        <v>7.1661324078734739E-2</v>
      </c>
      <c r="I23" s="23">
        <f t="shared" ref="I23" si="14">I10/I18</f>
        <v>5.5454894855323122E-2</v>
      </c>
      <c r="J23" s="135">
        <f t="shared" si="13"/>
        <v>6.2906440454620335E-2</v>
      </c>
      <c r="K23" s="23">
        <f t="shared" si="13"/>
        <v>6.2906440454620335E-2</v>
      </c>
      <c r="L23" s="23">
        <f t="shared" si="13"/>
        <v>6.2906440454620335E-2</v>
      </c>
      <c r="M23" s="23">
        <f t="shared" si="13"/>
        <v>6.2906440454620335E-2</v>
      </c>
      <c r="N23" s="25">
        <f t="shared" si="13"/>
        <v>6.2906440454620335E-2</v>
      </c>
    </row>
    <row r="24" spans="2:18" x14ac:dyDescent="0.2">
      <c r="B24" s="1"/>
      <c r="C24" s="1"/>
      <c r="D24" s="1"/>
      <c r="E24" s="1"/>
      <c r="F24" s="1"/>
      <c r="G24" s="1"/>
      <c r="H24" s="1"/>
      <c r="I24" s="1"/>
      <c r="J24" s="1"/>
      <c r="K24" s="1"/>
      <c r="L24" s="1"/>
      <c r="M24" s="1"/>
      <c r="N24" s="1"/>
    </row>
    <row r="25" spans="2:18" x14ac:dyDescent="0.2">
      <c r="B25" s="1"/>
      <c r="C25" s="1"/>
      <c r="D25" s="1"/>
      <c r="E25" s="1"/>
      <c r="F25" s="1"/>
      <c r="G25" s="1"/>
      <c r="H25" s="1"/>
      <c r="I25" s="1"/>
      <c r="J25" s="1"/>
      <c r="K25" s="1"/>
      <c r="L25" s="1"/>
      <c r="M25" s="1"/>
      <c r="N25" s="1"/>
    </row>
    <row r="26" spans="2:18" x14ac:dyDescent="0.2">
      <c r="B26" s="1"/>
      <c r="C26" s="1"/>
      <c r="D26" s="1"/>
      <c r="E26" s="1"/>
      <c r="F26" s="1"/>
      <c r="G26" s="1"/>
      <c r="H26" s="1"/>
      <c r="I26" s="1"/>
      <c r="J26" s="1"/>
      <c r="K26" s="1"/>
      <c r="L26" s="1"/>
      <c r="M26" s="1"/>
      <c r="N26" s="1"/>
    </row>
    <row r="27" spans="2:18" x14ac:dyDescent="0.2">
      <c r="B27" s="1"/>
      <c r="C27" s="1"/>
      <c r="D27" s="1"/>
      <c r="E27" s="1"/>
      <c r="F27" s="1"/>
      <c r="G27" s="1"/>
      <c r="H27" s="1"/>
      <c r="I27" s="1"/>
      <c r="J27" s="1"/>
      <c r="K27" s="1"/>
      <c r="L27" s="1"/>
      <c r="M27" s="1"/>
      <c r="N27" s="1"/>
    </row>
    <row r="28" spans="2:18"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workbookViewId="0">
      <selection activeCell="Q22" sqref="Q22"/>
    </sheetView>
  </sheetViews>
  <sheetFormatPr baseColWidth="10" defaultColWidth="9.1640625" defaultRowHeight="15" x14ac:dyDescent="0.2"/>
  <cols>
    <col min="1" max="1" width="4" customWidth="1"/>
    <col min="2" max="2" width="35.5" customWidth="1"/>
    <col min="8" max="8" width="11.6640625" bestFit="1" customWidth="1"/>
    <col min="9" max="9" width="11.6640625" customWidth="1"/>
    <col min="10" max="10" width="10.5" customWidth="1"/>
    <col min="11" max="11" width="11.83203125" customWidth="1"/>
    <col min="12" max="12" width="10.33203125" customWidth="1"/>
    <col min="13" max="14" width="10.5" customWidth="1"/>
    <col min="15" max="15" width="7" customWidth="1"/>
    <col min="16" max="16" width="13.6640625" customWidth="1"/>
  </cols>
  <sheetData>
    <row r="1" spans="2:22" ht="16" thickBot="1" x14ac:dyDescent="0.25"/>
    <row r="2" spans="2:22" ht="15" customHeight="1" x14ac:dyDescent="0.2">
      <c r="B2" s="289"/>
      <c r="C2" s="292"/>
      <c r="D2" s="292"/>
      <c r="E2" s="292"/>
      <c r="F2" s="292"/>
      <c r="G2" s="292"/>
      <c r="H2" s="292"/>
      <c r="I2" s="292"/>
      <c r="J2" s="292"/>
      <c r="K2" s="292"/>
      <c r="L2" s="292"/>
      <c r="M2" s="292"/>
      <c r="N2" s="293"/>
      <c r="O2" s="1"/>
      <c r="P2" s="1"/>
      <c r="Q2" s="1"/>
      <c r="R2" s="1"/>
      <c r="S2" s="1"/>
      <c r="T2" s="1"/>
      <c r="U2" s="1"/>
      <c r="V2" s="1"/>
    </row>
    <row r="3" spans="2:22" ht="15" customHeight="1" x14ac:dyDescent="0.2">
      <c r="B3" s="290"/>
      <c r="C3" s="294"/>
      <c r="D3" s="294"/>
      <c r="E3" s="294"/>
      <c r="F3" s="294"/>
      <c r="G3" s="294"/>
      <c r="H3" s="294"/>
      <c r="I3" s="294"/>
      <c r="J3" s="294"/>
      <c r="K3" s="294"/>
      <c r="L3" s="294"/>
      <c r="M3" s="294"/>
      <c r="N3" s="295"/>
      <c r="O3" s="1"/>
      <c r="P3" s="1"/>
      <c r="Q3" s="1"/>
      <c r="R3" s="1"/>
      <c r="S3" s="1"/>
      <c r="T3" s="1"/>
      <c r="U3" s="1"/>
      <c r="V3" s="1"/>
    </row>
    <row r="4" spans="2:22" ht="15" customHeight="1" x14ac:dyDescent="0.2">
      <c r="B4" s="290"/>
      <c r="C4" s="294"/>
      <c r="D4" s="294"/>
      <c r="E4" s="294"/>
      <c r="F4" s="294"/>
      <c r="G4" s="294"/>
      <c r="H4" s="294"/>
      <c r="I4" s="294"/>
      <c r="J4" s="294"/>
      <c r="K4" s="294"/>
      <c r="L4" s="294"/>
      <c r="M4" s="294"/>
      <c r="N4" s="295"/>
      <c r="O4" s="1"/>
      <c r="P4" s="1"/>
      <c r="Q4" s="1"/>
      <c r="R4" s="1"/>
      <c r="S4" s="1"/>
      <c r="T4" s="1"/>
      <c r="U4" s="1"/>
      <c r="V4" s="1"/>
    </row>
    <row r="5" spans="2:22" ht="15" customHeight="1" x14ac:dyDescent="0.2">
      <c r="B5" s="290"/>
      <c r="C5" s="294"/>
      <c r="D5" s="294"/>
      <c r="E5" s="294"/>
      <c r="F5" s="294"/>
      <c r="G5" s="294"/>
      <c r="H5" s="294"/>
      <c r="I5" s="294"/>
      <c r="J5" s="294"/>
      <c r="K5" s="294"/>
      <c r="L5" s="294"/>
      <c r="M5" s="294"/>
      <c r="N5" s="295"/>
      <c r="O5" s="1"/>
      <c r="P5" s="1"/>
      <c r="Q5" s="1"/>
      <c r="R5" s="1"/>
      <c r="S5" s="1"/>
      <c r="T5" s="1"/>
      <c r="U5" s="1"/>
      <c r="V5" s="1"/>
    </row>
    <row r="6" spans="2:22" ht="15" customHeight="1" x14ac:dyDescent="0.2">
      <c r="B6" s="290"/>
      <c r="C6" s="294"/>
      <c r="D6" s="294"/>
      <c r="E6" s="294"/>
      <c r="F6" s="294"/>
      <c r="G6" s="294"/>
      <c r="H6" s="294"/>
      <c r="I6" s="294"/>
      <c r="J6" s="294"/>
      <c r="K6" s="294"/>
      <c r="L6" s="294"/>
      <c r="M6" s="294"/>
      <c r="N6" s="295"/>
      <c r="O6" s="1"/>
      <c r="P6" s="1"/>
      <c r="Q6" s="1"/>
      <c r="R6" s="1"/>
      <c r="S6" s="1"/>
      <c r="T6" s="1"/>
      <c r="U6" s="1"/>
      <c r="V6" s="1"/>
    </row>
    <row r="7" spans="2:22" ht="48.75" customHeight="1" thickBot="1" x14ac:dyDescent="0.25">
      <c r="B7" s="290"/>
      <c r="C7" s="294"/>
      <c r="D7" s="294"/>
      <c r="E7" s="294"/>
      <c r="F7" s="294"/>
      <c r="G7" s="294"/>
      <c r="H7" s="294"/>
      <c r="I7" s="294"/>
      <c r="J7" s="296"/>
      <c r="K7" s="296"/>
      <c r="L7" s="296"/>
      <c r="M7" s="296"/>
      <c r="N7" s="297"/>
      <c r="O7" s="1"/>
      <c r="P7" s="1"/>
      <c r="Q7" s="1"/>
      <c r="R7" s="1"/>
      <c r="S7" s="1"/>
      <c r="T7" s="1"/>
      <c r="U7" s="1"/>
      <c r="V7" s="1"/>
    </row>
    <row r="8" spans="2:22" ht="18.75" customHeight="1" thickBot="1" x14ac:dyDescent="0.25">
      <c r="B8" s="302"/>
      <c r="C8" s="32">
        <v>2014</v>
      </c>
      <c r="D8" s="33">
        <v>2015</v>
      </c>
      <c r="E8" s="33">
        <v>2016</v>
      </c>
      <c r="F8" s="33">
        <v>2017</v>
      </c>
      <c r="G8" s="33">
        <v>2018</v>
      </c>
      <c r="H8" s="33">
        <v>2019</v>
      </c>
      <c r="I8" s="249">
        <v>2020</v>
      </c>
      <c r="J8" s="205">
        <v>2021</v>
      </c>
      <c r="K8" s="112">
        <v>2022</v>
      </c>
      <c r="L8" s="112">
        <v>2023</v>
      </c>
      <c r="M8" s="112">
        <v>2024</v>
      </c>
      <c r="N8" s="113">
        <v>2025</v>
      </c>
      <c r="O8" s="1"/>
      <c r="P8" s="1"/>
      <c r="Q8" s="1"/>
      <c r="R8" s="1"/>
      <c r="S8" s="1"/>
      <c r="T8" s="1"/>
      <c r="U8" s="1"/>
      <c r="V8" s="1"/>
    </row>
    <row r="9" spans="2:22" ht="17" thickBot="1" x14ac:dyDescent="0.25">
      <c r="B9" s="201" t="s">
        <v>22</v>
      </c>
      <c r="C9" s="118"/>
      <c r="D9" s="30"/>
      <c r="E9" s="30"/>
      <c r="F9" s="30"/>
      <c r="G9" s="30"/>
      <c r="H9" s="30"/>
      <c r="I9" s="250"/>
      <c r="J9" s="30"/>
      <c r="K9" s="30"/>
      <c r="L9" s="30"/>
      <c r="M9" s="57"/>
      <c r="N9" s="119"/>
      <c r="O9" s="303" t="s">
        <v>14</v>
      </c>
      <c r="P9" s="304"/>
      <c r="Q9" s="15">
        <v>61</v>
      </c>
      <c r="R9" s="1"/>
      <c r="S9" s="1"/>
      <c r="T9" s="1"/>
      <c r="U9" s="1"/>
      <c r="V9" s="1"/>
    </row>
    <row r="10" spans="2:22" ht="16" x14ac:dyDescent="0.2">
      <c r="B10" s="66" t="s">
        <v>21</v>
      </c>
      <c r="C10" s="117"/>
      <c r="D10" s="115"/>
      <c r="E10" s="115"/>
      <c r="F10" s="115"/>
      <c r="G10" s="115"/>
      <c r="H10" s="115">
        <f>$Q$9*'1.Income statement'!H27</f>
        <v>8235</v>
      </c>
      <c r="I10" s="251">
        <f>$Q$9*'1.Income statement'!I27</f>
        <v>7747</v>
      </c>
      <c r="J10" s="115">
        <f>$Q$9*'1.Income statement'!J27</f>
        <v>7320</v>
      </c>
      <c r="K10" s="115">
        <f>$Q$9*'1.Income statement'!K27</f>
        <v>6832</v>
      </c>
      <c r="L10" s="115">
        <f>$Q$9*'1.Income statement'!L27</f>
        <v>6344</v>
      </c>
      <c r="M10" s="115">
        <f>$Q$9*'1.Income statement'!M27</f>
        <v>5856</v>
      </c>
      <c r="N10" s="120">
        <f>$Q$9*'1.Income statement'!N27</f>
        <v>5368</v>
      </c>
      <c r="O10" s="14"/>
      <c r="P10" s="14"/>
      <c r="Q10" s="14"/>
      <c r="R10" s="1"/>
      <c r="S10" s="1"/>
      <c r="T10" s="1"/>
      <c r="U10" s="1"/>
      <c r="V10" s="1"/>
    </row>
    <row r="11" spans="2:22" ht="16" x14ac:dyDescent="0.2">
      <c r="B11" s="66" t="s">
        <v>50</v>
      </c>
      <c r="C11" s="117">
        <f>'3.retornos capital'!C15-'3.retornos capital'!C14</f>
        <v>0</v>
      </c>
      <c r="D11" s="115">
        <f>'3.retornos capital'!D15-'3.retornos capital'!D14</f>
        <v>0</v>
      </c>
      <c r="E11" s="115">
        <f>'3.retornos capital'!E15-'3.retornos capital'!E14</f>
        <v>0</v>
      </c>
      <c r="F11" s="115">
        <f>'3.retornos capital'!F15-'3.retornos capital'!F14</f>
        <v>26761</v>
      </c>
      <c r="G11" s="115">
        <f>'3.retornos capital'!G15-'3.retornos capital'!G14</f>
        <v>28303</v>
      </c>
      <c r="H11" s="115">
        <f>'3.retornos capital'!H15-'3.retornos capital'!H14</f>
        <v>28365</v>
      </c>
      <c r="I11" s="251">
        <f>'3.retornos capital'!I15-'3.retornos capital'!I14</f>
        <v>27494</v>
      </c>
      <c r="J11" s="271">
        <v>27000</v>
      </c>
      <c r="K11" s="271">
        <v>26500</v>
      </c>
      <c r="L11" s="271">
        <v>26000</v>
      </c>
      <c r="M11" s="271">
        <v>25500</v>
      </c>
      <c r="N11" s="272">
        <v>25000</v>
      </c>
      <c r="O11" s="305"/>
      <c r="P11" s="305"/>
      <c r="Q11" s="14"/>
      <c r="R11" s="1"/>
      <c r="S11" s="1"/>
      <c r="T11" s="1"/>
      <c r="U11" s="1"/>
      <c r="V11" s="1"/>
    </row>
    <row r="12" spans="2:22" ht="16" x14ac:dyDescent="0.2">
      <c r="B12" s="202" t="s">
        <v>75</v>
      </c>
      <c r="C12" s="204" t="e">
        <f>C11/'1.Income statement'!C12</f>
        <v>#DIV/0!</v>
      </c>
      <c r="D12" s="136" t="e">
        <f>D11/'1.Income statement'!D12</f>
        <v>#DIV/0!</v>
      </c>
      <c r="E12" s="136" t="e">
        <f>E11/'1.Income statement'!E12</f>
        <v>#DIV/0!</v>
      </c>
      <c r="F12" s="136">
        <f>F11/'1.Income statement'!F12</f>
        <v>6.4718258766626358</v>
      </c>
      <c r="G12" s="136">
        <f>G11/'1.Income statement'!G12</f>
        <v>6.9987636003956482</v>
      </c>
      <c r="H12" s="136">
        <f>H11/'1.Income statement'!H12</f>
        <v>6.2368073878627968</v>
      </c>
      <c r="I12" s="12">
        <f>I11/'1.Income statement'!I12</f>
        <v>7.5017735334242834</v>
      </c>
      <c r="J12" s="136">
        <f>J11/'1.Income statement'!J12</f>
        <v>6.6592298689446299</v>
      </c>
      <c r="K12" s="136">
        <f>K11/'1.Income statement'!K12</f>
        <v>6.3455444633956377</v>
      </c>
      <c r="L12" s="136">
        <f>L11/'1.Income statement'!L12</f>
        <v>6.0444827275430146</v>
      </c>
      <c r="M12" s="136">
        <f>M11/'1.Income statement'!M12</f>
        <v>5.7555754127089944</v>
      </c>
      <c r="N12" s="121">
        <f>N11/'1.Income statement'!N12</f>
        <v>5.4783698959727722</v>
      </c>
      <c r="O12" s="298"/>
      <c r="P12" s="298"/>
      <c r="Q12" s="14"/>
      <c r="R12" s="1"/>
      <c r="S12" s="1"/>
      <c r="T12" s="1"/>
      <c r="U12" s="1"/>
      <c r="V12" s="1"/>
    </row>
    <row r="13" spans="2:22" ht="16" x14ac:dyDescent="0.2">
      <c r="B13" s="203" t="s">
        <v>20</v>
      </c>
      <c r="C13" s="41"/>
      <c r="D13" s="42"/>
      <c r="E13" s="42"/>
      <c r="F13" s="42"/>
      <c r="G13" s="42"/>
      <c r="H13" s="42">
        <f>H10+H11</f>
        <v>36600</v>
      </c>
      <c r="I13" s="13">
        <f>I10+I11</f>
        <v>35241</v>
      </c>
      <c r="J13" s="42">
        <f t="shared" ref="J13:N13" si="0">J10+J11</f>
        <v>34320</v>
      </c>
      <c r="K13" s="42">
        <f t="shared" si="0"/>
        <v>33332</v>
      </c>
      <c r="L13" s="42">
        <f t="shared" si="0"/>
        <v>32344</v>
      </c>
      <c r="M13" s="42">
        <f t="shared" si="0"/>
        <v>31356</v>
      </c>
      <c r="N13" s="43">
        <f t="shared" si="0"/>
        <v>30368</v>
      </c>
      <c r="O13" s="298"/>
      <c r="P13" s="298"/>
      <c r="Q13" s="14"/>
      <c r="R13" s="1"/>
      <c r="S13" s="1"/>
      <c r="T13" s="1"/>
      <c r="U13" s="1"/>
      <c r="V13" s="1"/>
    </row>
    <row r="14" spans="2:22" ht="16" x14ac:dyDescent="0.2">
      <c r="B14" s="66" t="s">
        <v>6</v>
      </c>
      <c r="C14" s="117">
        <f>'1.Income statement'!C12</f>
        <v>0</v>
      </c>
      <c r="D14" s="115">
        <f>'1.Income statement'!D12</f>
        <v>0</v>
      </c>
      <c r="E14" s="115">
        <f>'1.Income statement'!E12</f>
        <v>0</v>
      </c>
      <c r="F14" s="115">
        <f>'1.Income statement'!F12</f>
        <v>4135</v>
      </c>
      <c r="G14" s="115">
        <f>'1.Income statement'!G12</f>
        <v>4044</v>
      </c>
      <c r="H14" s="248">
        <f>'1.Income statement'!H12</f>
        <v>4548</v>
      </c>
      <c r="I14" s="257">
        <f>'1.Income statement'!I12</f>
        <v>3665</v>
      </c>
      <c r="J14" s="115">
        <f>'1.Income statement'!J12</f>
        <v>4054.5228999999999</v>
      </c>
      <c r="K14" s="115">
        <f>'1.Income statement'!K12</f>
        <v>4176.1585869999999</v>
      </c>
      <c r="L14" s="115">
        <f>'1.Income statement'!L12</f>
        <v>4301.4433446100002</v>
      </c>
      <c r="M14" s="115">
        <f>'1.Income statement'!M12</f>
        <v>4430.4866449482997</v>
      </c>
      <c r="N14" s="122">
        <f>'1.Income statement'!N12</f>
        <v>4563.4012442967487</v>
      </c>
      <c r="O14" s="298"/>
      <c r="P14" s="298"/>
      <c r="Q14" s="14"/>
      <c r="R14" s="1"/>
      <c r="S14" s="1"/>
      <c r="T14" s="1"/>
      <c r="U14" s="1"/>
      <c r="V14" s="1"/>
    </row>
    <row r="15" spans="2:22" ht="16" x14ac:dyDescent="0.2">
      <c r="B15" s="66" t="s">
        <v>11</v>
      </c>
      <c r="C15" s="117">
        <f>'1.Income statement'!C15</f>
        <v>0</v>
      </c>
      <c r="D15" s="115">
        <f>'1.Income statement'!D15</f>
        <v>0</v>
      </c>
      <c r="E15" s="115">
        <f>'1.Income statement'!E15</f>
        <v>0</v>
      </c>
      <c r="F15" s="115">
        <f>'1.Income statement'!F15</f>
        <v>2408</v>
      </c>
      <c r="G15" s="115">
        <f>'1.Income statement'!G15</f>
        <v>2368</v>
      </c>
      <c r="H15" s="115">
        <f>'1.Income statement'!H15</f>
        <v>2705</v>
      </c>
      <c r="I15" s="251">
        <f>'1.Income statement'!I15</f>
        <v>2020</v>
      </c>
      <c r="J15" s="115">
        <f>'1.Income statement'!J15</f>
        <v>2360.1729</v>
      </c>
      <c r="K15" s="115">
        <f>'1.Income statement'!K15</f>
        <v>2430.978087</v>
      </c>
      <c r="L15" s="115">
        <f>'1.Income statement'!L15</f>
        <v>2503.9074296100002</v>
      </c>
      <c r="M15" s="115">
        <f>'1.Income statement'!M15</f>
        <v>2579.0246524982999</v>
      </c>
      <c r="N15" s="120">
        <f>'1.Income statement'!N15</f>
        <v>2656.3953920732492</v>
      </c>
      <c r="O15" s="298"/>
      <c r="P15" s="298"/>
      <c r="Q15" s="14"/>
      <c r="R15" s="1"/>
      <c r="S15" s="1"/>
      <c r="T15" s="1"/>
      <c r="U15" s="1"/>
      <c r="V15" s="1"/>
    </row>
    <row r="16" spans="2:22" ht="16" x14ac:dyDescent="0.2">
      <c r="B16" s="66" t="s">
        <v>12</v>
      </c>
      <c r="C16" s="117">
        <f>'1.Income statement'!C24</f>
        <v>0</v>
      </c>
      <c r="D16" s="115">
        <f>'1.Income statement'!D24</f>
        <v>0</v>
      </c>
      <c r="E16" s="115">
        <f>'1.Income statement'!E24</f>
        <v>0</v>
      </c>
      <c r="F16" s="115">
        <f>'1.Income statement'!F24</f>
        <v>1128</v>
      </c>
      <c r="G16" s="115">
        <f>'1.Income statement'!G24</f>
        <v>1049</v>
      </c>
      <c r="H16" s="115">
        <f>'1.Income statement'!H24</f>
        <v>1222</v>
      </c>
      <c r="I16" s="251">
        <f>'1.Income statement'!I24</f>
        <v>677</v>
      </c>
      <c r="J16" s="115">
        <f>'1.Income statement'!J24</f>
        <v>942.67495199999996</v>
      </c>
      <c r="K16" s="115">
        <f>'1.Income statement'!K24</f>
        <v>970.95520055999998</v>
      </c>
      <c r="L16" s="115">
        <f>'1.Income statement'!L24</f>
        <v>1000.0838565768</v>
      </c>
      <c r="M16" s="115">
        <f>'1.Income statement'!M24</f>
        <v>1030.086372274104</v>
      </c>
      <c r="N16" s="120">
        <f>'1.Income statement'!N24</f>
        <v>1060.9889634423273</v>
      </c>
      <c r="O16" s="299"/>
      <c r="P16" s="300"/>
      <c r="Q16" s="14"/>
      <c r="R16" s="1"/>
      <c r="S16" s="1"/>
      <c r="T16" s="1"/>
      <c r="U16" s="1"/>
      <c r="V16" s="1"/>
    </row>
    <row r="17" spans="2:22" ht="16" x14ac:dyDescent="0.2">
      <c r="B17" s="66" t="s">
        <v>13</v>
      </c>
      <c r="C17" s="117">
        <f>'2.Flujos de caja'!C15</f>
        <v>0</v>
      </c>
      <c r="D17" s="115">
        <f>'2.Flujos de caja'!D15</f>
        <v>0</v>
      </c>
      <c r="E17" s="115">
        <f>'2.Flujos de caja'!E15</f>
        <v>0</v>
      </c>
      <c r="F17" s="115">
        <f>'2.Flujos de caja'!F15</f>
        <v>-590</v>
      </c>
      <c r="G17" s="115">
        <f>'2.Flujos de caja'!G15</f>
        <v>-1401</v>
      </c>
      <c r="H17" s="115">
        <f>'2.Flujos de caja'!H15</f>
        <v>110</v>
      </c>
      <c r="I17" s="251">
        <f>'2.Flujos de caja'!I15</f>
        <v>1610</v>
      </c>
      <c r="J17" s="115">
        <f>'2.Flujos de caja'!J15</f>
        <v>1903.6649519999999</v>
      </c>
      <c r="K17" s="115">
        <f>'2.Flujos de caja'!K15</f>
        <v>1960.7749005599999</v>
      </c>
      <c r="L17" s="115">
        <f>'2.Flujos de caja'!L15</f>
        <v>2019.5981475768001</v>
      </c>
      <c r="M17" s="115">
        <f>'2.Flujos de caja'!M15</f>
        <v>2080.186092004104</v>
      </c>
      <c r="N17" s="120">
        <f>'2.Flujos de caja'!N15</f>
        <v>2142.5916747642264</v>
      </c>
      <c r="O17" s="298"/>
      <c r="P17" s="298"/>
      <c r="Q17" s="14"/>
      <c r="R17" s="1"/>
      <c r="S17" s="1"/>
      <c r="T17" s="1"/>
      <c r="U17" s="1"/>
      <c r="V17" s="1"/>
    </row>
    <row r="18" spans="2:22" ht="16" x14ac:dyDescent="0.2">
      <c r="B18" s="323" t="s">
        <v>71</v>
      </c>
      <c r="C18" s="322" t="e">
        <f>'3.retornos capital'!C17/'1.Income statement'!C27</f>
        <v>#DIV/0!</v>
      </c>
      <c r="D18" s="319" t="e">
        <f>'3.retornos capital'!D17/'1.Income statement'!D27</f>
        <v>#DIV/0!</v>
      </c>
      <c r="E18" s="319" t="e">
        <f>'3.retornos capital'!E17/'1.Income statement'!E27</f>
        <v>#DIV/0!</v>
      </c>
      <c r="F18" s="319">
        <f>'3.retornos capital'!F17/'1.Income statement'!F27</f>
        <v>51.724550898203596</v>
      </c>
      <c r="G18" s="319">
        <f>'3.retornos capital'!G17/'1.Income statement'!G27</f>
        <v>60</v>
      </c>
      <c r="H18" s="319">
        <f>'3.retornos capital'!H17/'1.Income statement'!H27</f>
        <v>69.496296296296293</v>
      </c>
      <c r="I18" s="320">
        <f>'3.retornos capital'!I17/'1.Income statement'!I27</f>
        <v>70.330708661417319</v>
      </c>
      <c r="J18" s="319">
        <f>'3.retornos capital'!J17/'1.Income statement'!J27</f>
        <v>76.666333333333327</v>
      </c>
      <c r="K18" s="319">
        <f>'3.retornos capital'!K17/'1.Income statement'!K27</f>
        <v>84.606774999999985</v>
      </c>
      <c r="L18" s="319">
        <f>'3.retornos capital'!L17/'1.Income statement'!L27</f>
        <v>93.84843811538461</v>
      </c>
      <c r="M18" s="319">
        <f>'3.retornos capital'!M17/'1.Income statement'!M27</f>
        <v>104.71921553041666</v>
      </c>
      <c r="N18" s="321">
        <f>'3.retornos capital'!N17/'1.Income statement'!N27</f>
        <v>117.66631854145</v>
      </c>
      <c r="O18" s="21"/>
      <c r="P18" s="21"/>
      <c r="Q18" s="14"/>
      <c r="R18" s="1"/>
      <c r="S18" s="1"/>
      <c r="T18" s="1"/>
      <c r="U18" s="1"/>
      <c r="V18" s="1"/>
    </row>
    <row r="19" spans="2:22" ht="17" thickBot="1" x14ac:dyDescent="0.25">
      <c r="B19" s="314" t="s">
        <v>76</v>
      </c>
      <c r="C19" s="315" t="e">
        <f>C11/'3.retornos capital'!C17</f>
        <v>#DIV/0!</v>
      </c>
      <c r="D19" s="316" t="e">
        <f>D11/'3.retornos capital'!D17</f>
        <v>#DIV/0!</v>
      </c>
      <c r="E19" s="316" t="e">
        <f>E11/'3.retornos capital'!E17</f>
        <v>#DIV/0!</v>
      </c>
      <c r="F19" s="316">
        <f>F11/'3.retornos capital'!F17</f>
        <v>3.0980551053484602</v>
      </c>
      <c r="G19" s="316">
        <f>G11/'3.retornos capital'!G17</f>
        <v>3.1872747747747749</v>
      </c>
      <c r="H19" s="316">
        <f>H11/'3.retornos capital'!H17</f>
        <v>3.0233425708804091</v>
      </c>
      <c r="I19" s="317">
        <f>I11/'3.retornos capital'!I17</f>
        <v>3.0781459919390954</v>
      </c>
      <c r="J19" s="316">
        <f>J11/'3.retornos capital'!J17</f>
        <v>2.9347953686755162</v>
      </c>
      <c r="K19" s="316">
        <f>K11/'3.retornos capital'!K17</f>
        <v>2.7965507828083851</v>
      </c>
      <c r="L19" s="316">
        <f>L11/'3.retornos capital'!L17</f>
        <v>2.6638695861153328</v>
      </c>
      <c r="M19" s="316">
        <f>M11/'3.retornos capital'!M17</f>
        <v>2.5365449755765863</v>
      </c>
      <c r="N19" s="318">
        <f>N11/'3.retornos capital'!N17</f>
        <v>2.4143774753251344</v>
      </c>
      <c r="O19" s="216"/>
      <c r="P19" s="216"/>
      <c r="Q19" s="14"/>
      <c r="R19" s="1"/>
      <c r="S19" s="1"/>
      <c r="T19" s="1"/>
      <c r="U19" s="1"/>
      <c r="V19" s="1"/>
    </row>
    <row r="20" spans="2:22" ht="17" thickBot="1" x14ac:dyDescent="0.25">
      <c r="B20" s="128"/>
      <c r="C20" s="129" t="s">
        <v>78</v>
      </c>
      <c r="D20" s="129" t="s">
        <v>41</v>
      </c>
      <c r="E20" s="208"/>
      <c r="F20" s="208"/>
      <c r="G20" s="208"/>
      <c r="H20" s="208"/>
      <c r="I20" s="209"/>
      <c r="J20" s="208"/>
      <c r="K20" s="208"/>
      <c r="L20" s="208"/>
      <c r="M20" s="208"/>
      <c r="N20" s="210"/>
      <c r="O20" s="301"/>
      <c r="P20" s="301"/>
      <c r="Q20" s="5"/>
      <c r="R20" s="1"/>
      <c r="S20" s="1"/>
      <c r="T20" s="1"/>
      <c r="U20" s="1"/>
      <c r="V20" s="1"/>
    </row>
    <row r="21" spans="2:22" ht="20" thickBot="1" x14ac:dyDescent="0.25">
      <c r="B21" s="206" t="s">
        <v>19</v>
      </c>
      <c r="C21" s="116">
        <f>(L21/$Q$9)^(1/3)-1</f>
        <v>0.23675828837150914</v>
      </c>
      <c r="D21" s="116">
        <f>(N21/$Q$9)^(1/5)-1</f>
        <v>0.18854579820199002</v>
      </c>
      <c r="E21" s="6" t="s">
        <v>48</v>
      </c>
      <c r="F21" s="6"/>
      <c r="G21" s="6"/>
      <c r="H21" s="146"/>
      <c r="I21" s="311">
        <f>IF(--I11&lt;0,(I16*$Q$21-I11),IF(--I11&gt;0,I16*$Q$21))/'1.Income statement'!I27</f>
        <v>63.968503937007874</v>
      </c>
      <c r="J21" s="312">
        <f>IF(--J11&lt;0,(J16*$Q$21-J11),IF(--J11&gt;0,J16*$Q$21))/'1.Income statement'!J27</f>
        <v>94.267495199999999</v>
      </c>
      <c r="K21" s="312">
        <f>IF(--K11&lt;0,(K16*$Q$21-K11),IF(--K11&gt;0,K16*$Q$21))/'1.Income statement'!K27</f>
        <v>104.03091434571429</v>
      </c>
      <c r="L21" s="312">
        <f>IF(--L11&lt;0,(L16*$Q$21-L11),IF(--L11&gt;0,L16*$Q$21))/'1.Income statement'!L27</f>
        <v>115.39429114347693</v>
      </c>
      <c r="M21" s="312">
        <f>IF(--M11&lt;0,(M16*$Q$21-M11),IF(--M11&gt;0,M16*$Q$21))/'1.Income statement'!M27</f>
        <v>128.76079653426299</v>
      </c>
      <c r="N21" s="313">
        <f>IF(--N11&lt;0,(N16*$Q$21-N11),IF(--N11&gt;0,N16*$Q$21))/'1.Income statement'!N27</f>
        <v>144.680313196681</v>
      </c>
      <c r="O21" s="130" t="s">
        <v>23</v>
      </c>
      <c r="P21" s="130"/>
      <c r="Q21" s="9">
        <v>12</v>
      </c>
      <c r="R21" s="1"/>
      <c r="S21" s="1"/>
      <c r="T21" s="1"/>
      <c r="U21" s="1"/>
      <c r="V21" s="1"/>
    </row>
    <row r="22" spans="2:22" ht="20" thickBot="1" x14ac:dyDescent="0.25">
      <c r="B22" s="206" t="s">
        <v>74</v>
      </c>
      <c r="C22" s="114">
        <f t="shared" ref="C22" si="1">(L22/$Q$9)^(1/3)-1</f>
        <v>0.11458512102610685</v>
      </c>
      <c r="D22" s="114">
        <f>(N22/$Q$9)^(1/5)-1</f>
        <v>0.11663945249477115</v>
      </c>
      <c r="E22" s="7" t="s">
        <v>72</v>
      </c>
      <c r="F22" s="57"/>
      <c r="G22" s="57"/>
      <c r="H22" s="146"/>
      <c r="I22" s="311">
        <f>I18*$Q$22</f>
        <v>63.297637795275591</v>
      </c>
      <c r="J22" s="312">
        <f>J18*$Q$22</f>
        <v>68.99969999999999</v>
      </c>
      <c r="K22" s="312">
        <f t="shared" ref="K22:N22" si="2">K18*$Q$22</f>
        <v>76.146097499999982</v>
      </c>
      <c r="L22" s="312">
        <f t="shared" si="2"/>
        <v>84.463594303846151</v>
      </c>
      <c r="M22" s="312">
        <f t="shared" si="2"/>
        <v>94.247293977374994</v>
      </c>
      <c r="N22" s="313">
        <f t="shared" si="2"/>
        <v>105.89968668730499</v>
      </c>
      <c r="O22" s="291" t="s">
        <v>73</v>
      </c>
      <c r="P22" s="291"/>
      <c r="Q22" s="9">
        <v>0.9</v>
      </c>
      <c r="R22" s="1"/>
      <c r="S22" s="1"/>
      <c r="T22" s="1"/>
      <c r="U22" s="1"/>
      <c r="V22" s="1"/>
    </row>
    <row r="23" spans="2:22" ht="20" thickBot="1" x14ac:dyDescent="0.25">
      <c r="B23" s="206"/>
      <c r="C23" s="211"/>
      <c r="D23" s="57"/>
      <c r="E23" s="7"/>
      <c r="F23" s="57"/>
      <c r="G23" s="57"/>
      <c r="H23" s="146"/>
      <c r="I23" s="18"/>
      <c r="J23" s="19"/>
      <c r="K23" s="19"/>
      <c r="L23" s="19"/>
      <c r="M23" s="19"/>
      <c r="N23" s="123"/>
      <c r="O23" s="291"/>
      <c r="P23" s="291"/>
      <c r="Q23" s="9"/>
      <c r="R23" s="1"/>
      <c r="S23" s="1"/>
      <c r="T23" s="1"/>
      <c r="U23" s="1"/>
      <c r="V23" s="1"/>
    </row>
    <row r="24" spans="2:22" ht="20" thickBot="1" x14ac:dyDescent="0.25">
      <c r="B24" s="207"/>
      <c r="C24" s="212"/>
      <c r="D24" s="124"/>
      <c r="E24" s="125"/>
      <c r="F24" s="124"/>
      <c r="G24" s="124"/>
      <c r="H24" s="247"/>
      <c r="I24" s="247"/>
      <c r="J24" s="252"/>
      <c r="K24" s="126"/>
      <c r="L24" s="126"/>
      <c r="M24" s="126"/>
      <c r="N24" s="127"/>
      <c r="O24" s="291"/>
      <c r="P24" s="291"/>
      <c r="Q24" s="9"/>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B2:B8"/>
    <mergeCell ref="O9:P9"/>
    <mergeCell ref="O11:P11"/>
    <mergeCell ref="O12:P12"/>
    <mergeCell ref="O22:P22"/>
    <mergeCell ref="O23:P23"/>
    <mergeCell ref="O24:P24"/>
    <mergeCell ref="C2:N7"/>
    <mergeCell ref="O13:P13"/>
    <mergeCell ref="O14:P14"/>
    <mergeCell ref="O15:P15"/>
    <mergeCell ref="O16:P16"/>
    <mergeCell ref="O17:P17"/>
    <mergeCell ref="O20:P20"/>
  </mergeCells>
  <dataValidations count="1">
    <dataValidation type="list" allowBlank="1" showInputMessage="1" showErrorMessage="1" sqref="Q12"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10" workbookViewId="0">
      <selection activeCell="F17" sqref="F17"/>
    </sheetView>
  </sheetViews>
  <sheetFormatPr baseColWidth="10" defaultRowHeight="15" x14ac:dyDescent="0.2"/>
  <cols>
    <col min="2" max="2" width="105.1640625" customWidth="1"/>
    <col min="9" max="9" width="11.5" customWidth="1"/>
  </cols>
  <sheetData>
    <row r="3" spans="2:9" ht="51" customHeight="1" x14ac:dyDescent="0.2">
      <c r="B3" s="171" t="s">
        <v>61</v>
      </c>
      <c r="C3" s="168"/>
      <c r="D3" s="168"/>
      <c r="E3" s="168"/>
      <c r="F3" s="168"/>
      <c r="G3" s="168"/>
    </row>
    <row r="4" spans="2:9" ht="46.5" customHeight="1" x14ac:dyDescent="0.2">
      <c r="B4" s="170" t="s">
        <v>49</v>
      </c>
      <c r="C4" s="165"/>
      <c r="D4" s="165"/>
      <c r="E4" s="153"/>
      <c r="F4" s="165"/>
      <c r="G4" s="165"/>
      <c r="H4" s="165"/>
      <c r="I4" s="169"/>
    </row>
    <row r="5" spans="2:9" ht="21" customHeight="1" x14ac:dyDescent="0.2">
      <c r="B5" s="166"/>
      <c r="C5" s="165"/>
      <c r="D5" s="165"/>
      <c r="E5" s="165"/>
      <c r="F5" s="165"/>
      <c r="G5" s="165"/>
      <c r="H5" s="165"/>
      <c r="I5" s="169"/>
    </row>
    <row r="6" spans="2:9" ht="21" customHeight="1" x14ac:dyDescent="0.2">
      <c r="B6" s="306" t="s">
        <v>62</v>
      </c>
      <c r="C6" s="306"/>
      <c r="D6" s="306"/>
      <c r="E6" s="306"/>
      <c r="F6" s="306"/>
      <c r="G6" s="306"/>
      <c r="H6" s="306"/>
      <c r="I6" s="306"/>
    </row>
    <row r="7" spans="2:9" ht="21" customHeight="1" thickBot="1" x14ac:dyDescent="0.3">
      <c r="B7" s="157"/>
      <c r="C7" s="157"/>
      <c r="D7" s="157"/>
      <c r="E7" s="157"/>
      <c r="F7" s="157"/>
      <c r="G7" s="157"/>
      <c r="H7" s="157"/>
      <c r="I7" s="157"/>
    </row>
    <row r="8" spans="2:9" ht="57" customHeight="1" thickBot="1" x14ac:dyDescent="0.3">
      <c r="B8" s="174" t="s">
        <v>63</v>
      </c>
      <c r="C8" s="157"/>
      <c r="D8" s="157"/>
      <c r="E8" s="157"/>
      <c r="F8" s="157"/>
      <c r="G8" s="157"/>
      <c r="H8" s="157"/>
      <c r="I8" s="157"/>
    </row>
    <row r="9" spans="2:9" s="153" customFormat="1" ht="21" customHeight="1" x14ac:dyDescent="0.2">
      <c r="B9" s="162" t="s">
        <v>51</v>
      </c>
      <c r="C9" s="159"/>
      <c r="D9" s="159"/>
      <c r="E9" s="159"/>
      <c r="F9" s="159"/>
      <c r="G9" s="159"/>
      <c r="H9" s="159"/>
      <c r="I9" s="159"/>
    </row>
    <row r="10" spans="2:9" s="153" customFormat="1" ht="21" customHeight="1" x14ac:dyDescent="0.2">
      <c r="B10" s="160" t="s">
        <v>56</v>
      </c>
      <c r="C10" s="159"/>
      <c r="D10" s="159"/>
      <c r="E10" s="159"/>
      <c r="F10" s="159"/>
      <c r="G10" s="159"/>
      <c r="H10" s="159"/>
      <c r="I10" s="159"/>
    </row>
    <row r="11" spans="2:9" s="153" customFormat="1" ht="21" customHeight="1" x14ac:dyDescent="0.2">
      <c r="B11" s="160" t="s">
        <v>52</v>
      </c>
      <c r="C11" s="159"/>
      <c r="D11" s="159"/>
      <c r="E11" s="159"/>
      <c r="F11" s="159"/>
      <c r="G11" s="159"/>
      <c r="H11" s="159"/>
      <c r="I11" s="159"/>
    </row>
    <row r="12" spans="2:9" s="153" customFormat="1" ht="21" customHeight="1" x14ac:dyDescent="0.2">
      <c r="B12" s="160" t="s">
        <v>53</v>
      </c>
      <c r="C12" s="159"/>
      <c r="D12" s="159"/>
      <c r="E12" s="159"/>
      <c r="F12" s="159"/>
      <c r="G12" s="159"/>
      <c r="H12" s="159"/>
      <c r="I12" s="159"/>
    </row>
    <row r="13" spans="2:9" s="153" customFormat="1" ht="21" customHeight="1" x14ac:dyDescent="0.2">
      <c r="B13" s="160" t="s">
        <v>55</v>
      </c>
      <c r="C13" s="159"/>
      <c r="D13" s="159"/>
      <c r="E13" s="159"/>
      <c r="F13" s="159"/>
      <c r="G13" s="159"/>
      <c r="H13" s="159"/>
      <c r="I13" s="159"/>
    </row>
    <row r="14" spans="2:9" s="153" customFormat="1" ht="21" customHeight="1" x14ac:dyDescent="0.2">
      <c r="B14" s="160" t="s">
        <v>69</v>
      </c>
      <c r="C14" s="159"/>
      <c r="D14" s="159"/>
      <c r="E14" s="159"/>
      <c r="F14" s="159"/>
      <c r="G14" s="159"/>
      <c r="H14" s="159"/>
      <c r="I14" s="159"/>
    </row>
    <row r="15" spans="2:9" s="153" customFormat="1" ht="18" customHeight="1" x14ac:dyDescent="0.2">
      <c r="B15" s="307" t="s">
        <v>54</v>
      </c>
      <c r="C15" s="159"/>
      <c r="D15" s="159"/>
      <c r="E15" s="159"/>
      <c r="F15" s="159"/>
      <c r="G15" s="159"/>
      <c r="H15" s="159"/>
      <c r="I15" s="159"/>
    </row>
    <row r="16" spans="2:9" s="153" customFormat="1" ht="39" customHeight="1" thickBot="1" x14ac:dyDescent="0.25">
      <c r="B16" s="308"/>
      <c r="C16" s="159"/>
      <c r="D16" s="159"/>
      <c r="E16" s="159"/>
      <c r="F16" s="159"/>
      <c r="G16" s="159"/>
      <c r="H16" s="159"/>
      <c r="I16" s="159"/>
    </row>
    <row r="17" spans="2:9" s="153" customFormat="1" ht="57" customHeight="1" thickBot="1" x14ac:dyDescent="0.25">
      <c r="B17" s="175" t="s">
        <v>64</v>
      </c>
      <c r="C17" s="154"/>
      <c r="D17" s="154"/>
      <c r="E17" s="154"/>
      <c r="F17" s="154"/>
      <c r="G17" s="154"/>
      <c r="H17" s="154"/>
      <c r="I17" s="154"/>
    </row>
    <row r="18" spans="2:9" s="153" customFormat="1" ht="23.25" customHeight="1" thickBot="1" x14ac:dyDescent="0.25">
      <c r="B18" s="172" t="s">
        <v>67</v>
      </c>
      <c r="C18" s="158"/>
      <c r="D18" s="158"/>
      <c r="E18" s="158"/>
      <c r="F18" s="158"/>
      <c r="G18" s="158"/>
      <c r="H18" s="158"/>
      <c r="I18" s="158"/>
    </row>
    <row r="19" spans="2:9" ht="57" customHeight="1" thickBot="1" x14ac:dyDescent="0.25">
      <c r="B19" s="175" t="s">
        <v>65</v>
      </c>
      <c r="C19" s="158"/>
      <c r="D19" s="158"/>
      <c r="E19" s="158"/>
      <c r="F19" s="158"/>
      <c r="G19" s="158"/>
      <c r="H19" s="158"/>
      <c r="I19" s="158"/>
    </row>
    <row r="20" spans="2:9" ht="21" customHeight="1" x14ac:dyDescent="0.2">
      <c r="B20" s="309" t="s">
        <v>57</v>
      </c>
      <c r="C20" s="153"/>
      <c r="D20" s="153"/>
      <c r="E20" s="153"/>
      <c r="F20" s="153"/>
      <c r="G20" s="153"/>
      <c r="H20" s="153"/>
      <c r="I20" s="153"/>
    </row>
    <row r="21" spans="2:9" ht="21" customHeight="1" x14ac:dyDescent="0.2">
      <c r="B21" s="307"/>
      <c r="C21" s="158"/>
      <c r="D21" s="158"/>
      <c r="E21" s="158"/>
      <c r="F21" s="158"/>
      <c r="G21" s="158"/>
      <c r="H21" s="158"/>
      <c r="I21" s="158"/>
    </row>
    <row r="22" spans="2:9" ht="33" customHeight="1" thickBot="1" x14ac:dyDescent="0.25">
      <c r="B22" s="308"/>
      <c r="C22" s="158"/>
      <c r="D22" s="158"/>
      <c r="E22" s="158"/>
      <c r="F22" s="158"/>
      <c r="G22" s="158"/>
      <c r="H22" s="158"/>
      <c r="I22" s="158"/>
    </row>
    <row r="23" spans="2:9" ht="57" customHeight="1" thickBot="1" x14ac:dyDescent="0.25">
      <c r="B23" s="175" t="s">
        <v>66</v>
      </c>
      <c r="C23" s="158"/>
      <c r="D23" s="158"/>
      <c r="E23" s="158"/>
      <c r="F23" s="158"/>
      <c r="G23" s="158"/>
      <c r="H23" s="158"/>
      <c r="I23" s="158"/>
    </row>
    <row r="24" spans="2:9" ht="35.25" customHeight="1" x14ac:dyDescent="0.2">
      <c r="B24" s="162" t="s">
        <v>68</v>
      </c>
      <c r="C24" s="158"/>
      <c r="D24" s="158"/>
      <c r="E24" s="158"/>
      <c r="F24" s="158"/>
      <c r="G24" s="158"/>
      <c r="H24" s="158"/>
      <c r="I24" s="158"/>
    </row>
    <row r="25" spans="2:9" ht="72" customHeight="1" thickBot="1" x14ac:dyDescent="0.25">
      <c r="B25" s="161" t="s">
        <v>58</v>
      </c>
      <c r="C25" s="158"/>
      <c r="D25" s="158"/>
      <c r="E25" s="158"/>
      <c r="F25" s="158"/>
      <c r="G25" s="158"/>
      <c r="H25" s="158"/>
      <c r="I25" s="158"/>
    </row>
    <row r="26" spans="2:9" ht="26.25" customHeight="1" x14ac:dyDescent="0.2">
      <c r="B26" s="164"/>
      <c r="C26" s="158"/>
      <c r="D26" s="158"/>
      <c r="E26" s="158"/>
      <c r="F26" s="158"/>
      <c r="G26" s="158"/>
      <c r="H26" s="158"/>
      <c r="I26" s="158"/>
    </row>
    <row r="27" spans="2:9" ht="21" x14ac:dyDescent="0.25">
      <c r="B27" s="173" t="s">
        <v>60</v>
      </c>
      <c r="C27" s="163"/>
      <c r="D27" s="163"/>
      <c r="E27" s="163"/>
    </row>
    <row r="28" spans="2:9" ht="61.5" customHeight="1" x14ac:dyDescent="0.2">
      <c r="B28" s="167" t="s">
        <v>59</v>
      </c>
      <c r="C28" s="165"/>
      <c r="D28" s="165"/>
      <c r="E28" s="165"/>
      <c r="F28" s="165"/>
      <c r="G28" s="165"/>
      <c r="H28" s="165"/>
      <c r="I28" s="165"/>
    </row>
    <row r="29" spans="2:9" ht="28.5" customHeight="1" x14ac:dyDescent="0.2">
      <c r="B29" s="310"/>
      <c r="C29" s="310"/>
      <c r="D29" s="310"/>
      <c r="E29" s="310"/>
      <c r="F29" s="310"/>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2021-04-18T01:04:28Z</dcterms:modified>
</cp:coreProperties>
</file>