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_{1B135CA5-F8A4-4F49-9FC8-991DA04EF6B1}" xr6:coauthVersionLast="46" xr6:coauthVersionMax="46" xr10:uidLastSave="{00000000-0000-0000-0000-000000000000}"/>
  <bookViews>
    <workbookView xWindow="-120" yWindow="-120" windowWidth="29040" windowHeight="1584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3" l="1"/>
  <c r="J11" i="1" l="1"/>
  <c r="J11" i="2"/>
  <c r="I14" i="2"/>
  <c r="J23" i="1"/>
  <c r="I19" i="1" l="1"/>
  <c r="I21" i="1" s="1"/>
  <c r="D19" i="1"/>
  <c r="D21" i="1" s="1"/>
  <c r="C19" i="1"/>
  <c r="C21" i="1" s="1"/>
  <c r="H16" i="1"/>
  <c r="F16" i="1"/>
  <c r="E16" i="1"/>
  <c r="D16" i="1"/>
  <c r="C16" i="1"/>
  <c r="I15" i="1"/>
  <c r="I16" i="1" s="1"/>
  <c r="H15" i="1"/>
  <c r="H19" i="1" s="1"/>
  <c r="G15" i="1"/>
  <c r="G16" i="1" s="1"/>
  <c r="F15" i="1"/>
  <c r="F12" i="1" s="1"/>
  <c r="F13" i="1" s="1"/>
  <c r="E15" i="1"/>
  <c r="E12" i="1" s="1"/>
  <c r="E13" i="1" s="1"/>
  <c r="D13" i="1"/>
  <c r="I12" i="1"/>
  <c r="I15" i="5" s="1"/>
  <c r="I23" i="5" s="1"/>
  <c r="H12" i="1"/>
  <c r="H13" i="1" s="1"/>
  <c r="G12" i="1"/>
  <c r="G13" i="1" s="1"/>
  <c r="D12" i="1"/>
  <c r="C12" i="1"/>
  <c r="C13" i="1" s="1"/>
  <c r="I11" i="1"/>
  <c r="H11" i="1"/>
  <c r="G11" i="1"/>
  <c r="F11" i="1"/>
  <c r="E11" i="1"/>
  <c r="D11" i="1"/>
  <c r="C11" i="1"/>
  <c r="I10" i="5"/>
  <c r="I11" i="5"/>
  <c r="I16" i="5"/>
  <c r="I19" i="5"/>
  <c r="I24" i="5" s="1"/>
  <c r="I18" i="3"/>
  <c r="I19" i="3"/>
  <c r="I10" i="3"/>
  <c r="I11" i="3"/>
  <c r="I12" i="3"/>
  <c r="I10" i="2"/>
  <c r="I15" i="2" s="1"/>
  <c r="I18" i="5" s="1"/>
  <c r="I12" i="2"/>
  <c r="J17" i="1"/>
  <c r="J14" i="1"/>
  <c r="J10" i="1"/>
  <c r="I22" i="5" l="1"/>
  <c r="E19" i="1"/>
  <c r="E21" i="1" s="1"/>
  <c r="F19" i="1"/>
  <c r="I16" i="2"/>
  <c r="I13" i="1"/>
  <c r="C22" i="1"/>
  <c r="C24" i="1" s="1"/>
  <c r="I12" i="5"/>
  <c r="I22" i="3"/>
  <c r="I14" i="5"/>
  <c r="I13" i="5"/>
  <c r="H22" i="1"/>
  <c r="H24" i="1" s="1"/>
  <c r="H21" i="1"/>
  <c r="C26" i="1"/>
  <c r="C25" i="1"/>
  <c r="G19" i="1"/>
  <c r="I22" i="1"/>
  <c r="I24" i="1" s="1"/>
  <c r="I23" i="3"/>
  <c r="D22" i="1"/>
  <c r="D24" i="1" s="1"/>
  <c r="E22" i="1" l="1"/>
  <c r="E24" i="1" s="1"/>
  <c r="E25" i="1" s="1"/>
  <c r="F22" i="1"/>
  <c r="F24" i="1" s="1"/>
  <c r="F21" i="1"/>
  <c r="I26" i="1"/>
  <c r="I17" i="5"/>
  <c r="I13" i="3"/>
  <c r="I21" i="3" s="1"/>
  <c r="I25" i="1"/>
  <c r="D25" i="1"/>
  <c r="D26" i="1"/>
  <c r="G21" i="1"/>
  <c r="G22" i="1"/>
  <c r="G24" i="1" s="1"/>
  <c r="H25" i="1"/>
  <c r="H26" i="1"/>
  <c r="E26" i="1" l="1"/>
  <c r="F26" i="1"/>
  <c r="F25" i="1"/>
  <c r="G25" i="1"/>
  <c r="G26" i="1"/>
  <c r="K11" i="1" l="1"/>
  <c r="K10" i="1"/>
  <c r="C19" i="5" l="1"/>
  <c r="D19" i="5"/>
  <c r="E19" i="5"/>
  <c r="F19" i="5"/>
  <c r="G19" i="5"/>
  <c r="H19" i="5"/>
  <c r="K23" i="1" l="1"/>
  <c r="L23" i="1" s="1"/>
  <c r="M23" i="1" s="1"/>
  <c r="N23" i="1" s="1"/>
  <c r="G11" i="5" l="1"/>
  <c r="G13"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E13" i="3"/>
  <c r="E21" i="3" s="1"/>
  <c r="D13" i="3"/>
  <c r="D21" i="3" s="1"/>
  <c r="C13" i="3"/>
  <c r="C21" i="3" s="1"/>
  <c r="D23" i="3" l="1"/>
  <c r="E23" i="3"/>
  <c r="C23" i="3"/>
  <c r="F23" i="3"/>
  <c r="C22" i="3"/>
  <c r="E22" i="3"/>
  <c r="G22" i="3"/>
  <c r="G23" i="3"/>
  <c r="D22" i="3"/>
  <c r="F22" i="3"/>
  <c r="F13" i="3"/>
  <c r="F21" i="3" s="1"/>
  <c r="G13" i="3"/>
  <c r="G21" i="3" s="1"/>
  <c r="H11" i="5" l="1"/>
  <c r="P10" i="3"/>
  <c r="J17" i="3" l="1"/>
  <c r="J14" i="3"/>
  <c r="J15" i="3"/>
  <c r="J16" i="3"/>
  <c r="K16" i="3" s="1"/>
  <c r="H13" i="5"/>
  <c r="C11" i="5"/>
  <c r="C13" i="5" s="1"/>
  <c r="D11" i="5"/>
  <c r="D13" i="5" s="1"/>
  <c r="E11" i="5"/>
  <c r="E13" i="5" s="1"/>
  <c r="F11" i="5"/>
  <c r="F13" i="5" s="1"/>
  <c r="C12" i="5" l="1"/>
  <c r="F12" i="5"/>
  <c r="G12" i="5"/>
  <c r="D12" i="5"/>
  <c r="E12" i="5"/>
  <c r="H18" i="3"/>
  <c r="H19" i="3"/>
  <c r="H16" i="5" l="1"/>
  <c r="G16" i="5"/>
  <c r="F16" i="5"/>
  <c r="E16" i="5"/>
  <c r="D16" i="5"/>
  <c r="C16" i="5"/>
  <c r="N10" i="5"/>
  <c r="N14" i="5" s="1"/>
  <c r="M10" i="5"/>
  <c r="M14" i="5" s="1"/>
  <c r="L10" i="5"/>
  <c r="L14" i="5" s="1"/>
  <c r="K10" i="5"/>
  <c r="K14" i="5" s="1"/>
  <c r="J10" i="5"/>
  <c r="J14" i="5" s="1"/>
  <c r="H10" i="5"/>
  <c r="H14" i="5" s="1"/>
  <c r="H12" i="3" l="1"/>
  <c r="H11" i="3"/>
  <c r="H10" i="3"/>
  <c r="H23" i="3" s="1"/>
  <c r="H22" i="3" l="1"/>
  <c r="K14" i="1" l="1"/>
  <c r="L14" i="1" s="1"/>
  <c r="M14" i="1" s="1"/>
  <c r="N14" i="1" s="1"/>
  <c r="C15" i="5"/>
  <c r="D15" i="5"/>
  <c r="E15" i="5"/>
  <c r="F15" i="5"/>
  <c r="G15" i="5"/>
  <c r="H15" i="5" l="1"/>
  <c r="H12" i="5"/>
  <c r="K15" i="3"/>
  <c r="K14" i="3"/>
  <c r="L14" i="3" s="1"/>
  <c r="M14" i="3" s="1"/>
  <c r="N14" i="3" s="1"/>
  <c r="L16" i="3"/>
  <c r="M16" i="3" s="1"/>
  <c r="N16" i="3" s="1"/>
  <c r="J19" i="5" l="1"/>
  <c r="J24" i="5" s="1"/>
  <c r="J13" i="5"/>
  <c r="J19" i="3"/>
  <c r="J18" i="3"/>
  <c r="K17" i="3"/>
  <c r="K13" i="5" s="1"/>
  <c r="L15" i="3"/>
  <c r="K11" i="2"/>
  <c r="L11" i="2" s="1"/>
  <c r="M11" i="2" s="1"/>
  <c r="N11" i="2" s="1"/>
  <c r="C12" i="2"/>
  <c r="D12" i="2"/>
  <c r="E12" i="2"/>
  <c r="F12" i="2"/>
  <c r="G12" i="2"/>
  <c r="H12" i="2"/>
  <c r="C10" i="2"/>
  <c r="D10" i="2"/>
  <c r="E10" i="2"/>
  <c r="F10" i="2"/>
  <c r="G10" i="2"/>
  <c r="H10" i="2"/>
  <c r="K21" i="1"/>
  <c r="L21" i="1"/>
  <c r="N21" i="1"/>
  <c r="J21" i="1"/>
  <c r="J15" i="1"/>
  <c r="L11" i="1"/>
  <c r="M11" i="1"/>
  <c r="N11" i="1"/>
  <c r="E15" i="2" l="1"/>
  <c r="C15" i="2"/>
  <c r="C18" i="5" s="1"/>
  <c r="H15" i="2"/>
  <c r="G15" i="2"/>
  <c r="F15" i="2"/>
  <c r="D15" i="2"/>
  <c r="D18" i="5" s="1"/>
  <c r="K18" i="3"/>
  <c r="K19" i="5"/>
  <c r="K24" i="5" s="1"/>
  <c r="K19" i="3"/>
  <c r="J16" i="5"/>
  <c r="J10" i="3"/>
  <c r="J23" i="3" s="1"/>
  <c r="J12" i="2"/>
  <c r="J11" i="3"/>
  <c r="L17" i="3"/>
  <c r="L13" i="5" s="1"/>
  <c r="M15" i="3"/>
  <c r="J12" i="1"/>
  <c r="J10" i="2" s="1"/>
  <c r="J16" i="1"/>
  <c r="K17" i="1"/>
  <c r="K15" i="1"/>
  <c r="E18" i="5"/>
  <c r="G18" i="5"/>
  <c r="F18" i="5"/>
  <c r="H18" i="5"/>
  <c r="L18" i="3" l="1"/>
  <c r="L19" i="5"/>
  <c r="L24" i="5" s="1"/>
  <c r="C24" i="5" s="1"/>
  <c r="L19" i="3"/>
  <c r="J22" i="3"/>
  <c r="K16" i="5"/>
  <c r="K10" i="3"/>
  <c r="J12" i="5"/>
  <c r="J15" i="5"/>
  <c r="J23" i="5" s="1"/>
  <c r="J13" i="1"/>
  <c r="L17" i="1"/>
  <c r="L12" i="2" s="1"/>
  <c r="K11" i="3"/>
  <c r="M17" i="3"/>
  <c r="M13" i="5" s="1"/>
  <c r="N15" i="3"/>
  <c r="K12" i="2"/>
  <c r="K12" i="1"/>
  <c r="K16" i="1"/>
  <c r="L10" i="1"/>
  <c r="L15" i="1" s="1"/>
  <c r="D16" i="2"/>
  <c r="C16" i="2"/>
  <c r="H16" i="2"/>
  <c r="G16" i="2"/>
  <c r="F16" i="2"/>
  <c r="E16" i="2"/>
  <c r="M18" i="3" l="1"/>
  <c r="M19" i="5"/>
  <c r="M24" i="5" s="1"/>
  <c r="M19" i="3"/>
  <c r="C17" i="5"/>
  <c r="G17" i="5"/>
  <c r="F17" i="5"/>
  <c r="L16" i="5"/>
  <c r="L10" i="3"/>
  <c r="L23" i="3" s="1"/>
  <c r="M17" i="1"/>
  <c r="M12" i="2" s="1"/>
  <c r="L11" i="3"/>
  <c r="K15" i="5"/>
  <c r="K23" i="5" s="1"/>
  <c r="K12" i="5"/>
  <c r="K13" i="1"/>
  <c r="H17" i="5"/>
  <c r="H13" i="3"/>
  <c r="H21" i="3" s="1"/>
  <c r="K22" i="3"/>
  <c r="K23" i="3"/>
  <c r="N17" i="3"/>
  <c r="N13" i="5" s="1"/>
  <c r="M10" i="1"/>
  <c r="M15" i="1" s="1"/>
  <c r="L12" i="1"/>
  <c r="L16" i="1"/>
  <c r="N18" i="3" l="1"/>
  <c r="N19" i="5"/>
  <c r="N24" i="5" s="1"/>
  <c r="N19" i="3"/>
  <c r="L22" i="3"/>
  <c r="D17" i="5"/>
  <c r="N17" i="1"/>
  <c r="M11" i="3"/>
  <c r="L15" i="5"/>
  <c r="L23" i="5" s="1"/>
  <c r="C23" i="5" s="1"/>
  <c r="L12" i="5"/>
  <c r="L13" i="1"/>
  <c r="M16" i="5"/>
  <c r="M10" i="3"/>
  <c r="E17" i="5"/>
  <c r="N10" i="1"/>
  <c r="N15" i="1" s="1"/>
  <c r="M16" i="1"/>
  <c r="M12" i="1"/>
  <c r="N11" i="3" l="1"/>
  <c r="N12" i="2"/>
  <c r="N16" i="5"/>
  <c r="D24" i="5" s="1"/>
  <c r="N10" i="3"/>
  <c r="N22" i="3" s="1"/>
  <c r="M22" i="3"/>
  <c r="M23" i="3"/>
  <c r="M15" i="5"/>
  <c r="M23" i="5" s="1"/>
  <c r="M12" i="5"/>
  <c r="M13" i="1"/>
  <c r="N16" i="1"/>
  <c r="N12" i="1"/>
  <c r="N23" i="3" l="1"/>
  <c r="N15" i="5"/>
  <c r="N23" i="5" s="1"/>
  <c r="D23" i="5" s="1"/>
  <c r="N12" i="5"/>
  <c r="N13" i="1"/>
  <c r="J15" i="2"/>
  <c r="K19" i="1"/>
  <c r="K20" i="1" s="1"/>
  <c r="K10" i="2"/>
  <c r="K15" i="2" s="1"/>
  <c r="L10" i="2"/>
  <c r="L15" i="2" s="1"/>
  <c r="N10" i="2"/>
  <c r="N15" i="2" s="1"/>
  <c r="M10" i="2"/>
  <c r="M15" i="2" s="1"/>
  <c r="N19" i="1" l="1"/>
  <c r="N20" i="1" s="1"/>
  <c r="J19" i="1"/>
  <c r="J20" i="1" s="1"/>
  <c r="L19" i="1"/>
  <c r="L20" i="1" s="1"/>
  <c r="M19" i="1"/>
  <c r="M20" i="1" s="1"/>
  <c r="K22" i="1" l="1"/>
  <c r="K24" i="1" s="1"/>
  <c r="K12" i="3"/>
  <c r="N18" i="5"/>
  <c r="N22" i="5" s="1"/>
  <c r="N12" i="3"/>
  <c r="N22" i="1"/>
  <c r="K18" i="5"/>
  <c r="K22" i="5" s="1"/>
  <c r="D22" i="5" l="1"/>
  <c r="N16" i="2"/>
  <c r="L22" i="1"/>
  <c r="L24" i="1" s="1"/>
  <c r="L12" i="3"/>
  <c r="K17" i="5"/>
  <c r="K13" i="3"/>
  <c r="K21" i="3" s="1"/>
  <c r="M22" i="1"/>
  <c r="M24" i="1" s="1"/>
  <c r="M12" i="3"/>
  <c r="J22" i="1"/>
  <c r="J24" i="1" s="1"/>
  <c r="J12" i="3"/>
  <c r="K26" i="1"/>
  <c r="K25" i="1"/>
  <c r="N24" i="1"/>
  <c r="K16" i="2"/>
  <c r="J18" i="5"/>
  <c r="J22" i="5" s="1"/>
  <c r="M18" i="5"/>
  <c r="M22" i="5" s="1"/>
  <c r="L18" i="5"/>
  <c r="L22" i="5" s="1"/>
  <c r="C22" i="5" s="1"/>
  <c r="M17" i="5" l="1"/>
  <c r="M13" i="3"/>
  <c r="M21" i="3" s="1"/>
  <c r="J17" i="5"/>
  <c r="J13" i="3"/>
  <c r="J21" i="3" s="1"/>
  <c r="L17" i="5"/>
  <c r="L13" i="3"/>
  <c r="L21" i="3" s="1"/>
  <c r="N17" i="5"/>
  <c r="N13" i="3"/>
  <c r="N21" i="3" s="1"/>
  <c r="N25" i="1"/>
  <c r="N26" i="1"/>
  <c r="L26" i="1"/>
  <c r="L25" i="1"/>
  <c r="J26" i="1"/>
  <c r="M26" i="1"/>
  <c r="M25" i="1"/>
  <c r="J25" i="1"/>
  <c r="M16" i="2"/>
  <c r="L16" i="2"/>
  <c r="J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F3A5356E-4C5C-4E6D-B9EA-196D216EEF4A}">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5F34F31-F720-4747-B3EB-A2DE3DC4F942}">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En la empresas inmobiliarias el capex "real suele ser de 4% sobre ventas. No es necesario rellenar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 Incluir preferentes
</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9" authorId="0" shapeId="0" xr:uid="{5BD8AEE4-278C-48E4-9323-14FF1219C21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Rellenar si procede o es una cantidad grande</t>
        </r>
      </text>
    </commen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<sst xmlns="http://schemas.openxmlformats.org/spreadsheetml/2006/main" count="87" uniqueCount="82">
  <si>
    <t>Depreciation &amp; Amortization Expense</t>
  </si>
  <si>
    <t>Pretax Income</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</si>
  <si>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</si>
  <si>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</si>
  <si>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</si>
  <si>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</si>
  <si>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</si>
  <si>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</si>
  <si>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</si>
  <si>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</si>
  <si>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</si>
  <si>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</si>
  <si>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</si>
  <si>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</si>
  <si>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</si>
  <si>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</si>
  <si>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</si>
  <si>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</si>
  <si>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</si>
  <si>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CAGR  by  P/FCF</t>
  </si>
  <si>
    <t>CAGR by EV/EBITDA</t>
  </si>
  <si>
    <t>Enterprise Value ( EV )</t>
  </si>
  <si>
    <t>Market cap</t>
  </si>
  <si>
    <t>Multiple P/FCF</t>
  </si>
  <si>
    <t>Multiple EV/EBITDA</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</si>
  <si>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</si>
  <si>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</si>
  <si>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</si>
  <si>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</si>
  <si>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</si>
  <si>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</si>
  <si>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</si>
  <si>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</si>
  <si>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</si>
  <si>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</si>
  <si>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</si>
  <si>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</si>
  <si>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</si>
  <si>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</si>
  <si>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</si>
  <si>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</si>
  <si>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</si>
  <si>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</si>
  <si>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</si>
  <si>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</si>
  <si>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</si>
  <si>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</si>
  <si>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</si>
  <si>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</si>
  <si>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</si>
  <si>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</si>
  <si>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</si>
  <si>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</si>
  <si>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</si>
  <si>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</si>
  <si>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</si>
  <si>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</si>
  <si>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</si>
  <si>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</si>
  <si>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</si>
  <si>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</si>
  <si>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</si>
  <si>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</si>
  <si>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</si>
  <si>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</si>
  <si>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</si>
  <si>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</si>
  <si>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</si>
  <si>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</si>
  <si>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</si>
  <si>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</si>
  <si>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Book value / share</t>
  </si>
  <si>
    <t>Price target  P/book</t>
  </si>
  <si>
    <t>Multiple P/BOOK</t>
  </si>
  <si>
    <t>Pagos preferentes</t>
  </si>
  <si>
    <t>CAGR  by P/Book</t>
  </si>
  <si>
    <t>15*</t>
  </si>
  <si>
    <t>Minoritarios (si procede)</t>
  </si>
  <si>
    <t>Deuda neta /Equity</t>
  </si>
  <si>
    <t>Deuda neta /EBITDA</t>
  </si>
  <si>
    <t>Tax</t>
  </si>
  <si>
    <t>Tasas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</si>
</sst>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Red]\-#,##0.0"/>
    <numFmt numFmtId="165" formatCode="0.0"/>
    <numFmt numFmtId="166" formatCode="0.0%"/>
    <numFmt numFmtId="167" formatCode="_-[$€-2]\ * #,##0_-;\-[$€-2]\ * #,##0_-;_-[$€-2]\ *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s>
  <cellStyleXfs count="2">
    <xf numFmtId="0" fontId="0" fillId="0" borderId="0"/>
    <xf numFmtId="9" fontId="1" fillId="0" borderId="0" applyFont="0" applyFill="0" applyBorder="0" applyAlignment="0" applyProtection="0"/>
  </cellStyleXfs>
  <cellXfs count="291">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9" xfId="1" applyFont="1" applyFill="1" applyBorder="1" applyAlignment="1">
      <alignment horizontal="center" vertical="center"/>
    </xf>
    <xf numFmtId="9" fontId="0" fillId="4" borderId="14"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0" fontId="14" fillId="0" borderId="0" xfId="0" applyFont="1" applyAlignment="1">
      <alignment vertical="center"/>
    </xf>
    <xf numFmtId="1" fontId="15" fillId="2" borderId="15" xfId="0" applyNumberFormat="1" applyFont="1" applyFill="1" applyBorder="1" applyAlignment="1" applyProtection="1">
      <alignment horizontal="center" vertical="center"/>
    </xf>
    <xf numFmtId="1" fontId="15" fillId="2" borderId="16" xfId="0" applyNumberFormat="1" applyFont="1" applyFill="1" applyBorder="1" applyAlignment="1" applyProtection="1">
      <alignment horizontal="center" vertical="center"/>
    </xf>
    <xf numFmtId="2" fontId="4" fillId="4" borderId="11" xfId="0" applyNumberFormat="1" applyFont="1" applyFill="1" applyBorder="1" applyAlignment="1" applyProtection="1">
      <alignment vertical="center"/>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4"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0"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9"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9" xfId="1" applyFont="1" applyFill="1" applyBorder="1" applyAlignment="1">
      <alignment horizontal="center" vertical="center" wrapText="1"/>
    </xf>
    <xf numFmtId="0" fontId="0" fillId="4" borderId="11" xfId="0" applyFont="1" applyFill="1" applyBorder="1" applyAlignment="1">
      <alignment horizontal="center" wrapText="1"/>
    </xf>
    <xf numFmtId="0" fontId="0" fillId="4" borderId="12" xfId="0" applyFont="1" applyFill="1" applyBorder="1" applyAlignment="1">
      <alignment horizontal="center" wrapText="1"/>
    </xf>
    <xf numFmtId="1" fontId="0" fillId="4" borderId="21" xfId="0" applyNumberFormat="1" applyFont="1" applyFill="1" applyBorder="1" applyAlignment="1">
      <alignment horizontal="center" vertical="center" wrapText="1"/>
    </xf>
    <xf numFmtId="1" fontId="0" fillId="4" borderId="26" xfId="0" applyNumberFormat="1" applyFont="1" applyFill="1" applyBorder="1" applyAlignment="1">
      <alignment horizontal="center" vertical="center" wrapText="1"/>
    </xf>
    <xf numFmtId="1" fontId="0" fillId="4" borderId="27"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9" xfId="0" applyNumberFormat="1" applyFont="1" applyFill="1" applyBorder="1" applyAlignment="1">
      <alignment horizontal="center" vertical="center" wrapText="1"/>
    </xf>
    <xf numFmtId="165" fontId="0" fillId="4" borderId="27"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19"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9"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0" xfId="0" applyNumberFormat="1" applyFont="1" applyFill="1" applyBorder="1" applyAlignment="1" applyProtection="1">
      <alignment horizontal="center"/>
    </xf>
    <xf numFmtId="2" fontId="10" fillId="4" borderId="11" xfId="0" applyNumberFormat="1" applyFont="1" applyFill="1" applyBorder="1" applyAlignment="1" applyProtection="1">
      <alignment horizontal="center"/>
    </xf>
    <xf numFmtId="2" fontId="19" fillId="4" borderId="10" xfId="0" applyNumberFormat="1" applyFont="1" applyFill="1" applyBorder="1" applyAlignment="1" applyProtection="1">
      <alignmen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0" xfId="0" applyNumberFormat="1" applyFont="1" applyFill="1" applyBorder="1" applyAlignment="1" applyProtection="1">
      <alignment horizontal="center" vertical="center"/>
    </xf>
    <xf numFmtId="2" fontId="15" fillId="4" borderId="11" xfId="0" applyNumberFormat="1" applyFont="1" applyFill="1" applyBorder="1" applyAlignment="1" applyProtection="1">
      <alignment horizontal="center" vertical="center"/>
    </xf>
    <xf numFmtId="0" fontId="0" fillId="4" borderId="11" xfId="0" applyFont="1" applyFill="1" applyBorder="1" applyAlignment="1">
      <alignment horizontal="center" vertical="center"/>
    </xf>
    <xf numFmtId="0" fontId="0" fillId="4" borderId="12"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9"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9" xfId="0" applyNumberFormat="1" applyFont="1" applyFill="1" applyBorder="1" applyAlignment="1" applyProtection="1">
      <alignment horizontal="center" vertical="center"/>
    </xf>
    <xf numFmtId="9" fontId="23" fillId="4" borderId="9"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9" xfId="0" applyNumberFormat="1" applyFont="1" applyFill="1" applyBorder="1" applyAlignment="1" applyProtection="1">
      <alignment horizontal="center" vertical="center"/>
    </xf>
    <xf numFmtId="2" fontId="17" fillId="4" borderId="23"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4"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4"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4"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9"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28" xfId="0" applyNumberFormat="1" applyFont="1" applyFill="1" applyBorder="1" applyAlignment="1" applyProtection="1">
      <alignment horizontal="center" vertical="center"/>
    </xf>
    <xf numFmtId="1" fontId="15" fillId="3" borderId="16" xfId="0" applyNumberFormat="1" applyFont="1" applyFill="1" applyBorder="1" applyAlignment="1" applyProtection="1">
      <alignment horizontal="center" vertical="center"/>
    </xf>
    <xf numFmtId="1" fontId="15" fillId="3" borderId="17"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0" fontId="14" fillId="0" borderId="4" xfId="0" applyFont="1" applyBorder="1"/>
    <xf numFmtId="2" fontId="19" fillId="4" borderId="22" xfId="0" applyNumberFormat="1" applyFont="1" applyFill="1" applyBorder="1" applyAlignment="1" applyProtection="1">
      <alignment horizontal="left" vertical="center"/>
    </xf>
    <xf numFmtId="0" fontId="0" fillId="4" borderId="26" xfId="0" applyFont="1" applyFill="1" applyBorder="1" applyAlignment="1">
      <alignment horizontal="center" vertical="center" wrapText="1"/>
    </xf>
    <xf numFmtId="2" fontId="19" fillId="4" borderId="25" xfId="0" applyNumberFormat="1" applyFont="1" applyFill="1" applyBorder="1" applyAlignment="1" applyProtection="1">
      <alignment vertical="center"/>
    </xf>
    <xf numFmtId="1" fontId="15" fillId="4" borderId="6" xfId="0" applyNumberFormat="1" applyFont="1" applyFill="1" applyBorder="1" applyAlignment="1" applyProtection="1">
      <alignment horizontal="center" vertical="center"/>
    </xf>
    <xf numFmtId="0" fontId="0" fillId="4" borderId="9" xfId="0" applyFont="1" applyFill="1" applyBorder="1" applyAlignment="1">
      <alignment horizontal="center" vertical="center" wrapText="1"/>
    </xf>
    <xf numFmtId="1" fontId="15" fillId="4" borderId="9" xfId="0" applyNumberFormat="1" applyFont="1" applyFill="1" applyBorder="1" applyAlignment="1" applyProtection="1">
      <alignment horizontal="center" vertical="center"/>
    </xf>
    <xf numFmtId="0" fontId="0" fillId="4" borderId="27" xfId="0" applyFont="1" applyFill="1" applyBorder="1" applyAlignment="1">
      <alignment horizontal="center" vertical="center" wrapText="1"/>
    </xf>
    <xf numFmtId="167" fontId="13" fillId="4" borderId="9"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14" xfId="0" applyNumberFormat="1" applyFont="1" applyFill="1" applyBorder="1" applyAlignment="1">
      <alignment horizontal="left" vertical="center" wrapText="1"/>
    </xf>
    <xf numFmtId="0" fontId="2" fillId="4" borderId="17" xfId="0" applyFont="1" applyFill="1" applyBorder="1" applyAlignment="1">
      <alignment horizontal="center" vertical="center" wrapText="1"/>
    </xf>
    <xf numFmtId="0" fontId="0" fillId="4" borderId="21"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3"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9"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9" xfId="0" applyNumberFormat="1" applyFont="1" applyFill="1" applyBorder="1" applyAlignment="1">
      <alignment horizontal="center" vertical="center" wrapText="1"/>
    </xf>
    <xf numFmtId="165" fontId="0" fillId="4" borderId="26" xfId="0" applyNumberFormat="1" applyFill="1" applyBorder="1" applyAlignment="1">
      <alignment horizontal="center" vertical="center" wrapText="1"/>
    </xf>
    <xf numFmtId="165" fontId="0" fillId="4" borderId="27"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9" xfId="0" applyNumberForma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18" xfId="0" applyFont="1" applyFill="1" applyBorder="1" applyAlignment="1">
      <alignment horizontal="center" vertical="center" wrapText="1"/>
    </xf>
    <xf numFmtId="0" fontId="0" fillId="5" borderId="9"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2"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7" xfId="0" applyNumberFormat="1" applyFont="1" applyFill="1" applyBorder="1" applyAlignment="1" applyProtection="1">
      <alignment horizontal="center" vertical="center"/>
    </xf>
    <xf numFmtId="2" fontId="15" fillId="4" borderId="12" xfId="0" applyNumberFormat="1" applyFont="1" applyFill="1" applyBorder="1" applyAlignment="1" applyProtection="1">
      <alignment horizontal="center" vertical="center"/>
    </xf>
    <xf numFmtId="0" fontId="24" fillId="5" borderId="31" xfId="0" applyFont="1" applyFill="1" applyBorder="1" applyAlignment="1">
      <alignment horizontal="center" vertical="center" wrapText="1"/>
    </xf>
    <xf numFmtId="40" fontId="0" fillId="5" borderId="8" xfId="0" applyNumberFormat="1" applyFont="1" applyFill="1" applyBorder="1" applyAlignment="1">
      <alignment horizontal="center" vertical="center" wrapText="1"/>
    </xf>
    <xf numFmtId="0" fontId="14" fillId="4" borderId="25"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2" xfId="0" applyFont="1" applyFill="1" applyBorder="1" applyAlignment="1">
      <alignment horizontal="left" vertical="center"/>
    </xf>
    <xf numFmtId="0" fontId="0" fillId="5" borderId="27" xfId="0" applyFont="1" applyFill="1" applyBorder="1" applyAlignment="1">
      <alignment horizontal="center" vertical="center" wrapText="1"/>
    </xf>
    <xf numFmtId="165" fontId="0" fillId="4" borderId="26"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19" xfId="0" applyNumberFormat="1"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3" borderId="15" xfId="0" applyNumberFormat="1" applyFont="1" applyFill="1" applyBorder="1" applyAlignment="1" applyProtection="1">
      <alignment horizontal="center" vertical="center"/>
    </xf>
    <xf numFmtId="1" fontId="15" fillId="5" borderId="9"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5" borderId="6"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5" fillId="5" borderId="10" xfId="0" applyNumberFormat="1" applyFont="1" applyFill="1" applyBorder="1" applyAlignment="1" applyProtection="1">
      <alignment horizontal="center" vertical="center"/>
    </xf>
    <xf numFmtId="1" fontId="15" fillId="5" borderId="11" xfId="0" applyNumberFormat="1" applyFont="1" applyFill="1" applyBorder="1" applyAlignment="1" applyProtection="1">
      <alignment horizontal="center" vertical="center"/>
    </xf>
    <xf numFmtId="1" fontId="15" fillId="5" borderId="12"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6" xfId="0" applyBorder="1"/>
    <xf numFmtId="2" fontId="2" fillId="4" borderId="9" xfId="0" applyNumberFormat="1" applyFont="1" applyFill="1" applyBorder="1" applyAlignment="1">
      <alignment horizontal="center" vertical="center" wrapText="1"/>
    </xf>
    <xf numFmtId="167" fontId="13" fillId="4" borderId="9" xfId="0" applyNumberFormat="1" applyFont="1" applyFill="1" applyBorder="1" applyAlignment="1">
      <alignment horizontal="center" vertical="center" wrapText="1"/>
    </xf>
    <xf numFmtId="1" fontId="15" fillId="4" borderId="27" xfId="0" applyNumberFormat="1" applyFont="1" applyFill="1" applyBorder="1" applyAlignment="1" applyProtection="1">
      <alignment horizontal="center" vertical="center"/>
    </xf>
    <xf numFmtId="1" fontId="15" fillId="4" borderId="8" xfId="0" applyNumberFormat="1" applyFont="1" applyFill="1" applyBorder="1" applyAlignment="1" applyProtection="1">
      <alignment horizontal="center" vertical="center"/>
    </xf>
    <xf numFmtId="2" fontId="4" fillId="4" borderId="12" xfId="0" applyNumberFormat="1" applyFont="1" applyFill="1" applyBorder="1" applyAlignment="1" applyProtection="1">
      <alignment vertical="center"/>
    </xf>
    <xf numFmtId="165" fontId="8" fillId="4" borderId="26" xfId="0" applyNumberFormat="1" applyFont="1" applyFill="1" applyBorder="1" applyAlignment="1">
      <alignment horizontal="center" vertical="center" wrapText="1"/>
    </xf>
    <xf numFmtId="165" fontId="8" fillId="4" borderId="20" xfId="0" applyNumberFormat="1" applyFont="1" applyFill="1" applyBorder="1" applyAlignment="1">
      <alignment horizontal="center" vertical="center" wrapText="1"/>
    </xf>
    <xf numFmtId="165" fontId="8" fillId="4" borderId="8" xfId="0" applyNumberFormat="1" applyFont="1" applyFill="1" applyBorder="1" applyAlignment="1">
      <alignment horizontal="center" vertical="center" wrapText="1"/>
    </xf>
    <xf numFmtId="165" fontId="8" fillId="4" borderId="19" xfId="0" applyNumberFormat="1" applyFont="1" applyFill="1" applyBorder="1" applyAlignment="1">
      <alignment horizontal="center" vertical="center" wrapText="1"/>
    </xf>
    <xf numFmtId="2" fontId="11" fillId="4" borderId="3" xfId="0" applyNumberFormat="1" applyFont="1" applyFill="1" applyBorder="1" applyAlignment="1" applyProtection="1"/>
    <xf numFmtId="2" fontId="10" fillId="4" borderId="22"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2"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5" xfId="0" applyFont="1" applyFill="1" applyBorder="1"/>
    <xf numFmtId="0" fontId="2" fillId="4" borderId="22" xfId="0" applyFont="1" applyFill="1" applyBorder="1"/>
    <xf numFmtId="0" fontId="0" fillId="4" borderId="5" xfId="0" applyFont="1" applyFill="1" applyBorder="1"/>
    <xf numFmtId="1" fontId="15" fillId="4" borderId="26" xfId="0" applyNumberFormat="1" applyFont="1" applyFill="1" applyBorder="1" applyAlignment="1" applyProtection="1">
      <alignment horizontal="center" vertical="center"/>
    </xf>
    <xf numFmtId="167" fontId="13" fillId="4" borderId="7" xfId="0" applyNumberFormat="1" applyFont="1" applyFill="1" applyBorder="1" applyAlignment="1">
      <alignment horizontal="left" vertical="center" wrapText="1"/>
    </xf>
    <xf numFmtId="167" fontId="13" fillId="4" borderId="14" xfId="0" applyNumberFormat="1" applyFont="1" applyFill="1" applyBorder="1" applyAlignment="1">
      <alignment horizontal="center" vertical="center" wrapText="1"/>
    </xf>
    <xf numFmtId="38" fontId="17" fillId="5" borderId="0" xfId="0" applyNumberFormat="1" applyFont="1" applyFill="1" applyAlignment="1">
      <alignment horizontal="center" vertical="center"/>
    </xf>
    <xf numFmtId="38" fontId="17" fillId="5" borderId="9" xfId="0" applyNumberFormat="1" applyFont="1" applyFill="1" applyBorder="1" applyAlignment="1">
      <alignment horizontal="center" vertical="center"/>
    </xf>
    <xf numFmtId="9" fontId="23" fillId="4" borderId="8" xfId="1" applyFont="1" applyFill="1" applyBorder="1" applyAlignment="1">
      <alignment horizontal="center" vertical="center"/>
    </xf>
    <xf numFmtId="9" fontId="23" fillId="4" borderId="19" xfId="1" applyFont="1" applyFill="1" applyBorder="1" applyAlignment="1">
      <alignment horizontal="center" vertical="center"/>
    </xf>
    <xf numFmtId="164" fontId="15" fillId="4" borderId="0" xfId="0" applyNumberFormat="1" applyFont="1" applyFill="1" applyAlignment="1">
      <alignment horizontal="center" vertical="center"/>
    </xf>
    <xf numFmtId="164" fontId="15" fillId="4" borderId="26" xfId="0" applyNumberFormat="1" applyFont="1" applyFill="1" applyBorder="1" applyAlignment="1">
      <alignment horizontal="center" vertical="center"/>
    </xf>
    <xf numFmtId="38" fontId="17" fillId="5" borderId="33" xfId="0" applyNumberFormat="1" applyFont="1" applyFill="1" applyBorder="1" applyAlignment="1">
      <alignment horizontal="center" vertical="center"/>
    </xf>
    <xf numFmtId="38" fontId="17" fillId="5" borderId="32" xfId="0" applyNumberFormat="1" applyFont="1" applyFill="1" applyBorder="1" applyAlignment="1">
      <alignment horizontal="center" vertical="center"/>
    </xf>
    <xf numFmtId="166" fontId="23" fillId="4" borderId="19" xfId="1" applyNumberFormat="1" applyFont="1" applyFill="1" applyBorder="1" applyAlignment="1">
      <alignment horizontal="center" vertical="center"/>
    </xf>
    <xf numFmtId="164" fontId="17" fillId="5" borderId="0" xfId="0" applyNumberFormat="1" applyFont="1" applyFill="1" applyAlignment="1">
      <alignment horizontal="center" vertical="center"/>
    </xf>
    <xf numFmtId="164" fontId="17" fillId="5" borderId="26" xfId="0" applyNumberFormat="1" applyFont="1" applyFill="1" applyBorder="1" applyAlignment="1">
      <alignment horizontal="center" vertical="center"/>
    </xf>
    <xf numFmtId="164" fontId="17" fillId="5" borderId="27" xfId="0" applyNumberFormat="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40" fontId="17" fillId="4" borderId="14" xfId="0" applyNumberFormat="1" applyFont="1" applyFill="1" applyBorder="1" applyAlignment="1">
      <alignment horizontal="center" vertical="center"/>
    </xf>
    <xf numFmtId="1" fontId="15" fillId="4" borderId="16" xfId="0" applyNumberFormat="1" applyFont="1" applyFill="1" applyBorder="1" applyAlignment="1">
      <alignment horizontal="center" vertical="center"/>
    </xf>
    <xf numFmtId="1" fontId="15" fillId="4" borderId="17" xfId="0" applyNumberFormat="1" applyFont="1" applyFill="1" applyBorder="1" applyAlignment="1">
      <alignment horizontal="center" vertical="center"/>
    </xf>
    <xf numFmtId="9" fontId="23" fillId="4" borderId="16" xfId="1" applyFont="1" applyFill="1" applyBorder="1" applyAlignment="1">
      <alignment horizontal="center" vertical="center"/>
    </xf>
    <xf numFmtId="9" fontId="23" fillId="4" borderId="17" xfId="1" applyFont="1" applyFill="1" applyBorder="1" applyAlignment="1">
      <alignment horizontal="center" vertical="center"/>
    </xf>
    <xf numFmtId="38" fontId="17" fillId="4" borderId="7" xfId="0" applyNumberFormat="1" applyFont="1" applyFill="1" applyBorder="1" applyAlignment="1">
      <alignment horizontal="center" vertical="center"/>
    </xf>
    <xf numFmtId="38" fontId="17" fillId="4" borderId="16" xfId="0" applyNumberFormat="1" applyFont="1" applyFill="1" applyBorder="1" applyAlignment="1">
      <alignment horizontal="center" vertical="center"/>
    </xf>
    <xf numFmtId="38" fontId="17" fillId="4" borderId="17" xfId="0" applyNumberFormat="1" applyFont="1" applyFill="1" applyBorder="1" applyAlignment="1">
      <alignment horizontal="center" vertical="center"/>
    </xf>
    <xf numFmtId="38" fontId="15" fillId="4" borderId="11" xfId="0" applyNumberFormat="1" applyFont="1" applyFill="1" applyBorder="1" applyAlignment="1">
      <alignment horizontal="center" vertical="center"/>
    </xf>
    <xf numFmtId="38" fontId="15" fillId="4" borderId="12" xfId="0" applyNumberFormat="1" applyFont="1" applyFill="1" applyBorder="1" applyAlignment="1">
      <alignment horizontal="center" vertical="center"/>
    </xf>
    <xf numFmtId="9" fontId="23" fillId="4" borderId="0" xfId="1" applyFont="1" applyFill="1" applyAlignment="1">
      <alignment horizontal="center" vertical="center"/>
    </xf>
    <xf numFmtId="9" fontId="23" fillId="4" borderId="9" xfId="1" applyFont="1" applyFill="1" applyBorder="1" applyAlignment="1">
      <alignment horizontal="center" vertical="center"/>
    </xf>
    <xf numFmtId="40" fontId="15" fillId="4" borderId="0" xfId="0" applyNumberFormat="1" applyFont="1" applyFill="1" applyAlignment="1">
      <alignment horizontal="center" vertical="center"/>
    </xf>
    <xf numFmtId="40" fontId="15" fillId="4" borderId="9" xfId="0" applyNumberFormat="1" applyFont="1" applyFill="1" applyBorder="1" applyAlignment="1">
      <alignment horizontal="center" vertical="center"/>
    </xf>
    <xf numFmtId="38" fontId="17" fillId="5" borderId="7" xfId="0" applyNumberFormat="1" applyFont="1" applyFill="1" applyBorder="1" applyAlignment="1">
      <alignment horizontal="center" vertical="center"/>
    </xf>
    <xf numFmtId="38" fontId="17" fillId="5" borderId="14" xfId="0" applyNumberFormat="1" applyFont="1" applyFill="1" applyBorder="1" applyAlignment="1">
      <alignment horizontal="center" vertical="center"/>
    </xf>
    <xf numFmtId="164" fontId="15" fillId="4" borderId="27" xfId="0" applyNumberFormat="1" applyFont="1" applyFill="1" applyBorder="1" applyAlignment="1">
      <alignment horizontal="center" vertical="center"/>
    </xf>
    <xf numFmtId="38" fontId="17" fillId="5" borderId="13" xfId="0" applyNumberFormat="1" applyFont="1" applyFill="1" applyBorder="1" applyAlignment="1">
      <alignment horizontal="center" vertical="center"/>
    </xf>
    <xf numFmtId="2" fontId="19" fillId="4" borderId="25"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4" xfId="0" applyNumberFormat="1" applyFont="1" applyFill="1" applyBorder="1" applyAlignment="1" applyProtection="1">
      <alignment horizontal="left" vertical="center"/>
    </xf>
    <xf numFmtId="2" fontId="19" fillId="4" borderId="34" xfId="0" applyNumberFormat="1" applyFont="1" applyFill="1" applyBorder="1" applyAlignment="1" applyProtection="1">
      <alignment horizontal="left" vertical="center"/>
    </xf>
    <xf numFmtId="2" fontId="20" fillId="4" borderId="5" xfId="0" applyNumberFormat="1" applyFont="1" applyFill="1" applyBorder="1" applyAlignment="1" applyProtection="1">
      <alignment horizontal="left" vertical="center"/>
    </xf>
    <xf numFmtId="38" fontId="17" fillId="0" borderId="0" xfId="0" applyNumberFormat="1"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5" borderId="0" xfId="0" applyFill="1" applyAlignment="1">
      <alignment horizontal="center" vertical="center" wrapText="1"/>
    </xf>
    <xf numFmtId="0" fontId="0" fillId="5" borderId="26" xfId="0" applyFill="1" applyBorder="1" applyAlignment="1">
      <alignment horizontal="center" vertical="center" wrapText="1"/>
    </xf>
    <xf numFmtId="0" fontId="0" fillId="5" borderId="8" xfId="0" applyFill="1" applyBorder="1" applyAlignment="1">
      <alignment horizontal="center" vertical="center" wrapText="1"/>
    </xf>
    <xf numFmtId="40" fontId="0" fillId="4" borderId="20" xfId="0" applyNumberFormat="1" applyFont="1" applyFill="1" applyBorder="1" applyAlignment="1">
      <alignment horizontal="center" vertical="center" wrapText="1"/>
    </xf>
    <xf numFmtId="165" fontId="8" fillId="4" borderId="27" xfId="0" applyNumberFormat="1" applyFont="1" applyFill="1" applyBorder="1" applyAlignment="1">
      <alignment horizontal="center" vertical="center" wrapText="1"/>
    </xf>
    <xf numFmtId="0" fontId="0" fillId="5" borderId="0" xfId="0" applyFill="1" applyBorder="1" applyAlignment="1">
      <alignment horizontal="center" vertical="center" wrapText="1"/>
    </xf>
    <xf numFmtId="165" fontId="0" fillId="5" borderId="0" xfId="0" applyNumberFormat="1" applyFill="1" applyBorder="1" applyAlignment="1">
      <alignment horizontal="center" vertical="center" wrapText="1"/>
    </xf>
    <xf numFmtId="165" fontId="0" fillId="5" borderId="9" xfId="0" applyNumberFormat="1" applyFill="1" applyBorder="1" applyAlignment="1">
      <alignment horizontal="center" vertical="center" wrapText="1"/>
    </xf>
    <xf numFmtId="9" fontId="2" fillId="0" borderId="5" xfId="1" applyFont="1" applyFill="1" applyBorder="1" applyAlignment="1">
      <alignment horizontal="center" vertical="center" wrapText="1"/>
    </xf>
    <xf numFmtId="38" fontId="17" fillId="5" borderId="16" xfId="0" applyNumberFormat="1" applyFont="1" applyFill="1" applyBorder="1" applyAlignment="1">
      <alignment horizontal="center" vertical="center"/>
    </xf>
    <xf numFmtId="38" fontId="17" fillId="5" borderId="17" xfId="0" applyNumberFormat="1" applyFont="1" applyFill="1" applyBorder="1" applyAlignment="1">
      <alignment horizontal="center" vertical="center"/>
    </xf>
    <xf numFmtId="38" fontId="17" fillId="5" borderId="0" xfId="0" applyNumberFormat="1" applyFont="1" applyFill="1" applyBorder="1" applyAlignment="1" applyProtection="1">
      <alignment horizontal="center" vertical="center"/>
    </xf>
    <xf numFmtId="38" fontId="17" fillId="5" borderId="9" xfId="0" applyNumberFormat="1" applyFont="1" applyFill="1" applyBorder="1" applyAlignment="1" applyProtection="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9"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2"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1"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9" xfId="0" applyFont="1" applyFill="1" applyBorder="1" applyAlignment="1">
      <alignment horizontal="left" vertical="center"/>
    </xf>
    <xf numFmtId="0" fontId="0" fillId="4" borderId="0" xfId="0" applyFill="1" applyAlignment="1">
      <alignment horizontal="center" vertical="center"/>
    </xf>
    <xf numFmtId="0" fontId="0" fillId="0" borderId="0" xfId="0" applyFont="1" applyAlignment="1">
      <alignment horizontal="left"/>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22" xfId="0" applyBorder="1" applyAlignment="1">
      <alignment horizontal="left" vertical="center" wrapText="1"/>
    </xf>
    <xf numFmtId="0" fontId="0" fillId="0" borderId="0" xfId="0" applyAlignment="1">
      <alignment horizont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541973</xdr:colOff>
      <xdr:row>1</xdr:row>
      <xdr:rowOff>182880</xdr:rowOff>
    </xdr:from>
    <xdr:to>
      <xdr:col>7</xdr:col>
      <xdr:colOff>117827</xdr:colOff>
      <xdr:row>6</xdr:row>
      <xdr:rowOff>30213</xdr:rowOff>
    </xdr:to>
    <xdr:pic>
      <xdr:nvPicPr>
        <xdr:cNvPr id="2" name="Imagen 1">
          <a:extLst>
            <a:ext uri="{FF2B5EF4-FFF2-40B4-BE49-F238E27FC236}">
              <a16:creationId xmlns:a16="http://schemas.microsoft.com/office/drawing/2014/main" id="{9A9832EA-E936-4402-943A-2E5BA7FF7091}"/>
            </a:ext>
          </a:extLst>
        </xdr:cNvPr>
        <xdr:cNvPicPr>
          <a:picLocks noChangeAspect="1"/>
        </xdr:cNvPicPr>
      </xdr:nvPicPr>
      <xdr:blipFill>
        <a:blip xmlns:r="http://schemas.openxmlformats.org/officeDocument/2006/relationships" r:embed="rId1"/>
        <a:stretch>
          <a:fillRect/>
        </a:stretch>
      </xdr:blipFill>
      <xdr:spPr>
        <a:xfrm>
          <a:off x="6691313" y="388620"/>
          <a:ext cx="1084614" cy="1020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129539</xdr:colOff>
      <xdr:row>1</xdr:row>
      <xdr:rowOff>159572</xdr:rowOff>
    </xdr:from>
    <xdr:to>
      <xdr:col>7</xdr:col>
      <xdr:colOff>628366</xdr:colOff>
      <xdr:row>6</xdr:row>
      <xdr:rowOff>357873</xdr:rowOff>
    </xdr:to>
    <xdr:pic>
      <xdr:nvPicPr>
        <xdr:cNvPr id="3" name="Imagen 2">
          <a:extLst>
            <a:ext uri="{FF2B5EF4-FFF2-40B4-BE49-F238E27FC236}">
              <a16:creationId xmlns:a16="http://schemas.microsoft.com/office/drawing/2014/main" id="{FCBE3524-5A28-4985-B501-E1454E3DE593}"/>
            </a:ext>
          </a:extLst>
        </xdr:cNvPr>
        <xdr:cNvPicPr>
          <a:picLocks noChangeAspect="1"/>
        </xdr:cNvPicPr>
      </xdr:nvPicPr>
      <xdr:blipFill>
        <a:blip xmlns:r="http://schemas.openxmlformats.org/officeDocument/2006/relationships" r:embed="rId1"/>
        <a:stretch>
          <a:fillRect/>
        </a:stretch>
      </xdr:blipFill>
      <xdr:spPr>
        <a:xfrm>
          <a:off x="7109459" y="365312"/>
          <a:ext cx="1222727" cy="11508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572330</xdr:colOff>
      <xdr:row>2</xdr:row>
      <xdr:rowOff>106018</xdr:rowOff>
    </xdr:from>
    <xdr:to>
      <xdr:col>7</xdr:col>
      <xdr:colOff>424615</xdr:colOff>
      <xdr:row>6</xdr:row>
      <xdr:rowOff>370794</xdr:rowOff>
    </xdr:to>
    <xdr:pic>
      <xdr:nvPicPr>
        <xdr:cNvPr id="3" name="Imagen 2">
          <a:extLst>
            <a:ext uri="{FF2B5EF4-FFF2-40B4-BE49-F238E27FC236}">
              <a16:creationId xmlns:a16="http://schemas.microsoft.com/office/drawing/2014/main" id="{32F6324B-6478-4D20-B777-F1AB426DA29D}"/>
            </a:ext>
          </a:extLst>
        </xdr:cNvPr>
        <xdr:cNvPicPr>
          <a:picLocks noChangeAspect="1"/>
        </xdr:cNvPicPr>
      </xdr:nvPicPr>
      <xdr:blipFill>
        <a:blip xmlns:r="http://schemas.openxmlformats.org/officeDocument/2006/relationships" r:embed="rId1"/>
        <a:stretch>
          <a:fillRect/>
        </a:stretch>
      </xdr:blipFill>
      <xdr:spPr>
        <a:xfrm>
          <a:off x="6443043" y="490331"/>
          <a:ext cx="1097990" cy="10334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542449</xdr:colOff>
      <xdr:row>2</xdr:row>
      <xdr:rowOff>15240</xdr:rowOff>
    </xdr:from>
    <xdr:to>
      <xdr:col>8</xdr:col>
      <xdr:colOff>323567</xdr:colOff>
      <xdr:row>6</xdr:row>
      <xdr:rowOff>388353</xdr:rowOff>
    </xdr:to>
    <xdr:pic>
      <xdr:nvPicPr>
        <xdr:cNvPr id="3" name="Imagen 2">
          <a:extLst>
            <a:ext uri="{FF2B5EF4-FFF2-40B4-BE49-F238E27FC236}">
              <a16:creationId xmlns:a16="http://schemas.microsoft.com/office/drawing/2014/main" id="{A5DDC3C2-5147-4E40-A8CB-3C65530B4EBD}"/>
            </a:ext>
          </a:extLst>
        </xdr:cNvPr>
        <xdr:cNvPicPr>
          <a:picLocks noChangeAspect="1"/>
        </xdr:cNvPicPr>
      </xdr:nvPicPr>
      <xdr:blipFill>
        <a:blip xmlns:r="http://schemas.openxmlformats.org/officeDocument/2006/relationships" r:embed="rId1"/>
        <a:stretch>
          <a:fillRect/>
        </a:stretch>
      </xdr:blipFill>
      <xdr:spPr>
        <a:xfrm>
          <a:off x="6547009" y="396240"/>
          <a:ext cx="1206058" cy="11351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B3" workbookViewId="0">
      <selection activeCell="N28" sqref="N28"/>
    </sheetView>
  </sheetViews>
  <sheetFormatPr baseColWidth="10" defaultColWidth="11.42578125" defaultRowHeight="15.75" outlineLevelRow="1" x14ac:dyDescent="0.25"/>
  <cols>
    <col min="1" max="1" width="3.28515625" style="36" customWidth="1"/>
    <col min="2" max="2" width="42.28515625" style="28" customWidth="1"/>
    <col min="3" max="14" width="11" style="66" customWidth="1"/>
    <col min="15" max="15" width="14.5703125" style="36" customWidth="1"/>
    <col min="16" max="16384" width="11.42578125" style="36"/>
  </cols>
  <sheetData>
    <row r="1" spans="2:19" ht="16.5" thickBot="1" x14ac:dyDescent="0.3"/>
    <row r="2" spans="2:19" ht="30" customHeight="1" x14ac:dyDescent="0.25">
      <c r="B2" s="256"/>
      <c r="C2" s="259"/>
      <c r="D2" s="259"/>
      <c r="E2" s="259"/>
      <c r="F2" s="259"/>
      <c r="G2" s="259"/>
      <c r="H2" s="259"/>
      <c r="I2" s="259"/>
      <c r="J2" s="259"/>
      <c r="K2" s="259"/>
      <c r="L2" s="259"/>
      <c r="M2" s="259"/>
      <c r="N2" s="260"/>
      <c r="O2" s="22"/>
      <c r="P2" s="22"/>
      <c r="Q2" s="11"/>
      <c r="R2" s="11"/>
    </row>
    <row r="3" spans="2:19" ht="15.95" customHeight="1" x14ac:dyDescent="0.25">
      <c r="B3" s="257"/>
      <c r="C3" s="261"/>
      <c r="D3" s="261"/>
      <c r="E3" s="261"/>
      <c r="F3" s="261"/>
      <c r="G3" s="261"/>
      <c r="H3" s="261"/>
      <c r="I3" s="261"/>
      <c r="J3" s="261"/>
      <c r="K3" s="261"/>
      <c r="L3" s="261"/>
      <c r="M3" s="261"/>
      <c r="N3" s="262"/>
      <c r="O3" s="22"/>
      <c r="P3" s="22"/>
      <c r="Q3" s="11"/>
      <c r="R3" s="11"/>
    </row>
    <row r="4" spans="2:19" ht="15.95" customHeight="1" x14ac:dyDescent="0.25">
      <c r="B4" s="257"/>
      <c r="C4" s="261"/>
      <c r="D4" s="261"/>
      <c r="E4" s="261"/>
      <c r="F4" s="261"/>
      <c r="G4" s="261"/>
      <c r="H4" s="261"/>
      <c r="I4" s="261"/>
      <c r="J4" s="261"/>
      <c r="K4" s="261"/>
      <c r="L4" s="261"/>
      <c r="M4" s="261"/>
      <c r="N4" s="262"/>
      <c r="O4" s="22"/>
      <c r="P4" s="22"/>
      <c r="Q4" s="11"/>
      <c r="R4" s="11"/>
    </row>
    <row r="5" spans="2:19" ht="15.95" customHeight="1" x14ac:dyDescent="0.25">
      <c r="B5" s="257"/>
      <c r="C5" s="261"/>
      <c r="D5" s="261"/>
      <c r="E5" s="261"/>
      <c r="F5" s="261"/>
      <c r="G5" s="261"/>
      <c r="H5" s="261"/>
      <c r="I5" s="261"/>
      <c r="J5" s="261"/>
      <c r="K5" s="261"/>
      <c r="L5" s="261"/>
      <c r="M5" s="261"/>
      <c r="N5" s="262"/>
      <c r="O5" s="22"/>
      <c r="P5" s="22"/>
      <c r="Q5" s="11"/>
      <c r="R5" s="11"/>
    </row>
    <row r="6" spans="2:19" ht="15.95" customHeight="1" x14ac:dyDescent="0.25">
      <c r="B6" s="257"/>
      <c r="C6" s="261"/>
      <c r="D6" s="261"/>
      <c r="E6" s="261"/>
      <c r="F6" s="261"/>
      <c r="G6" s="261"/>
      <c r="H6" s="261"/>
      <c r="I6" s="261"/>
      <c r="J6" s="261"/>
      <c r="K6" s="261"/>
      <c r="L6" s="261"/>
      <c r="M6" s="261"/>
      <c r="N6" s="262"/>
      <c r="O6" s="22"/>
      <c r="P6" s="22"/>
      <c r="Q6" s="11"/>
    </row>
    <row r="7" spans="2:19" ht="15.95" customHeight="1" thickBot="1" x14ac:dyDescent="0.3">
      <c r="B7" s="257"/>
      <c r="C7" s="263"/>
      <c r="D7" s="263"/>
      <c r="E7" s="263"/>
      <c r="F7" s="263"/>
      <c r="G7" s="263"/>
      <c r="H7" s="263"/>
      <c r="I7" s="263"/>
      <c r="J7" s="263"/>
      <c r="K7" s="263"/>
      <c r="L7" s="263"/>
      <c r="M7" s="263"/>
      <c r="N7" s="264"/>
      <c r="O7" s="22"/>
      <c r="P7" s="22"/>
      <c r="Q7" s="11"/>
    </row>
    <row r="8" spans="2:19" ht="15.95" customHeight="1" thickBot="1" x14ac:dyDescent="0.3">
      <c r="B8" s="258"/>
      <c r="C8" s="29">
        <v>2014</v>
      </c>
      <c r="D8" s="30">
        <v>2015</v>
      </c>
      <c r="E8" s="30">
        <v>2016</v>
      </c>
      <c r="F8" s="30">
        <v>2017</v>
      </c>
      <c r="G8" s="30">
        <v>2018</v>
      </c>
      <c r="H8" s="30">
        <v>2019</v>
      </c>
      <c r="I8" s="30">
        <v>2020</v>
      </c>
      <c r="J8" s="167">
        <v>2021</v>
      </c>
      <c r="K8" s="97">
        <v>2020</v>
      </c>
      <c r="L8" s="97">
        <v>2023</v>
      </c>
      <c r="M8" s="97">
        <v>2024</v>
      </c>
      <c r="N8" s="98">
        <v>2025</v>
      </c>
      <c r="O8" s="11"/>
      <c r="P8" s="11"/>
      <c r="Q8" s="11"/>
    </row>
    <row r="9" spans="2:19" ht="15.95" customHeight="1" x14ac:dyDescent="0.25">
      <c r="B9" s="63" t="s">
        <v>29</v>
      </c>
      <c r="C9" s="67"/>
      <c r="D9" s="68"/>
      <c r="E9" s="68"/>
      <c r="F9" s="68"/>
      <c r="G9" s="68"/>
      <c r="H9" s="68"/>
      <c r="I9" s="156"/>
      <c r="J9" s="68"/>
      <c r="K9" s="68"/>
      <c r="L9" s="68"/>
      <c r="M9" s="69"/>
      <c r="N9" s="70"/>
      <c r="O9" s="11"/>
      <c r="P9" s="11"/>
      <c r="Q9" s="11"/>
    </row>
    <row r="10" spans="2:19" ht="15.95" customHeight="1" thickBot="1" x14ac:dyDescent="0.3">
      <c r="B10" s="58" t="s">
        <v>14</v>
      </c>
      <c r="C10" s="200">
        <v>58.8</v>
      </c>
      <c r="D10" s="200">
        <v>75</v>
      </c>
      <c r="E10" s="200">
        <v>105</v>
      </c>
      <c r="F10" s="200">
        <v>133</v>
      </c>
      <c r="G10" s="200">
        <v>157</v>
      </c>
      <c r="H10" s="200">
        <v>163.4</v>
      </c>
      <c r="I10" s="201">
        <v>178</v>
      </c>
      <c r="J10" s="71">
        <f t="shared" ref="J10:N10" si="0">(I10*$P$11)+I10</f>
        <v>192.24</v>
      </c>
      <c r="K10" s="71">
        <f t="shared" si="0"/>
        <v>207.61920000000001</v>
      </c>
      <c r="L10" s="71">
        <f t="shared" si="0"/>
        <v>224.228736</v>
      </c>
      <c r="M10" s="71">
        <f t="shared" si="0"/>
        <v>242.16703487999999</v>
      </c>
      <c r="N10" s="72">
        <f t="shared" si="0"/>
        <v>261.54039767040001</v>
      </c>
      <c r="O10" s="11"/>
      <c r="P10" s="11"/>
      <c r="Q10" s="11"/>
      <c r="S10"/>
    </row>
    <row r="11" spans="2:19" ht="15.75" customHeight="1" thickBot="1" x14ac:dyDescent="0.3">
      <c r="B11" s="234" t="s">
        <v>28</v>
      </c>
      <c r="C11" s="202" t="e">
        <f t="shared" ref="C11:I11" si="1">(C10-B10)/B10</f>
        <v>#VALUE!</v>
      </c>
      <c r="D11" s="202">
        <f t="shared" si="1"/>
        <v>0.27551020408163274</v>
      </c>
      <c r="E11" s="202">
        <f t="shared" si="1"/>
        <v>0.4</v>
      </c>
      <c r="F11" s="202">
        <f t="shared" si="1"/>
        <v>0.26666666666666666</v>
      </c>
      <c r="G11" s="202">
        <f t="shared" si="1"/>
        <v>0.18045112781954886</v>
      </c>
      <c r="H11" s="202">
        <f t="shared" si="1"/>
        <v>4.0764331210191122E-2</v>
      </c>
      <c r="I11" s="203">
        <f t="shared" si="1"/>
        <v>8.9351285189718438E-2</v>
      </c>
      <c r="J11" s="74">
        <f t="shared" ref="J11:N11" si="2">$P$11</f>
        <v>0.08</v>
      </c>
      <c r="K11" s="74">
        <f t="shared" si="2"/>
        <v>0.08</v>
      </c>
      <c r="L11" s="74">
        <f t="shared" si="2"/>
        <v>0.08</v>
      </c>
      <c r="M11" s="74">
        <f t="shared" si="2"/>
        <v>0.08</v>
      </c>
      <c r="N11" s="75">
        <f t="shared" si="2"/>
        <v>0.08</v>
      </c>
      <c r="O11" s="37" t="s">
        <v>26</v>
      </c>
      <c r="P11" s="9">
        <v>0.08</v>
      </c>
      <c r="Q11" s="11"/>
      <c r="S11"/>
    </row>
    <row r="12" spans="2:19" ht="15.95" customHeight="1" x14ac:dyDescent="0.25">
      <c r="B12" s="236" t="s">
        <v>5</v>
      </c>
      <c r="C12" s="204">
        <f t="shared" ref="C12:E12" si="3">C15+C14</f>
        <v>36</v>
      </c>
      <c r="D12" s="204">
        <f t="shared" si="3"/>
        <v>58.4</v>
      </c>
      <c r="E12" s="204">
        <f t="shared" si="3"/>
        <v>84.300000000000011</v>
      </c>
      <c r="F12" s="204">
        <f>F15+F14</f>
        <v>85.5</v>
      </c>
      <c r="G12" s="204">
        <f>G15+G14</f>
        <v>129.5</v>
      </c>
      <c r="H12" s="205">
        <f>H15+H14</f>
        <v>124.7</v>
      </c>
      <c r="I12" s="230">
        <f t="shared" ref="I12" si="4">I15+I14</f>
        <v>157.4</v>
      </c>
      <c r="J12" s="78">
        <f t="shared" ref="J12:N12" si="5">J15+J14</f>
        <v>164.89440000000002</v>
      </c>
      <c r="K12" s="78">
        <f t="shared" si="5"/>
        <v>178.08595200000002</v>
      </c>
      <c r="L12" s="78">
        <f t="shared" si="5"/>
        <v>192.33282816000002</v>
      </c>
      <c r="M12" s="78">
        <f t="shared" si="5"/>
        <v>207.71945441280002</v>
      </c>
      <c r="N12" s="79">
        <f t="shared" si="5"/>
        <v>224.337010765824</v>
      </c>
      <c r="O12" s="11"/>
      <c r="P12" s="16"/>
      <c r="Q12" s="11"/>
    </row>
    <row r="13" spans="2:19" ht="15.95" customHeight="1" x14ac:dyDescent="0.25">
      <c r="B13" s="234" t="s">
        <v>15</v>
      </c>
      <c r="C13" s="202">
        <f t="shared" ref="C13:I13" si="6">(C12/C10)</f>
        <v>0.61224489795918369</v>
      </c>
      <c r="D13" s="202">
        <f t="shared" si="6"/>
        <v>0.77866666666666662</v>
      </c>
      <c r="E13" s="202">
        <f t="shared" si="6"/>
        <v>0.80285714285714294</v>
      </c>
      <c r="F13" s="202">
        <f t="shared" si="6"/>
        <v>0.6428571428571429</v>
      </c>
      <c r="G13" s="202">
        <f t="shared" si="6"/>
        <v>0.82484076433121023</v>
      </c>
      <c r="H13" s="202">
        <f t="shared" si="6"/>
        <v>0.76315789473684215</v>
      </c>
      <c r="I13" s="203">
        <f t="shared" si="6"/>
        <v>0.88426966292134834</v>
      </c>
      <c r="J13" s="73">
        <f>J12/J10</f>
        <v>0.85775280898876405</v>
      </c>
      <c r="K13" s="73">
        <f>K12/K10</f>
        <v>0.85775280898876416</v>
      </c>
      <c r="L13" s="73">
        <f>L12/L10</f>
        <v>0.85775280898876416</v>
      </c>
      <c r="M13" s="73">
        <f>M12/M10</f>
        <v>0.85775280898876416</v>
      </c>
      <c r="N13" s="80">
        <f>N12/N10</f>
        <v>0.85775280898876405</v>
      </c>
      <c r="O13" s="11"/>
      <c r="P13" s="11"/>
      <c r="Q13" s="11"/>
    </row>
    <row r="14" spans="2:19" ht="15.95" customHeight="1" thickBot="1" x14ac:dyDescent="0.3">
      <c r="B14" s="233" t="s">
        <v>0</v>
      </c>
      <c r="C14" s="200">
        <v>23</v>
      </c>
      <c r="D14" s="200">
        <v>24.1</v>
      </c>
      <c r="E14" s="200">
        <v>32</v>
      </c>
      <c r="F14" s="200">
        <v>39.1</v>
      </c>
      <c r="G14" s="200">
        <v>45.8</v>
      </c>
      <c r="H14" s="206">
        <v>52</v>
      </c>
      <c r="I14" s="207">
        <v>53</v>
      </c>
      <c r="J14" s="81">
        <f t="shared" ref="J14:N14" si="7">(I14*$P$11)+I14</f>
        <v>57.24</v>
      </c>
      <c r="K14" s="81">
        <f t="shared" si="7"/>
        <v>61.819200000000002</v>
      </c>
      <c r="L14" s="81">
        <f t="shared" si="7"/>
        <v>66.764735999999999</v>
      </c>
      <c r="M14" s="81">
        <f t="shared" si="7"/>
        <v>72.10591488</v>
      </c>
      <c r="N14" s="82">
        <f t="shared" si="7"/>
        <v>77.874388070400002</v>
      </c>
      <c r="O14" s="11"/>
      <c r="P14" s="11"/>
      <c r="Q14" s="11"/>
    </row>
    <row r="15" spans="2:19" ht="15.95" customHeight="1" outlineLevel="1" thickBot="1" x14ac:dyDescent="0.3">
      <c r="B15" s="58" t="s">
        <v>6</v>
      </c>
      <c r="C15" s="131">
        <v>13</v>
      </c>
      <c r="D15" s="131">
        <v>34.299999999999997</v>
      </c>
      <c r="E15" s="131">
        <f>29.3+22.8+0.2</f>
        <v>52.300000000000004</v>
      </c>
      <c r="F15" s="131">
        <f>25.8+24.1-3.5</f>
        <v>46.400000000000006</v>
      </c>
      <c r="G15" s="131">
        <f>57.9+27.8-2</f>
        <v>83.7</v>
      </c>
      <c r="H15" s="131">
        <f>46.3+28.1-1.7</f>
        <v>72.7</v>
      </c>
      <c r="I15" s="157">
        <f>80.8+23.6</f>
        <v>104.4</v>
      </c>
      <c r="J15" s="71">
        <f>J10*$P$16</f>
        <v>107.65440000000001</v>
      </c>
      <c r="K15" s="71">
        <f>K10*$P$16</f>
        <v>116.26675200000001</v>
      </c>
      <c r="L15" s="71">
        <f>L10*$P$16</f>
        <v>125.56809216000001</v>
      </c>
      <c r="M15" s="71">
        <f>M10*$P$16</f>
        <v>135.61353953280002</v>
      </c>
      <c r="N15" s="72">
        <f>N10*$P$16</f>
        <v>146.46262269542402</v>
      </c>
      <c r="O15" s="11"/>
      <c r="P15" s="11"/>
      <c r="Q15" s="11"/>
    </row>
    <row r="16" spans="2:19" ht="15.95" customHeight="1" outlineLevel="1" thickBot="1" x14ac:dyDescent="0.3">
      <c r="B16" s="234" t="s">
        <v>16</v>
      </c>
      <c r="C16" s="202">
        <f t="shared" ref="C16:E16" si="8">(C15/C10)</f>
        <v>0.22108843537414968</v>
      </c>
      <c r="D16" s="202">
        <f t="shared" si="8"/>
        <v>0.45733333333333331</v>
      </c>
      <c r="E16" s="202">
        <f t="shared" si="8"/>
        <v>0.49809523809523815</v>
      </c>
      <c r="F16" s="202">
        <f>(F15/F10)</f>
        <v>0.34887218045112789</v>
      </c>
      <c r="G16" s="202">
        <f>(G15/G10)</f>
        <v>0.53312101910828025</v>
      </c>
      <c r="H16" s="202">
        <f>(H15/H10)</f>
        <v>0.4449204406364749</v>
      </c>
      <c r="I16" s="208">
        <f t="shared" ref="I16" si="9">(I15/I10)</f>
        <v>0.58651685393258435</v>
      </c>
      <c r="J16" s="73">
        <f t="shared" ref="J16:N16" si="10">(J15/J10)</f>
        <v>0.56000000000000005</v>
      </c>
      <c r="K16" s="73">
        <f t="shared" si="10"/>
        <v>0.56000000000000005</v>
      </c>
      <c r="L16" s="73">
        <f t="shared" si="10"/>
        <v>0.56000000000000005</v>
      </c>
      <c r="M16" s="73">
        <f t="shared" si="10"/>
        <v>0.56000000000000005</v>
      </c>
      <c r="N16" s="80">
        <f t="shared" si="10"/>
        <v>0.56000000000000005</v>
      </c>
      <c r="O16" s="37" t="s">
        <v>25</v>
      </c>
      <c r="P16" s="14">
        <v>0.56000000000000005</v>
      </c>
      <c r="Q16" s="11"/>
    </row>
    <row r="17" spans="2:17" ht="15.95" customHeight="1" outlineLevel="1" x14ac:dyDescent="0.25">
      <c r="B17" s="265" t="s">
        <v>47</v>
      </c>
      <c r="C17" s="209">
        <v>21.6</v>
      </c>
      <c r="D17" s="209">
        <v>25.25</v>
      </c>
      <c r="E17" s="209">
        <v>23.2</v>
      </c>
      <c r="F17" s="209">
        <v>24.2</v>
      </c>
      <c r="G17" s="209">
        <v>27.8</v>
      </c>
      <c r="H17" s="210">
        <v>28.1</v>
      </c>
      <c r="I17" s="211">
        <v>23.6</v>
      </c>
      <c r="J17" s="122">
        <f t="shared" ref="J17:N17" si="11">(I17*$P$11)+I17</f>
        <v>25.488000000000003</v>
      </c>
      <c r="K17" s="122">
        <f t="shared" si="11"/>
        <v>27.527040000000003</v>
      </c>
      <c r="L17" s="122">
        <f t="shared" si="11"/>
        <v>29.729203200000004</v>
      </c>
      <c r="M17" s="122">
        <f t="shared" si="11"/>
        <v>32.107539456000005</v>
      </c>
      <c r="N17" s="123">
        <f t="shared" si="11"/>
        <v>34.676142612480007</v>
      </c>
      <c r="O17" s="11"/>
      <c r="P17" s="11"/>
      <c r="Q17" s="11"/>
    </row>
    <row r="18" spans="2:17" ht="15.95" customHeight="1" outlineLevel="1" thickBot="1" x14ac:dyDescent="0.3">
      <c r="B18" s="266"/>
      <c r="C18" s="212"/>
      <c r="D18" s="212"/>
      <c r="E18" s="212"/>
      <c r="F18" s="212"/>
      <c r="G18" s="213"/>
      <c r="H18" s="213"/>
      <c r="I18" s="214"/>
      <c r="J18" s="77"/>
      <c r="K18" s="77"/>
      <c r="L18" s="77"/>
      <c r="M18" s="77"/>
      <c r="N18" s="83"/>
      <c r="O18" s="11"/>
      <c r="P18" s="11"/>
      <c r="Q18" s="11"/>
    </row>
    <row r="19" spans="2:17" ht="15.95" customHeight="1" thickBot="1" x14ac:dyDescent="0.3">
      <c r="B19" s="232" t="s">
        <v>1</v>
      </c>
      <c r="C19" s="215">
        <f t="shared" ref="C19:E19" si="12">C15-C17</f>
        <v>-8.6000000000000014</v>
      </c>
      <c r="D19" s="215">
        <f t="shared" si="12"/>
        <v>9.0499999999999972</v>
      </c>
      <c r="E19" s="215">
        <f t="shared" si="12"/>
        <v>29.100000000000005</v>
      </c>
      <c r="F19" s="215">
        <f>F15-F17</f>
        <v>22.200000000000006</v>
      </c>
      <c r="G19" s="215">
        <f>G15-G17</f>
        <v>55.900000000000006</v>
      </c>
      <c r="H19" s="215">
        <f>H15-H17</f>
        <v>44.6</v>
      </c>
      <c r="I19" s="216">
        <f t="shared" ref="I19" si="13">I15-I17</f>
        <v>80.800000000000011</v>
      </c>
      <c r="J19" s="84">
        <f t="shared" ref="J19:N19" si="14">J15-J17-J18</f>
        <v>82.16640000000001</v>
      </c>
      <c r="K19" s="84">
        <f t="shared" si="14"/>
        <v>88.739712000000011</v>
      </c>
      <c r="L19" s="84">
        <f t="shared" si="14"/>
        <v>95.838888960000006</v>
      </c>
      <c r="M19" s="84">
        <f t="shared" si="14"/>
        <v>103.50600007680001</v>
      </c>
      <c r="N19" s="85">
        <f t="shared" si="14"/>
        <v>111.78648008294401</v>
      </c>
      <c r="O19" s="11"/>
      <c r="P19" s="11"/>
      <c r="Q19" s="11"/>
    </row>
    <row r="20" spans="2:17" ht="15.95" customHeight="1" collapsed="1" thickBot="1" x14ac:dyDescent="0.3">
      <c r="B20" s="233" t="s">
        <v>80</v>
      </c>
      <c r="C20" s="200">
        <v>0</v>
      </c>
      <c r="D20" s="200">
        <v>0</v>
      </c>
      <c r="E20" s="200">
        <v>0</v>
      </c>
      <c r="F20" s="200">
        <v>0</v>
      </c>
      <c r="G20" s="200">
        <v>0</v>
      </c>
      <c r="H20" s="250">
        <v>0</v>
      </c>
      <c r="I20" s="251">
        <v>0</v>
      </c>
      <c r="J20" s="238">
        <f>J19*J21</f>
        <v>0</v>
      </c>
      <c r="K20" s="239">
        <f t="shared" ref="K20:N20" si="15">K19*K21</f>
        <v>0</v>
      </c>
      <c r="L20" s="238">
        <f t="shared" si="15"/>
        <v>0</v>
      </c>
      <c r="M20" s="239">
        <f t="shared" si="15"/>
        <v>0</v>
      </c>
      <c r="N20" s="238">
        <f t="shared" si="15"/>
        <v>0</v>
      </c>
      <c r="O20" s="240"/>
      <c r="P20" s="11"/>
      <c r="Q20" s="11"/>
    </row>
    <row r="21" spans="2:17" ht="15.95" customHeight="1" thickBot="1" x14ac:dyDescent="0.3">
      <c r="B21" s="234" t="s">
        <v>9</v>
      </c>
      <c r="C21" s="217">
        <f t="shared" ref="C21:I21" si="16">(C20/C19)</f>
        <v>0</v>
      </c>
      <c r="D21" s="217">
        <f t="shared" si="16"/>
        <v>0</v>
      </c>
      <c r="E21" s="217">
        <f t="shared" si="16"/>
        <v>0</v>
      </c>
      <c r="F21" s="217">
        <f t="shared" si="16"/>
        <v>0</v>
      </c>
      <c r="G21" s="217">
        <f t="shared" si="16"/>
        <v>0</v>
      </c>
      <c r="H21" s="217">
        <f t="shared" si="16"/>
        <v>0</v>
      </c>
      <c r="I21" s="218">
        <f t="shared" si="16"/>
        <v>0</v>
      </c>
      <c r="J21" s="73">
        <f>$P$21</f>
        <v>0</v>
      </c>
      <c r="K21" s="73">
        <f t="shared" ref="K21:N21" si="17">$P$21</f>
        <v>0</v>
      </c>
      <c r="L21" s="73">
        <f t="shared" si="17"/>
        <v>0</v>
      </c>
      <c r="M21" s="73"/>
      <c r="N21" s="80">
        <f t="shared" si="17"/>
        <v>0</v>
      </c>
      <c r="O21" s="37" t="s">
        <v>27</v>
      </c>
      <c r="P21" s="10">
        <v>0</v>
      </c>
      <c r="Q21" s="11"/>
    </row>
    <row r="22" spans="2:17" ht="15.95" customHeight="1" thickBot="1" x14ac:dyDescent="0.3">
      <c r="B22" s="235" t="s">
        <v>2</v>
      </c>
      <c r="C22" s="219">
        <f t="shared" ref="C22:I22" si="18">C19-C20</f>
        <v>-8.6000000000000014</v>
      </c>
      <c r="D22" s="219">
        <f t="shared" si="18"/>
        <v>9.0499999999999972</v>
      </c>
      <c r="E22" s="219">
        <f t="shared" si="18"/>
        <v>29.100000000000005</v>
      </c>
      <c r="F22" s="219">
        <f t="shared" si="18"/>
        <v>22.200000000000006</v>
      </c>
      <c r="G22" s="219">
        <f t="shared" si="18"/>
        <v>55.900000000000006</v>
      </c>
      <c r="H22" s="220">
        <f t="shared" si="18"/>
        <v>44.6</v>
      </c>
      <c r="I22" s="221">
        <f t="shared" si="18"/>
        <v>80.800000000000011</v>
      </c>
      <c r="J22" s="86">
        <f t="shared" ref="J22:N22" si="19">J19-J20</f>
        <v>82.16640000000001</v>
      </c>
      <c r="K22" s="86">
        <f t="shared" si="19"/>
        <v>88.739712000000011</v>
      </c>
      <c r="L22" s="86">
        <f t="shared" si="19"/>
        <v>95.838888960000006</v>
      </c>
      <c r="M22" s="86">
        <f t="shared" si="19"/>
        <v>103.50600007680001</v>
      </c>
      <c r="N22" s="87">
        <f t="shared" si="19"/>
        <v>111.78648008294401</v>
      </c>
      <c r="O22" s="11"/>
      <c r="P22" s="11"/>
      <c r="Q22" s="11"/>
    </row>
    <row r="23" spans="2:17" ht="15.95" customHeight="1" thickBot="1" x14ac:dyDescent="0.3">
      <c r="B23" s="233" t="s">
        <v>3</v>
      </c>
      <c r="C23" s="200">
        <v>0</v>
      </c>
      <c r="D23" s="200">
        <v>0</v>
      </c>
      <c r="E23" s="200">
        <v>0</v>
      </c>
      <c r="F23" s="200">
        <v>0</v>
      </c>
      <c r="G23" s="200">
        <v>0</v>
      </c>
      <c r="H23" s="250">
        <v>0</v>
      </c>
      <c r="I23" s="201">
        <v>0</v>
      </c>
      <c r="J23" s="252">
        <f t="shared" ref="J23:N23" si="20">I23*(1+$P$11)</f>
        <v>0</v>
      </c>
      <c r="K23" s="252">
        <f t="shared" si="20"/>
        <v>0</v>
      </c>
      <c r="L23" s="252">
        <f t="shared" si="20"/>
        <v>0</v>
      </c>
      <c r="M23" s="252">
        <f t="shared" si="20"/>
        <v>0</v>
      </c>
      <c r="N23" s="253">
        <f t="shared" si="20"/>
        <v>0</v>
      </c>
      <c r="O23" s="11"/>
      <c r="P23" s="11"/>
      <c r="Q23" s="11"/>
    </row>
    <row r="24" spans="2:17" ht="15.95" customHeight="1" x14ac:dyDescent="0.25">
      <c r="B24" s="236" t="s">
        <v>4</v>
      </c>
      <c r="C24" s="222">
        <f t="shared" ref="C24:I24" si="21">C22-C23</f>
        <v>-8.6000000000000014</v>
      </c>
      <c r="D24" s="222">
        <f t="shared" si="21"/>
        <v>9.0499999999999972</v>
      </c>
      <c r="E24" s="222">
        <f t="shared" si="21"/>
        <v>29.100000000000005</v>
      </c>
      <c r="F24" s="222">
        <f t="shared" si="21"/>
        <v>22.200000000000006</v>
      </c>
      <c r="G24" s="222">
        <f t="shared" si="21"/>
        <v>55.900000000000006</v>
      </c>
      <c r="H24" s="222">
        <f t="shared" si="21"/>
        <v>44.6</v>
      </c>
      <c r="I24" s="223">
        <f t="shared" si="21"/>
        <v>80.800000000000011</v>
      </c>
      <c r="J24" s="88">
        <f t="shared" ref="J24:N24" si="22">J22-J23</f>
        <v>82.16640000000001</v>
      </c>
      <c r="K24" s="88">
        <f t="shared" si="22"/>
        <v>88.739712000000011</v>
      </c>
      <c r="L24" s="88">
        <f t="shared" si="22"/>
        <v>95.838888960000006</v>
      </c>
      <c r="M24" s="88">
        <f t="shared" si="22"/>
        <v>103.50600007680001</v>
      </c>
      <c r="N24" s="89">
        <f t="shared" si="22"/>
        <v>111.78648008294401</v>
      </c>
      <c r="O24" s="11"/>
      <c r="P24" s="11"/>
      <c r="Q24" s="11"/>
    </row>
    <row r="25" spans="2:17" ht="15.95" customHeight="1" x14ac:dyDescent="0.25">
      <c r="B25" s="234" t="s">
        <v>30</v>
      </c>
      <c r="C25" s="224">
        <f t="shared" ref="C25:I25" si="23">C24/C10</f>
        <v>-0.14625850340136057</v>
      </c>
      <c r="D25" s="224">
        <f t="shared" si="23"/>
        <v>0.12066666666666663</v>
      </c>
      <c r="E25" s="224">
        <f t="shared" si="23"/>
        <v>0.27714285714285719</v>
      </c>
      <c r="F25" s="224">
        <f t="shared" si="23"/>
        <v>0.16691729323308274</v>
      </c>
      <c r="G25" s="224">
        <f t="shared" si="23"/>
        <v>0.35605095541401277</v>
      </c>
      <c r="H25" s="224">
        <f t="shared" si="23"/>
        <v>0.27294981640146881</v>
      </c>
      <c r="I25" s="225">
        <f t="shared" si="23"/>
        <v>0.45393258426966299</v>
      </c>
      <c r="J25" s="73">
        <f t="shared" ref="J25:N25" si="24">J24/J10</f>
        <v>0.42741573033707869</v>
      </c>
      <c r="K25" s="73">
        <f t="shared" si="24"/>
        <v>0.42741573033707869</v>
      </c>
      <c r="L25" s="73">
        <f t="shared" si="24"/>
        <v>0.42741573033707869</v>
      </c>
      <c r="M25" s="73">
        <f t="shared" si="24"/>
        <v>0.42741573033707869</v>
      </c>
      <c r="N25" s="80">
        <f t="shared" si="24"/>
        <v>0.42741573033707869</v>
      </c>
      <c r="O25" s="11"/>
      <c r="P25" s="11"/>
      <c r="Q25" s="11"/>
    </row>
    <row r="26" spans="2:17" ht="15.95" customHeight="1" x14ac:dyDescent="0.25">
      <c r="B26" s="58" t="s">
        <v>17</v>
      </c>
      <c r="C26" s="226">
        <f t="shared" ref="C26:I26" si="25">C24/C27</f>
        <v>-0.37391304347826093</v>
      </c>
      <c r="D26" s="226">
        <f t="shared" si="25"/>
        <v>0.24262734584450396</v>
      </c>
      <c r="E26" s="226">
        <f t="shared" si="25"/>
        <v>0.51964285714285718</v>
      </c>
      <c r="F26" s="226">
        <f t="shared" si="25"/>
        <v>0.30578512396694224</v>
      </c>
      <c r="G26" s="226">
        <f t="shared" si="25"/>
        <v>0.70491803278688536</v>
      </c>
      <c r="H26" s="226">
        <f t="shared" si="25"/>
        <v>0.47905477980665956</v>
      </c>
      <c r="I26" s="227">
        <f t="shared" si="25"/>
        <v>0.8505263157894738</v>
      </c>
      <c r="J26" s="90">
        <f t="shared" ref="J26:N26" si="26">J24/J27</f>
        <v>0.8470762886597939</v>
      </c>
      <c r="K26" s="91">
        <f t="shared" si="26"/>
        <v>0.89636072727272742</v>
      </c>
      <c r="L26" s="91">
        <f t="shared" si="26"/>
        <v>0.94889989069306935</v>
      </c>
      <c r="M26" s="91">
        <f t="shared" si="26"/>
        <v>1.0049126221048543</v>
      </c>
      <c r="N26" s="92">
        <f t="shared" si="26"/>
        <v>1.0646331436470857</v>
      </c>
      <c r="O26" s="11"/>
      <c r="P26" s="11"/>
      <c r="Q26" s="11"/>
    </row>
    <row r="27" spans="2:17" ht="15.95" customHeight="1" thickBot="1" x14ac:dyDescent="0.3">
      <c r="B27" s="237" t="s">
        <v>48</v>
      </c>
      <c r="C27" s="228">
        <v>23</v>
      </c>
      <c r="D27" s="228">
        <v>37.299999999999997</v>
      </c>
      <c r="E27" s="228">
        <v>56</v>
      </c>
      <c r="F27" s="228">
        <v>72.599999999999994</v>
      </c>
      <c r="G27" s="228">
        <v>79.3</v>
      </c>
      <c r="H27" s="228">
        <v>93.1</v>
      </c>
      <c r="I27" s="229">
        <v>95</v>
      </c>
      <c r="J27" s="231">
        <v>97</v>
      </c>
      <c r="K27" s="228">
        <v>99</v>
      </c>
      <c r="L27" s="228">
        <v>101</v>
      </c>
      <c r="M27" s="228">
        <v>103</v>
      </c>
      <c r="N27" s="229">
        <v>105</v>
      </c>
      <c r="O27" s="11"/>
      <c r="P27" s="11"/>
      <c r="Q27" s="11"/>
    </row>
    <row r="28" spans="2:17" ht="15.95" customHeight="1" x14ac:dyDescent="0.25">
      <c r="B28" s="64"/>
      <c r="C28" s="76"/>
      <c r="D28" s="76"/>
      <c r="E28" s="76"/>
      <c r="F28" s="76"/>
      <c r="G28" s="76"/>
      <c r="H28" s="76"/>
      <c r="I28" s="76"/>
      <c r="J28" s="76"/>
      <c r="K28" s="76"/>
      <c r="L28" s="77"/>
      <c r="M28" s="93"/>
      <c r="N28" s="93"/>
      <c r="O28" s="11"/>
      <c r="P28" s="11"/>
      <c r="Q28" s="11"/>
    </row>
    <row r="29" spans="2:17" ht="15.95" customHeight="1" x14ac:dyDescent="0.25">
      <c r="B29" s="64"/>
      <c r="C29" s="77"/>
      <c r="D29" s="77"/>
      <c r="E29" s="77"/>
      <c r="F29" s="77"/>
      <c r="G29" s="77"/>
      <c r="H29" s="77"/>
      <c r="I29" s="77"/>
      <c r="J29" s="76"/>
      <c r="K29" s="76"/>
      <c r="L29" s="77"/>
      <c r="M29" s="93"/>
      <c r="N29" s="93"/>
      <c r="O29" s="11"/>
      <c r="P29" s="11"/>
      <c r="Q29" s="11"/>
    </row>
    <row r="30" spans="2:17" ht="15.95" customHeight="1" x14ac:dyDescent="0.25">
      <c r="B30" s="64"/>
      <c r="C30" s="76"/>
      <c r="D30" s="76"/>
      <c r="E30" s="76"/>
      <c r="F30" s="76"/>
      <c r="G30" s="76"/>
      <c r="H30" s="76"/>
      <c r="I30" s="76"/>
      <c r="J30" s="76"/>
      <c r="K30" s="76"/>
      <c r="L30" s="76"/>
      <c r="M30" s="93"/>
      <c r="N30" s="93"/>
      <c r="O30" s="11"/>
      <c r="P30" s="11"/>
      <c r="Q30" s="11"/>
    </row>
    <row r="31" spans="2:17" ht="15.95" customHeight="1" x14ac:dyDescent="0.25">
      <c r="B31" s="254" t="s">
        <v>76</v>
      </c>
      <c r="C31" s="254"/>
      <c r="D31" s="254"/>
      <c r="E31" s="254"/>
      <c r="F31" s="254"/>
      <c r="G31" s="254"/>
      <c r="H31" s="254"/>
      <c r="I31" s="254"/>
      <c r="J31" s="254"/>
      <c r="K31" s="254"/>
      <c r="L31" s="254"/>
      <c r="M31" s="94"/>
      <c r="N31" s="93"/>
      <c r="O31" s="11"/>
      <c r="P31" s="11"/>
      <c r="Q31" s="11"/>
    </row>
    <row r="32" spans="2:17" ht="15.95" customHeight="1" x14ac:dyDescent="0.25">
      <c r="B32" s="64"/>
      <c r="C32" s="76"/>
      <c r="D32" s="76"/>
      <c r="E32" s="76"/>
      <c r="F32" s="76"/>
      <c r="G32" s="76"/>
      <c r="H32" s="76"/>
      <c r="I32" s="76"/>
      <c r="J32" s="76"/>
      <c r="K32" s="76"/>
      <c r="L32" s="76"/>
      <c r="M32" s="94"/>
      <c r="N32" s="93"/>
    </row>
    <row r="33" spans="2:14" ht="15.95" customHeight="1" x14ac:dyDescent="0.25">
      <c r="B33" s="64"/>
      <c r="C33" s="71"/>
      <c r="D33" s="71"/>
      <c r="E33" s="71"/>
      <c r="F33" s="71"/>
      <c r="G33" s="71"/>
      <c r="H33" s="71"/>
      <c r="I33" s="71"/>
      <c r="J33" s="76"/>
      <c r="K33" s="76"/>
      <c r="L33" s="76"/>
      <c r="M33" s="94"/>
      <c r="N33" s="93"/>
    </row>
    <row r="34" spans="2:14" ht="15.95" customHeight="1" x14ac:dyDescent="0.25">
      <c r="B34" s="65"/>
      <c r="C34" s="91"/>
      <c r="D34" s="91"/>
      <c r="E34" s="91"/>
      <c r="F34" s="91"/>
      <c r="G34" s="91"/>
      <c r="H34" s="91"/>
      <c r="I34" s="91"/>
      <c r="J34" s="91"/>
      <c r="K34" s="91"/>
      <c r="L34" s="91"/>
      <c r="M34" s="94"/>
      <c r="N34" s="93"/>
    </row>
    <row r="35" spans="2:14" ht="15.95" customHeight="1" x14ac:dyDescent="0.25">
      <c r="B35" s="64"/>
      <c r="C35" s="76"/>
      <c r="D35" s="76"/>
      <c r="E35" s="76"/>
      <c r="F35" s="76"/>
      <c r="G35" s="77"/>
      <c r="H35" s="76"/>
      <c r="I35" s="76"/>
      <c r="J35" s="76"/>
      <c r="K35" s="76"/>
      <c r="L35" s="76"/>
      <c r="M35" s="94"/>
      <c r="N35" s="93"/>
    </row>
    <row r="36" spans="2:14" ht="15.95" customHeight="1" x14ac:dyDescent="0.25">
      <c r="B36" s="64"/>
      <c r="C36" s="77"/>
      <c r="D36" s="77"/>
      <c r="E36" s="76"/>
      <c r="F36" s="76"/>
      <c r="G36" s="76"/>
      <c r="H36" s="76"/>
      <c r="I36" s="76"/>
      <c r="J36" s="76"/>
      <c r="K36" s="76"/>
      <c r="L36" s="76"/>
      <c r="M36" s="94"/>
      <c r="N36" s="93"/>
    </row>
    <row r="37" spans="2:14" ht="15.95" customHeight="1" x14ac:dyDescent="0.25">
      <c r="B37" s="65"/>
      <c r="C37" s="91"/>
      <c r="D37" s="91"/>
      <c r="E37" s="91"/>
      <c r="F37" s="91"/>
      <c r="G37" s="91"/>
      <c r="H37" s="91"/>
      <c r="I37" s="91"/>
      <c r="J37" s="91"/>
      <c r="K37" s="91"/>
      <c r="L37" s="91"/>
      <c r="M37" s="94"/>
      <c r="N37" s="93"/>
    </row>
    <row r="38" spans="2:14" ht="15.95" customHeight="1" x14ac:dyDescent="0.25">
      <c r="B38" s="64"/>
      <c r="C38" s="76"/>
      <c r="D38" s="76"/>
      <c r="E38" s="76"/>
      <c r="F38" s="76"/>
      <c r="G38" s="76"/>
      <c r="H38" s="76"/>
      <c r="I38" s="76"/>
      <c r="J38" s="76"/>
      <c r="K38" s="76"/>
      <c r="L38" s="76"/>
      <c r="M38" s="94"/>
      <c r="N38" s="93"/>
    </row>
    <row r="39" spans="2:14" ht="15.95" customHeight="1" x14ac:dyDescent="0.25">
      <c r="B39" s="64"/>
      <c r="C39" s="76"/>
      <c r="D39" s="76"/>
      <c r="E39" s="76"/>
      <c r="F39" s="76"/>
      <c r="G39" s="76"/>
      <c r="H39" s="76"/>
      <c r="I39" s="76"/>
      <c r="J39" s="76"/>
      <c r="K39" s="76"/>
      <c r="L39" s="76"/>
      <c r="M39" s="94"/>
      <c r="N39" s="93"/>
    </row>
    <row r="40" spans="2:14" ht="15.95" customHeight="1" x14ac:dyDescent="0.25">
      <c r="B40" s="64"/>
      <c r="C40" s="76"/>
      <c r="D40" s="76"/>
      <c r="E40" s="76"/>
      <c r="F40" s="77"/>
      <c r="G40" s="76"/>
      <c r="H40" s="76"/>
      <c r="I40" s="76"/>
      <c r="J40" s="76"/>
      <c r="K40" s="76"/>
      <c r="L40" s="76"/>
      <c r="M40" s="94"/>
      <c r="N40" s="93"/>
    </row>
    <row r="41" spans="2:14" ht="15.95" customHeight="1" x14ac:dyDescent="0.25">
      <c r="B41" s="64"/>
      <c r="C41" s="77"/>
      <c r="D41" s="76"/>
      <c r="E41" s="76"/>
      <c r="F41" s="76"/>
      <c r="G41" s="76"/>
      <c r="H41" s="76"/>
      <c r="I41" s="76"/>
      <c r="J41" s="76"/>
      <c r="K41" s="76"/>
      <c r="L41" s="76"/>
      <c r="M41" s="94"/>
      <c r="N41" s="93"/>
    </row>
    <row r="42" spans="2:14" ht="15.95" customHeight="1" x14ac:dyDescent="0.25">
      <c r="B42" s="65"/>
      <c r="C42" s="91"/>
      <c r="D42" s="91"/>
      <c r="E42" s="91"/>
      <c r="F42" s="95"/>
      <c r="G42" s="91"/>
      <c r="H42" s="91"/>
      <c r="I42" s="91"/>
      <c r="J42" s="91"/>
      <c r="K42" s="91"/>
      <c r="L42" s="91"/>
      <c r="M42" s="94"/>
      <c r="N42" s="93"/>
    </row>
    <row r="43" spans="2:14" ht="15.95" customHeight="1" x14ac:dyDescent="0.25">
      <c r="B43" s="255"/>
      <c r="C43" s="255"/>
      <c r="D43" s="255"/>
      <c r="E43" s="255"/>
      <c r="F43" s="255"/>
      <c r="G43" s="255"/>
      <c r="H43" s="255"/>
      <c r="I43" s="255"/>
      <c r="J43" s="255"/>
      <c r="K43" s="255"/>
      <c r="L43" s="255"/>
      <c r="M43" s="93"/>
      <c r="N43" s="93"/>
    </row>
    <row r="44" spans="2:14" ht="15.95" customHeight="1" x14ac:dyDescent="0.25">
      <c r="B44" s="64"/>
      <c r="C44" s="76"/>
      <c r="D44" s="76"/>
      <c r="E44" s="76"/>
      <c r="F44" s="76"/>
      <c r="G44" s="76"/>
      <c r="H44" s="76"/>
      <c r="I44" s="76"/>
      <c r="J44" s="76"/>
      <c r="K44" s="76"/>
      <c r="L44" s="76"/>
      <c r="M44" s="93"/>
      <c r="N44" s="93"/>
    </row>
    <row r="45" spans="2:14" ht="15.95" customHeight="1" x14ac:dyDescent="0.25">
      <c r="B45" s="64"/>
      <c r="C45" s="76"/>
      <c r="D45" s="76"/>
      <c r="E45" s="76"/>
      <c r="F45" s="77"/>
      <c r="G45" s="76"/>
      <c r="H45" s="76"/>
      <c r="I45" s="76"/>
      <c r="J45" s="76"/>
      <c r="K45" s="76"/>
      <c r="L45" s="76"/>
      <c r="M45" s="93"/>
      <c r="N45" s="93"/>
    </row>
    <row r="46" spans="2:14" ht="15.95" customHeight="1" x14ac:dyDescent="0.25">
      <c r="B46" s="64"/>
      <c r="C46" s="76"/>
      <c r="D46" s="76"/>
      <c r="E46" s="76"/>
      <c r="F46" s="76"/>
      <c r="G46" s="76"/>
      <c r="H46" s="76"/>
      <c r="I46" s="76"/>
      <c r="J46" s="76"/>
      <c r="K46" s="76"/>
      <c r="L46" s="76"/>
      <c r="M46" s="93"/>
      <c r="N46" s="93"/>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topLeftCell="B1" workbookViewId="0">
      <selection activeCell="J11" sqref="J11"/>
    </sheetView>
  </sheetViews>
  <sheetFormatPr baseColWidth="10" defaultColWidth="9.140625" defaultRowHeight="15.75" x14ac:dyDescent="0.25"/>
  <cols>
    <col min="1" max="1" width="3.42578125" customWidth="1"/>
    <col min="2" max="2" width="46.42578125" style="27" customWidth="1"/>
    <col min="3" max="4" width="9.5703125" bestFit="1" customWidth="1"/>
    <col min="5" max="7" width="10.5703125" bestFit="1" customWidth="1"/>
    <col min="8" max="9" width="10.42578125" customWidth="1"/>
    <col min="10" max="14" width="10.5703125" bestFit="1" customWidth="1"/>
  </cols>
  <sheetData>
    <row r="1" spans="2:15" ht="16.5" thickBot="1" x14ac:dyDescent="0.3"/>
    <row r="2" spans="2:15" ht="15" customHeight="1" x14ac:dyDescent="0.25">
      <c r="B2" s="256"/>
      <c r="C2" s="268"/>
      <c r="D2" s="268"/>
      <c r="E2" s="268"/>
      <c r="F2" s="268"/>
      <c r="G2" s="268"/>
      <c r="H2" s="268"/>
      <c r="I2" s="268"/>
      <c r="J2" s="268"/>
      <c r="K2" s="268"/>
      <c r="L2" s="268"/>
      <c r="M2" s="268"/>
      <c r="N2" s="269"/>
    </row>
    <row r="3" spans="2:15" ht="15" customHeight="1" x14ac:dyDescent="0.25">
      <c r="B3" s="257"/>
      <c r="C3" s="270"/>
      <c r="D3" s="270"/>
      <c r="E3" s="270"/>
      <c r="F3" s="270"/>
      <c r="G3" s="270"/>
      <c r="H3" s="270"/>
      <c r="I3" s="270"/>
      <c r="J3" s="270"/>
      <c r="K3" s="270"/>
      <c r="L3" s="270"/>
      <c r="M3" s="270"/>
      <c r="N3" s="271"/>
    </row>
    <row r="4" spans="2:15" ht="15" customHeight="1" x14ac:dyDescent="0.25">
      <c r="B4" s="257"/>
      <c r="C4" s="270"/>
      <c r="D4" s="270"/>
      <c r="E4" s="270"/>
      <c r="F4" s="270"/>
      <c r="G4" s="270"/>
      <c r="H4" s="270"/>
      <c r="I4" s="270"/>
      <c r="J4" s="270"/>
      <c r="K4" s="270"/>
      <c r="L4" s="270"/>
      <c r="M4" s="270"/>
      <c r="N4" s="271"/>
    </row>
    <row r="5" spans="2:15" ht="15" customHeight="1" x14ac:dyDescent="0.25">
      <c r="B5" s="257"/>
      <c r="C5" s="270"/>
      <c r="D5" s="270"/>
      <c r="E5" s="270"/>
      <c r="F5" s="270"/>
      <c r="G5" s="270"/>
      <c r="H5" s="270"/>
      <c r="I5" s="270"/>
      <c r="J5" s="270"/>
      <c r="K5" s="270"/>
      <c r="L5" s="270"/>
      <c r="M5" s="270"/>
      <c r="N5" s="271"/>
    </row>
    <row r="6" spans="2:15" ht="15" customHeight="1" x14ac:dyDescent="0.25">
      <c r="B6" s="257"/>
      <c r="C6" s="270"/>
      <c r="D6" s="270"/>
      <c r="E6" s="270"/>
      <c r="F6" s="270"/>
      <c r="G6" s="270"/>
      <c r="H6" s="270"/>
      <c r="I6" s="270"/>
      <c r="J6" s="270"/>
      <c r="K6" s="270"/>
      <c r="L6" s="270"/>
      <c r="M6" s="270"/>
      <c r="N6" s="271"/>
    </row>
    <row r="7" spans="2:15" ht="48.75" customHeight="1" thickBot="1" x14ac:dyDescent="0.3">
      <c r="B7" s="257"/>
      <c r="C7" s="270"/>
      <c r="D7" s="270"/>
      <c r="E7" s="270"/>
      <c r="F7" s="270"/>
      <c r="G7" s="270"/>
      <c r="H7" s="270"/>
      <c r="I7" s="270"/>
      <c r="J7" s="270"/>
      <c r="K7" s="270"/>
      <c r="L7" s="270"/>
      <c r="M7" s="270"/>
      <c r="N7" s="271"/>
    </row>
    <row r="8" spans="2:15" ht="18.75" customHeight="1" thickBot="1" x14ac:dyDescent="0.3">
      <c r="B8" s="267"/>
      <c r="C8" s="30">
        <v>2014</v>
      </c>
      <c r="D8" s="30">
        <v>2015</v>
      </c>
      <c r="E8" s="30">
        <v>2016</v>
      </c>
      <c r="F8" s="30">
        <v>2017</v>
      </c>
      <c r="G8" s="30">
        <v>2018</v>
      </c>
      <c r="H8" s="30">
        <v>2019</v>
      </c>
      <c r="I8" s="155">
        <v>2020</v>
      </c>
      <c r="J8" s="97">
        <v>2020</v>
      </c>
      <c r="K8" s="97">
        <v>2021</v>
      </c>
      <c r="L8" s="97">
        <v>2022</v>
      </c>
      <c r="M8" s="97">
        <v>2023</v>
      </c>
      <c r="N8" s="98">
        <v>2024</v>
      </c>
    </row>
    <row r="9" spans="2:15" x14ac:dyDescent="0.25">
      <c r="B9" s="57" t="s">
        <v>31</v>
      </c>
      <c r="C9" s="31"/>
      <c r="D9" s="31"/>
      <c r="E9" s="31"/>
      <c r="F9" s="31"/>
      <c r="G9" s="31"/>
      <c r="H9" s="31"/>
      <c r="I9" s="182"/>
      <c r="J9" s="31"/>
      <c r="K9" s="31"/>
      <c r="L9" s="31"/>
      <c r="M9" s="32"/>
      <c r="N9" s="33"/>
    </row>
    <row r="10" spans="2:15" x14ac:dyDescent="0.25">
      <c r="B10" s="58" t="s">
        <v>5</v>
      </c>
      <c r="C10" s="184">
        <f>'1.Income statement'!C12</f>
        <v>36</v>
      </c>
      <c r="D10" s="185">
        <f>'1.Income statement'!D12</f>
        <v>58.4</v>
      </c>
      <c r="E10" s="185">
        <f>'1.Income statement'!E12</f>
        <v>84.300000000000011</v>
      </c>
      <c r="F10" s="185">
        <f>'1.Income statement'!F12</f>
        <v>85.5</v>
      </c>
      <c r="G10" s="185">
        <f>'1.Income statement'!G12</f>
        <v>129.5</v>
      </c>
      <c r="H10" s="185">
        <f>'1.Income statement'!H12</f>
        <v>124.7</v>
      </c>
      <c r="I10" s="186">
        <f>'1.Income statement'!I12</f>
        <v>157.4</v>
      </c>
      <c r="J10" s="124">
        <f>'1.Income statement'!J12</f>
        <v>164.89440000000002</v>
      </c>
      <c r="K10" s="124">
        <f>'1.Income statement'!K12</f>
        <v>178.08595200000002</v>
      </c>
      <c r="L10" s="124">
        <f>'1.Income statement'!L12</f>
        <v>192.33282816000002</v>
      </c>
      <c r="M10" s="124">
        <f>'1.Income statement'!M12</f>
        <v>207.71945441280002</v>
      </c>
      <c r="N10" s="125">
        <f>'1.Income statement'!N12</f>
        <v>224.337010765824</v>
      </c>
    </row>
    <row r="11" spans="2:15" x14ac:dyDescent="0.25">
      <c r="B11" s="159" t="s">
        <v>33</v>
      </c>
      <c r="C11" s="246">
        <v>0.2</v>
      </c>
      <c r="D11" s="246">
        <v>0.4</v>
      </c>
      <c r="E11" s="246">
        <v>0.8</v>
      </c>
      <c r="F11" s="246">
        <v>1.1000000000000001</v>
      </c>
      <c r="G11" s="246">
        <v>9</v>
      </c>
      <c r="H11" s="247">
        <v>6.3</v>
      </c>
      <c r="I11" s="248">
        <v>8.3000000000000007</v>
      </c>
      <c r="J11" s="126">
        <f>(I11*'1.Income statement'!$P$11)+'2.Flujos de caja'!I11</f>
        <v>8.9640000000000004</v>
      </c>
      <c r="K11" s="126">
        <f>(J11*'1.Income statement'!$P$11)+'2.Flujos de caja'!J11</f>
        <v>9.6811199999999999</v>
      </c>
      <c r="L11" s="126">
        <f>(K11*'1.Income statement'!$P$11)+'2.Flujos de caja'!K11</f>
        <v>10.455609600000001</v>
      </c>
      <c r="M11" s="126">
        <f>(L11*'1.Income statement'!$P$11)+'2.Flujos de caja'!L11</f>
        <v>11.292058368000001</v>
      </c>
      <c r="N11" s="127">
        <f>(M11*'1.Income statement'!$P$11)+'2.Flujos de caja'!M11</f>
        <v>12.195423037440001</v>
      </c>
    </row>
    <row r="12" spans="2:15" x14ac:dyDescent="0.25">
      <c r="B12" s="160" t="s">
        <v>32</v>
      </c>
      <c r="C12" s="128">
        <f>'1.Income statement'!C17</f>
        <v>21.6</v>
      </c>
      <c r="D12" s="128">
        <f>'1.Income statement'!D17</f>
        <v>25.25</v>
      </c>
      <c r="E12" s="128">
        <f>'1.Income statement'!E17</f>
        <v>23.2</v>
      </c>
      <c r="F12" s="128">
        <f>'1.Income statement'!F17</f>
        <v>24.2</v>
      </c>
      <c r="G12" s="128">
        <f>'1.Income statement'!G17</f>
        <v>27.8</v>
      </c>
      <c r="H12" s="128">
        <f>'1.Income statement'!H17</f>
        <v>28.1</v>
      </c>
      <c r="I12" s="129">
        <f>'1.Income statement'!I17</f>
        <v>23.6</v>
      </c>
      <c r="J12" s="128">
        <f>'1.Income statement'!J17</f>
        <v>25.488000000000003</v>
      </c>
      <c r="K12" s="128">
        <f>'1.Income statement'!K17</f>
        <v>27.527040000000003</v>
      </c>
      <c r="L12" s="128">
        <f>'1.Income statement'!L17</f>
        <v>29.729203200000004</v>
      </c>
      <c r="M12" s="128">
        <f>'1.Income statement'!M17</f>
        <v>32.107539456000005</v>
      </c>
      <c r="N12" s="129">
        <f>'1.Income statement'!N17</f>
        <v>34.676142612480007</v>
      </c>
    </row>
    <row r="13" spans="2:15" x14ac:dyDescent="0.25">
      <c r="B13" s="160" t="s">
        <v>81</v>
      </c>
      <c r="C13" s="128"/>
      <c r="D13" s="128"/>
      <c r="E13" s="128"/>
      <c r="F13" s="128"/>
      <c r="G13" s="128"/>
      <c r="H13" s="128"/>
      <c r="I13" s="129"/>
      <c r="J13" s="128"/>
      <c r="K13" s="128"/>
      <c r="L13" s="128"/>
      <c r="M13" s="128"/>
      <c r="N13" s="129"/>
    </row>
    <row r="14" spans="2:15" x14ac:dyDescent="0.25">
      <c r="B14" s="161" t="s">
        <v>77</v>
      </c>
      <c r="C14" s="158">
        <f>'1.Income statement'!C23</f>
        <v>0</v>
      </c>
      <c r="D14" s="158">
        <f>'1.Income statement'!D23</f>
        <v>0</v>
      </c>
      <c r="E14" s="158">
        <f>'1.Income statement'!E23</f>
        <v>0</v>
      </c>
      <c r="F14" s="158">
        <f>'1.Income statement'!F23</f>
        <v>0</v>
      </c>
      <c r="G14" s="158">
        <f>'1.Income statement'!G23</f>
        <v>0</v>
      </c>
      <c r="H14" s="158">
        <f>'1.Income statement'!H23</f>
        <v>0</v>
      </c>
      <c r="I14" s="158">
        <f>'1.Income statement'!I23</f>
        <v>0</v>
      </c>
      <c r="J14" s="244">
        <f>'1.Income statement'!J23</f>
        <v>0</v>
      </c>
      <c r="K14" s="164">
        <f>'1.Income statement'!K23</f>
        <v>0</v>
      </c>
      <c r="L14" s="164">
        <f>'1.Income statement'!L23</f>
        <v>0</v>
      </c>
      <c r="M14" s="164">
        <f>'1.Income statement'!M23</f>
        <v>0</v>
      </c>
      <c r="N14" s="165">
        <f>'1.Income statement'!N23</f>
        <v>0</v>
      </c>
    </row>
    <row r="15" spans="2:15" x14ac:dyDescent="0.25">
      <c r="B15" s="59" t="s">
        <v>7</v>
      </c>
      <c r="C15" s="124">
        <f>C10-C11-C12-C13-C14</f>
        <v>14.199999999999996</v>
      </c>
      <c r="D15" s="124">
        <f t="shared" ref="D15:N15" si="0">D10-D11-D12-D13-D14</f>
        <v>32.75</v>
      </c>
      <c r="E15" s="124">
        <f t="shared" si="0"/>
        <v>60.300000000000011</v>
      </c>
      <c r="F15" s="124">
        <f t="shared" si="0"/>
        <v>60.2</v>
      </c>
      <c r="G15" s="124">
        <f t="shared" si="0"/>
        <v>92.7</v>
      </c>
      <c r="H15" s="183">
        <f t="shared" si="0"/>
        <v>90.300000000000011</v>
      </c>
      <c r="I15" s="245">
        <f t="shared" si="0"/>
        <v>125.5</v>
      </c>
      <c r="J15" s="124">
        <f t="shared" si="0"/>
        <v>130.44240000000002</v>
      </c>
      <c r="K15" s="124">
        <f t="shared" si="0"/>
        <v>140.87779200000003</v>
      </c>
      <c r="L15" s="124">
        <f t="shared" si="0"/>
        <v>152.14801536000002</v>
      </c>
      <c r="M15" s="124">
        <f t="shared" si="0"/>
        <v>164.31985658880001</v>
      </c>
      <c r="N15" s="124">
        <f t="shared" si="0"/>
        <v>177.465445115904</v>
      </c>
      <c r="O15" s="177"/>
    </row>
    <row r="16" spans="2:15" ht="16.5" thickBot="1" x14ac:dyDescent="0.3">
      <c r="B16" s="60" t="s">
        <v>8</v>
      </c>
      <c r="C16" s="34">
        <f>C15/'1.Income statement'!C27</f>
        <v>0.61739130434782585</v>
      </c>
      <c r="D16" s="34">
        <f>D15/'1.Income statement'!D27</f>
        <v>0.87801608579088475</v>
      </c>
      <c r="E16" s="34">
        <f>E15/'1.Income statement'!E27</f>
        <v>1.0767857142857145</v>
      </c>
      <c r="F16" s="34">
        <f>F15/'1.Income statement'!F27</f>
        <v>0.82920110192837471</v>
      </c>
      <c r="G16" s="34">
        <f>G15/'1.Income statement'!G27</f>
        <v>1.1689785624211855</v>
      </c>
      <c r="H16" s="34">
        <f>H15/'1.Income statement'!H27</f>
        <v>0.96992481203007541</v>
      </c>
      <c r="I16" s="35">
        <f>I15/'1.Income statement'!I27</f>
        <v>1.3210526315789475</v>
      </c>
      <c r="J16" s="34">
        <f>J15/'1.Income statement'!J27</f>
        <v>1.3447670103092786</v>
      </c>
      <c r="K16" s="34">
        <f>K15/'1.Income statement'!K27</f>
        <v>1.4230080000000003</v>
      </c>
      <c r="L16" s="34">
        <f>L15/'1.Income statement'!L27</f>
        <v>1.5064159936633665</v>
      </c>
      <c r="M16" s="34">
        <f>M15/'1.Income statement'!M27</f>
        <v>1.5953384134834951</v>
      </c>
      <c r="N16" s="35">
        <f>N15/'1.Income statement'!N27</f>
        <v>1.6901470963419429</v>
      </c>
    </row>
    <row r="17" spans="2:14" x14ac:dyDescent="0.25">
      <c r="B17" s="26"/>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6"/>
      <c r="C19" s="3"/>
      <c r="D19" s="3"/>
      <c r="E19" s="3"/>
      <c r="F19" s="3"/>
      <c r="G19" s="3"/>
      <c r="H19" s="3"/>
      <c r="I19" s="3"/>
      <c r="J19" s="3"/>
      <c r="K19" s="3"/>
      <c r="L19" s="3"/>
      <c r="M19" s="3"/>
      <c r="N19" s="3"/>
    </row>
    <row r="20" spans="2:14" x14ac:dyDescent="0.25">
      <c r="B20" s="26"/>
      <c r="C20" s="3"/>
      <c r="D20" s="3"/>
      <c r="E20" s="3"/>
      <c r="F20" s="3"/>
      <c r="G20" s="3"/>
      <c r="H20" s="3"/>
      <c r="I20" s="3"/>
      <c r="J20" s="3"/>
      <c r="K20" s="3"/>
      <c r="L20" s="3"/>
      <c r="M20" s="3"/>
      <c r="N20" s="3"/>
    </row>
    <row r="21" spans="2:14" x14ac:dyDescent="0.25">
      <c r="B21" s="26"/>
      <c r="C21" s="3"/>
      <c r="D21" s="3"/>
      <c r="E21" s="3"/>
      <c r="F21" s="3"/>
      <c r="G21" s="3"/>
      <c r="H21" s="3"/>
      <c r="I21" s="3"/>
      <c r="J21" s="3"/>
      <c r="K21" s="3"/>
      <c r="L21" s="3"/>
      <c r="M21" s="3"/>
      <c r="N21" s="3"/>
    </row>
    <row r="22" spans="2:14" x14ac:dyDescent="0.25">
      <c r="B22" s="26"/>
      <c r="C22" s="3"/>
      <c r="D22" s="3"/>
      <c r="E22" s="3"/>
      <c r="F22" s="3"/>
      <c r="G22" s="3"/>
      <c r="H22" s="3"/>
      <c r="I22" s="3"/>
      <c r="J22" s="3"/>
      <c r="K22" s="3"/>
      <c r="L22" s="3"/>
      <c r="M22" s="3"/>
      <c r="N22" s="3"/>
    </row>
    <row r="23" spans="2:14" x14ac:dyDescent="0.25">
      <c r="B23" s="26"/>
      <c r="C23" s="3"/>
      <c r="D23" s="3"/>
      <c r="E23" s="3"/>
      <c r="F23" s="3"/>
      <c r="G23" s="3"/>
      <c r="H23" s="3"/>
      <c r="I23" s="3"/>
      <c r="J23" s="3"/>
      <c r="K23" s="3"/>
      <c r="L23" s="3"/>
      <c r="M23" s="3"/>
      <c r="N23" s="3"/>
    </row>
    <row r="24" spans="2:14" x14ac:dyDescent="0.25">
      <c r="B24" s="26"/>
      <c r="C24" s="2"/>
      <c r="D24" s="2"/>
      <c r="E24" s="2"/>
      <c r="F24" s="2"/>
      <c r="G24" s="2"/>
      <c r="H24" s="2"/>
      <c r="I24" s="2"/>
      <c r="J24" s="2"/>
      <c r="K24" s="2"/>
      <c r="L24" s="2"/>
      <c r="M24" s="2"/>
      <c r="N24" s="2"/>
    </row>
    <row r="25" spans="2:14" x14ac:dyDescent="0.25">
      <c r="B25" s="25"/>
      <c r="C25" s="1"/>
      <c r="D25" s="1"/>
      <c r="E25" s="1"/>
      <c r="F25" s="1"/>
      <c r="G25" s="1"/>
      <c r="H25" s="1"/>
      <c r="I25" s="1"/>
      <c r="J25" s="1"/>
      <c r="K25" s="1"/>
      <c r="L25" s="1"/>
      <c r="M25" s="1"/>
      <c r="N25" s="1"/>
    </row>
    <row r="26" spans="2:14" x14ac:dyDescent="0.25">
      <c r="B26" s="25"/>
      <c r="C26" s="1"/>
      <c r="D26" s="1"/>
      <c r="E26" s="1"/>
      <c r="F26" s="1"/>
      <c r="G26" s="1"/>
      <c r="H26" s="1"/>
      <c r="I26" s="1"/>
      <c r="J26" s="1"/>
      <c r="K26" s="1"/>
      <c r="L26" s="1"/>
      <c r="M26" s="1"/>
      <c r="N26" s="1"/>
    </row>
    <row r="27" spans="2:14" x14ac:dyDescent="0.25">
      <c r="B27" s="25"/>
      <c r="C27" s="1"/>
      <c r="D27" s="1"/>
      <c r="E27" s="1"/>
      <c r="F27" s="1"/>
      <c r="G27" s="1"/>
      <c r="H27" s="1"/>
      <c r="I27" s="1"/>
      <c r="J27" s="1"/>
      <c r="K27" s="1"/>
      <c r="L27" s="1"/>
      <c r="M27" s="1"/>
      <c r="N27" s="1"/>
    </row>
    <row r="28" spans="2:14" x14ac:dyDescent="0.25">
      <c r="B28" s="25"/>
      <c r="C28" s="1"/>
      <c r="D28" s="1"/>
      <c r="E28" s="1"/>
      <c r="F28" s="1"/>
      <c r="G28" s="1"/>
      <c r="H28" s="1"/>
      <c r="I28" s="1"/>
      <c r="J28" s="1"/>
      <c r="K28" s="1"/>
      <c r="L28" s="1"/>
      <c r="M28" s="1"/>
      <c r="N28" s="1"/>
    </row>
    <row r="29" spans="2:14" x14ac:dyDescent="0.25">
      <c r="B29" s="25"/>
      <c r="C29" s="1"/>
      <c r="D29" s="1"/>
      <c r="E29" s="1"/>
      <c r="F29" s="1"/>
      <c r="G29" s="1"/>
      <c r="H29" s="1"/>
      <c r="I29" s="1"/>
      <c r="J29" s="1"/>
      <c r="K29" s="1"/>
      <c r="L29" s="1"/>
      <c r="M29" s="1"/>
      <c r="N29" s="1"/>
    </row>
    <row r="30" spans="2:14" x14ac:dyDescent="0.25">
      <c r="B30" s="25"/>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B5" zoomScale="115" zoomScaleNormal="115" workbookViewId="0">
      <selection activeCell="J17" sqref="J17"/>
    </sheetView>
  </sheetViews>
  <sheetFormatPr baseColWidth="10" defaultColWidth="9.140625" defaultRowHeight="15" x14ac:dyDescent="0.25"/>
  <cols>
    <col min="1" max="1" width="4.140625" customWidth="1"/>
    <col min="2" max="2" width="45.7109375" customWidth="1"/>
    <col min="3" max="3" width="9" customWidth="1"/>
    <col min="15" max="15" width="13.85546875" customWidth="1"/>
  </cols>
  <sheetData>
    <row r="1" spans="2:16" ht="15.75" thickBot="1" x14ac:dyDescent="0.3"/>
    <row r="2" spans="2:16" ht="15" customHeight="1" x14ac:dyDescent="0.25">
      <c r="B2" s="272"/>
      <c r="C2" s="268"/>
      <c r="D2" s="268"/>
      <c r="E2" s="268"/>
      <c r="F2" s="268"/>
      <c r="G2" s="268"/>
      <c r="H2" s="268"/>
      <c r="I2" s="268"/>
      <c r="J2" s="268"/>
      <c r="K2" s="268"/>
      <c r="L2" s="268"/>
      <c r="M2" s="268"/>
      <c r="N2" s="269"/>
    </row>
    <row r="3" spans="2:16" ht="15" customHeight="1" x14ac:dyDescent="0.25">
      <c r="B3" s="273"/>
      <c r="C3" s="270"/>
      <c r="D3" s="270"/>
      <c r="E3" s="270"/>
      <c r="F3" s="270"/>
      <c r="G3" s="270"/>
      <c r="H3" s="270"/>
      <c r="I3" s="270"/>
      <c r="J3" s="270"/>
      <c r="K3" s="270"/>
      <c r="L3" s="270"/>
      <c r="M3" s="270"/>
      <c r="N3" s="271"/>
    </row>
    <row r="4" spans="2:16" ht="15" customHeight="1" x14ac:dyDescent="0.25">
      <c r="B4" s="273"/>
      <c r="C4" s="270"/>
      <c r="D4" s="270"/>
      <c r="E4" s="270"/>
      <c r="F4" s="270"/>
      <c r="G4" s="270"/>
      <c r="H4" s="270"/>
      <c r="I4" s="270"/>
      <c r="J4" s="270"/>
      <c r="K4" s="270"/>
      <c r="L4" s="270"/>
      <c r="M4" s="270"/>
      <c r="N4" s="271"/>
    </row>
    <row r="5" spans="2:16" ht="15" customHeight="1" x14ac:dyDescent="0.25">
      <c r="B5" s="273"/>
      <c r="C5" s="270"/>
      <c r="D5" s="270"/>
      <c r="E5" s="270"/>
      <c r="F5" s="270"/>
      <c r="G5" s="270"/>
      <c r="H5" s="270"/>
      <c r="I5" s="270"/>
      <c r="J5" s="270"/>
      <c r="K5" s="270"/>
      <c r="L5" s="270"/>
      <c r="M5" s="270"/>
      <c r="N5" s="271"/>
    </row>
    <row r="6" spans="2:16" ht="15" customHeight="1" x14ac:dyDescent="0.25">
      <c r="B6" s="273"/>
      <c r="C6" s="270"/>
      <c r="D6" s="270"/>
      <c r="E6" s="270"/>
      <c r="F6" s="270"/>
      <c r="G6" s="270"/>
      <c r="H6" s="270"/>
      <c r="I6" s="270"/>
      <c r="J6" s="270"/>
      <c r="K6" s="270"/>
      <c r="L6" s="270"/>
      <c r="M6" s="270"/>
      <c r="N6" s="271"/>
    </row>
    <row r="7" spans="2:16" ht="48.75" customHeight="1" thickBot="1" x14ac:dyDescent="0.3">
      <c r="B7" s="273"/>
      <c r="C7" s="270"/>
      <c r="D7" s="270"/>
      <c r="E7" s="270"/>
      <c r="F7" s="270"/>
      <c r="G7" s="270"/>
      <c r="H7" s="270"/>
      <c r="I7" s="270"/>
      <c r="J7" s="270"/>
      <c r="K7" s="270"/>
      <c r="L7" s="270"/>
      <c r="M7" s="270"/>
      <c r="N7" s="271"/>
    </row>
    <row r="8" spans="2:16" ht="18.75" customHeight="1" thickBot="1" x14ac:dyDescent="0.3">
      <c r="B8" s="273"/>
      <c r="C8" s="30">
        <v>2014</v>
      </c>
      <c r="D8" s="30">
        <v>2015</v>
      </c>
      <c r="E8" s="30">
        <v>2016</v>
      </c>
      <c r="F8" s="30">
        <v>2017</v>
      </c>
      <c r="G8" s="30">
        <v>2018</v>
      </c>
      <c r="H8" s="30">
        <v>2019</v>
      </c>
      <c r="I8" s="30">
        <v>2020</v>
      </c>
      <c r="J8" s="96">
        <v>2020</v>
      </c>
      <c r="K8" s="97">
        <v>2021</v>
      </c>
      <c r="L8" s="97">
        <v>2022</v>
      </c>
      <c r="M8" s="97">
        <v>2023</v>
      </c>
      <c r="N8" s="98">
        <v>2024</v>
      </c>
    </row>
    <row r="9" spans="2:16" ht="18.75" thickBot="1" x14ac:dyDescent="0.4">
      <c r="B9" s="187" t="s">
        <v>34</v>
      </c>
      <c r="C9" s="62"/>
      <c r="D9" s="62"/>
      <c r="E9" s="62"/>
      <c r="F9" s="62"/>
      <c r="G9" s="62"/>
      <c r="H9" s="62"/>
      <c r="I9" s="62"/>
      <c r="J9" s="61"/>
      <c r="K9" s="62"/>
      <c r="L9" s="62"/>
      <c r="M9" s="43"/>
      <c r="N9" s="44"/>
    </row>
    <row r="10" spans="2:16" ht="17.25" thickBot="1" x14ac:dyDescent="0.35">
      <c r="B10" s="188" t="s">
        <v>10</v>
      </c>
      <c r="C10" s="39">
        <f>'1.Income statement'!C15</f>
        <v>13</v>
      </c>
      <c r="D10" s="39">
        <f>'1.Income statement'!D15</f>
        <v>34.299999999999997</v>
      </c>
      <c r="E10" s="39">
        <f>'1.Income statement'!E15</f>
        <v>52.300000000000004</v>
      </c>
      <c r="F10" s="39">
        <f>'1.Income statement'!F15</f>
        <v>46.400000000000006</v>
      </c>
      <c r="G10" s="39">
        <f>'1.Income statement'!G15</f>
        <v>83.7</v>
      </c>
      <c r="H10" s="39">
        <f>'1.Income statement'!H15</f>
        <v>72.7</v>
      </c>
      <c r="I10" s="39">
        <f>'1.Income statement'!I15</f>
        <v>104.4</v>
      </c>
      <c r="J10" s="38">
        <f>'1.Income statement'!J15</f>
        <v>107.65440000000001</v>
      </c>
      <c r="K10" s="39">
        <f>'1.Income statement'!K15</f>
        <v>116.26675200000001</v>
      </c>
      <c r="L10" s="39">
        <f>'1.Income statement'!L15</f>
        <v>125.56809216000001</v>
      </c>
      <c r="M10" s="39">
        <f>'1.Income statement'!M15</f>
        <v>135.61353953280002</v>
      </c>
      <c r="N10" s="40">
        <f>'1.Income statement'!N15</f>
        <v>146.46262269542402</v>
      </c>
      <c r="O10" s="13" t="s">
        <v>26</v>
      </c>
      <c r="P10" s="9">
        <f>'1.Income statement'!$P$11</f>
        <v>0.08</v>
      </c>
    </row>
    <row r="11" spans="2:16" ht="16.5" x14ac:dyDescent="0.3">
      <c r="B11" s="189" t="s">
        <v>35</v>
      </c>
      <c r="C11" s="46">
        <f>'1.Income statement'!C17</f>
        <v>21.6</v>
      </c>
      <c r="D11" s="46">
        <f>'1.Income statement'!D17</f>
        <v>25.25</v>
      </c>
      <c r="E11" s="46">
        <f>'1.Income statement'!E17</f>
        <v>23.2</v>
      </c>
      <c r="F11" s="46">
        <f>'1.Income statement'!F17</f>
        <v>24.2</v>
      </c>
      <c r="G11" s="46">
        <f>'1.Income statement'!G17</f>
        <v>27.8</v>
      </c>
      <c r="H11" s="46">
        <f>'1.Income statement'!H17</f>
        <v>28.1</v>
      </c>
      <c r="I11" s="46">
        <f>'1.Income statement'!I17</f>
        <v>23.6</v>
      </c>
      <c r="J11" s="45">
        <f>'1.Income statement'!J17</f>
        <v>25.488000000000003</v>
      </c>
      <c r="K11" s="46">
        <f>'1.Income statement'!K17</f>
        <v>27.527040000000003</v>
      </c>
      <c r="L11" s="46">
        <f>'1.Income statement'!L17</f>
        <v>29.729203200000004</v>
      </c>
      <c r="M11" s="46">
        <f>'1.Income statement'!M17</f>
        <v>32.107539456000005</v>
      </c>
      <c r="N11" s="47">
        <f>'1.Income statement'!N17</f>
        <v>34.676142612480007</v>
      </c>
    </row>
    <row r="12" spans="2:16" x14ac:dyDescent="0.25">
      <c r="B12" s="190" t="s">
        <v>74</v>
      </c>
      <c r="C12" s="49">
        <f>'1.Income statement'!C20</f>
        <v>0</v>
      </c>
      <c r="D12" s="49">
        <f>'1.Income statement'!D20</f>
        <v>0</v>
      </c>
      <c r="E12" s="49">
        <f>'1.Income statement'!E20</f>
        <v>0</v>
      </c>
      <c r="F12" s="49">
        <f>'1.Income statement'!F20</f>
        <v>0</v>
      </c>
      <c r="G12" s="49">
        <f>'1.Income statement'!G20</f>
        <v>0</v>
      </c>
      <c r="H12" s="49">
        <f>'1.Income statement'!H20</f>
        <v>0</v>
      </c>
      <c r="I12" s="49">
        <f>'1.Income statement'!I20</f>
        <v>0</v>
      </c>
      <c r="J12" s="48">
        <f>'1.Income statement'!J20</f>
        <v>0</v>
      </c>
      <c r="K12" s="49">
        <f>'1.Income statement'!K20</f>
        <v>0</v>
      </c>
      <c r="L12" s="49">
        <f>'1.Income statement'!L20</f>
        <v>0</v>
      </c>
      <c r="M12" s="49">
        <f>'1.Income statement'!M20</f>
        <v>0</v>
      </c>
      <c r="N12" s="50">
        <f>'1.Income statement'!N20</f>
        <v>0</v>
      </c>
    </row>
    <row r="13" spans="2:16" x14ac:dyDescent="0.25">
      <c r="B13" s="191" t="s">
        <v>11</v>
      </c>
      <c r="C13" s="39">
        <f>'1.Income statement'!C24</f>
        <v>-8.6000000000000014</v>
      </c>
      <c r="D13" s="39">
        <f>'1.Income statement'!D24</f>
        <v>9.0499999999999972</v>
      </c>
      <c r="E13" s="39">
        <f>'1.Income statement'!E24</f>
        <v>29.100000000000005</v>
      </c>
      <c r="F13" s="39">
        <f>'1.Income statement'!F24</f>
        <v>22.200000000000006</v>
      </c>
      <c r="G13" s="39">
        <f>'1.Income statement'!G24</f>
        <v>55.900000000000006</v>
      </c>
      <c r="H13" s="39">
        <f>'1.Income statement'!H24</f>
        <v>44.6</v>
      </c>
      <c r="I13" s="39">
        <f>'1.Income statement'!I24</f>
        <v>80.800000000000011</v>
      </c>
      <c r="J13" s="38">
        <f>'1.Income statement'!J24</f>
        <v>82.16640000000001</v>
      </c>
      <c r="K13" s="39">
        <f>'1.Income statement'!K24</f>
        <v>88.739712000000011</v>
      </c>
      <c r="L13" s="39">
        <f>'1.Income statement'!L24</f>
        <v>95.838888960000006</v>
      </c>
      <c r="M13" s="39">
        <f>'1.Income statement'!M24</f>
        <v>103.50600007680001</v>
      </c>
      <c r="N13" s="40">
        <f>'1.Income statement'!N24</f>
        <v>111.78648008294401</v>
      </c>
    </row>
    <row r="14" spans="2:16" x14ac:dyDescent="0.25">
      <c r="B14" s="192" t="s">
        <v>39</v>
      </c>
      <c r="C14" s="241">
        <v>25.3</v>
      </c>
      <c r="D14" s="241">
        <v>11.5</v>
      </c>
      <c r="E14" s="241">
        <v>7.5</v>
      </c>
      <c r="F14" s="241">
        <v>6.9</v>
      </c>
      <c r="G14" s="241">
        <v>36.799999999999997</v>
      </c>
      <c r="H14" s="242">
        <v>20.3</v>
      </c>
      <c r="I14" s="162">
        <v>19</v>
      </c>
      <c r="J14" s="49">
        <f t="shared" ref="J14:N14" si="0">I14*$P$10+I14</f>
        <v>20.52</v>
      </c>
      <c r="K14" s="49">
        <f t="shared" si="0"/>
        <v>22.1616</v>
      </c>
      <c r="L14" s="49">
        <f t="shared" si="0"/>
        <v>23.934528</v>
      </c>
      <c r="M14" s="49">
        <f t="shared" si="0"/>
        <v>25.849290240000002</v>
      </c>
      <c r="N14" s="50">
        <f t="shared" si="0"/>
        <v>27.917233459200002</v>
      </c>
    </row>
    <row r="15" spans="2:16" x14ac:dyDescent="0.25">
      <c r="B15" s="193" t="s">
        <v>36</v>
      </c>
      <c r="C15" s="241">
        <v>358</v>
      </c>
      <c r="D15" s="241">
        <v>394</v>
      </c>
      <c r="E15" s="241">
        <v>450</v>
      </c>
      <c r="F15" s="241">
        <v>559</v>
      </c>
      <c r="G15" s="241">
        <v>490</v>
      </c>
      <c r="H15" s="241">
        <v>554</v>
      </c>
      <c r="I15" s="132">
        <f>296+198+50</f>
        <v>544</v>
      </c>
      <c r="J15" s="49">
        <f t="shared" ref="J15:N17" si="1">I15*$P$10+I15</f>
        <v>587.52</v>
      </c>
      <c r="K15" s="49">
        <f t="shared" si="1"/>
        <v>634.52160000000003</v>
      </c>
      <c r="L15" s="49">
        <f t="shared" si="1"/>
        <v>685.28332799999998</v>
      </c>
      <c r="M15" s="49">
        <f t="shared" si="1"/>
        <v>740.10599423999997</v>
      </c>
      <c r="N15" s="50">
        <f t="shared" si="1"/>
        <v>799.31447377919994</v>
      </c>
    </row>
    <row r="16" spans="2:16" x14ac:dyDescent="0.25">
      <c r="B16" s="192" t="s">
        <v>37</v>
      </c>
      <c r="C16" s="241">
        <v>0</v>
      </c>
      <c r="D16" s="241">
        <v>0</v>
      </c>
      <c r="E16" s="241">
        <v>0</v>
      </c>
      <c r="F16" s="241">
        <v>0</v>
      </c>
      <c r="G16" s="241">
        <v>0</v>
      </c>
      <c r="H16" s="241">
        <v>0</v>
      </c>
      <c r="I16" s="132">
        <v>0</v>
      </c>
      <c r="J16" s="49">
        <f t="shared" si="1"/>
        <v>0</v>
      </c>
      <c r="K16" s="49">
        <f t="shared" si="1"/>
        <v>0</v>
      </c>
      <c r="L16" s="49">
        <f t="shared" si="1"/>
        <v>0</v>
      </c>
      <c r="M16" s="49">
        <f t="shared" si="1"/>
        <v>0</v>
      </c>
      <c r="N16" s="50">
        <f t="shared" si="1"/>
        <v>0</v>
      </c>
    </row>
    <row r="17" spans="2:14" x14ac:dyDescent="0.25">
      <c r="B17" s="192" t="s">
        <v>38</v>
      </c>
      <c r="C17" s="243">
        <v>113.46</v>
      </c>
      <c r="D17" s="243">
        <v>262.3</v>
      </c>
      <c r="E17" s="243">
        <v>452.4</v>
      </c>
      <c r="F17" s="243">
        <v>594.6</v>
      </c>
      <c r="G17" s="241">
        <v>768.2</v>
      </c>
      <c r="H17" s="243">
        <v>927.6</v>
      </c>
      <c r="I17" s="132">
        <v>914</v>
      </c>
      <c r="J17" s="133">
        <f t="shared" si="1"/>
        <v>987.12</v>
      </c>
      <c r="K17" s="133">
        <f t="shared" si="1"/>
        <v>1066.0896</v>
      </c>
      <c r="L17" s="133">
        <f t="shared" si="1"/>
        <v>1151.3767680000001</v>
      </c>
      <c r="M17" s="133">
        <f t="shared" si="1"/>
        <v>1243.4869094400001</v>
      </c>
      <c r="N17" s="50">
        <f t="shared" si="1"/>
        <v>1342.9658621952001</v>
      </c>
    </row>
    <row r="18" spans="2:14" x14ac:dyDescent="0.25">
      <c r="B18" s="194" t="s">
        <v>43</v>
      </c>
      <c r="C18" s="55">
        <f t="shared" ref="C18:F18" si="2">C17+C15-C14</f>
        <v>446.15999999999997</v>
      </c>
      <c r="D18" s="55">
        <f t="shared" si="2"/>
        <v>644.79999999999995</v>
      </c>
      <c r="E18" s="55">
        <f t="shared" si="2"/>
        <v>894.9</v>
      </c>
      <c r="F18" s="55">
        <f t="shared" si="2"/>
        <v>1146.6999999999998</v>
      </c>
      <c r="G18" s="163">
        <f>G17+G15-G14</f>
        <v>1221.4000000000001</v>
      </c>
      <c r="H18" s="163">
        <f>H17+H15-H14</f>
        <v>1461.3</v>
      </c>
      <c r="I18" s="51">
        <f>I17+I15-I14</f>
        <v>1439</v>
      </c>
      <c r="J18" s="163">
        <f t="shared" ref="J18:N18" si="3">J17+J15-J14</f>
        <v>1554.12</v>
      </c>
      <c r="K18" s="55">
        <f t="shared" si="3"/>
        <v>1678.4496000000001</v>
      </c>
      <c r="L18" s="55">
        <f t="shared" si="3"/>
        <v>1812.7255680000001</v>
      </c>
      <c r="M18" s="55">
        <f t="shared" si="3"/>
        <v>1957.74361344</v>
      </c>
      <c r="N18" s="51">
        <f t="shared" si="3"/>
        <v>2114.3631025152004</v>
      </c>
    </row>
    <row r="19" spans="2:14" x14ac:dyDescent="0.25">
      <c r="B19" s="195" t="s">
        <v>44</v>
      </c>
      <c r="C19" s="52">
        <f t="shared" ref="C19:F19" si="4">C15-C14+C17-C16</f>
        <v>446.15999999999997</v>
      </c>
      <c r="D19" s="52">
        <f t="shared" si="4"/>
        <v>644.79999999999995</v>
      </c>
      <c r="E19" s="52">
        <f t="shared" si="4"/>
        <v>894.9</v>
      </c>
      <c r="F19" s="52">
        <f t="shared" si="4"/>
        <v>1146.7</v>
      </c>
      <c r="G19" s="52">
        <f>G15-G14+G17-G16</f>
        <v>1221.4000000000001</v>
      </c>
      <c r="H19" s="52">
        <f>H15-H14+H17-H16</f>
        <v>1461.3000000000002</v>
      </c>
      <c r="I19" s="53">
        <f>I15-I14+I17-I16</f>
        <v>1439</v>
      </c>
      <c r="J19" s="52">
        <f t="shared" ref="J19:N19" si="5">J15-J14+J17-J16</f>
        <v>1554.12</v>
      </c>
      <c r="K19" s="52">
        <f t="shared" si="5"/>
        <v>1678.4495999999999</v>
      </c>
      <c r="L19" s="52">
        <f t="shared" si="5"/>
        <v>1812.7255680000001</v>
      </c>
      <c r="M19" s="52">
        <f t="shared" si="5"/>
        <v>1957.74361344</v>
      </c>
      <c r="N19" s="53">
        <f t="shared" si="5"/>
        <v>2114.3631025151999</v>
      </c>
    </row>
    <row r="20" spans="2:14" x14ac:dyDescent="0.25">
      <c r="B20" s="193"/>
      <c r="C20" s="54"/>
      <c r="D20" s="54"/>
      <c r="E20" s="54"/>
      <c r="F20" s="54"/>
      <c r="G20" s="54"/>
      <c r="H20" s="103"/>
      <c r="I20" s="54"/>
      <c r="J20" s="117"/>
      <c r="K20" s="55"/>
      <c r="L20" s="55"/>
      <c r="M20" s="55"/>
      <c r="N20" s="56"/>
    </row>
    <row r="21" spans="2:14" x14ac:dyDescent="0.25">
      <c r="B21" s="192" t="s">
        <v>40</v>
      </c>
      <c r="C21" s="41">
        <f t="shared" ref="C21:G21" si="6">C13/C17</f>
        <v>-7.5797637934073694E-2</v>
      </c>
      <c r="D21" s="41">
        <f t="shared" si="6"/>
        <v>3.4502478078536014E-2</v>
      </c>
      <c r="E21" s="41">
        <f t="shared" si="6"/>
        <v>6.4323607427055715E-2</v>
      </c>
      <c r="F21" s="41">
        <f t="shared" si="6"/>
        <v>3.7336024217961665E-2</v>
      </c>
      <c r="G21" s="41">
        <f t="shared" si="6"/>
        <v>7.2767508461338198E-2</v>
      </c>
      <c r="H21" s="41">
        <f t="shared" ref="H21:N21" si="7">H13/H17</f>
        <v>4.8081069426476927E-2</v>
      </c>
      <c r="I21" s="41">
        <f t="shared" ref="I21" si="8">I13/I17</f>
        <v>8.8402625820568945E-2</v>
      </c>
      <c r="J21" s="118">
        <f t="shared" si="7"/>
        <v>8.3238512035010953E-2</v>
      </c>
      <c r="K21" s="41">
        <f t="shared" si="7"/>
        <v>8.3238512035010953E-2</v>
      </c>
      <c r="L21" s="41">
        <f t="shared" si="7"/>
        <v>8.3238512035010939E-2</v>
      </c>
      <c r="M21" s="41">
        <f t="shared" si="7"/>
        <v>8.3238512035010939E-2</v>
      </c>
      <c r="N21" s="42">
        <f t="shared" si="7"/>
        <v>8.3238512035010939E-2</v>
      </c>
    </row>
    <row r="22" spans="2:14" x14ac:dyDescent="0.25">
      <c r="B22" s="192" t="s">
        <v>46</v>
      </c>
      <c r="C22" s="18">
        <f t="shared" ref="C22:G22" si="9">C10/C19</f>
        <v>2.913752913752914E-2</v>
      </c>
      <c r="D22" s="18">
        <f t="shared" si="9"/>
        <v>5.3194789081885858E-2</v>
      </c>
      <c r="E22" s="18">
        <f t="shared" si="9"/>
        <v>5.8442284054084262E-2</v>
      </c>
      <c r="F22" s="18">
        <f t="shared" si="9"/>
        <v>4.0463940001744136E-2</v>
      </c>
      <c r="G22" s="18">
        <f t="shared" si="9"/>
        <v>6.8527918781725886E-2</v>
      </c>
      <c r="H22" s="18">
        <f t="shared" ref="H22:N22" si="10">H10/H19</f>
        <v>4.9750222404708132E-2</v>
      </c>
      <c r="I22" s="18">
        <f t="shared" ref="I22" si="11">I10/I19</f>
        <v>7.2550382209867967E-2</v>
      </c>
      <c r="J22" s="119">
        <f t="shared" si="10"/>
        <v>6.9270326615705369E-2</v>
      </c>
      <c r="K22" s="18">
        <f t="shared" si="10"/>
        <v>6.9270326615705355E-2</v>
      </c>
      <c r="L22" s="18">
        <f t="shared" si="10"/>
        <v>6.9270326615705355E-2</v>
      </c>
      <c r="M22" s="18">
        <f t="shared" si="10"/>
        <v>6.9270326615705355E-2</v>
      </c>
      <c r="N22" s="20">
        <f t="shared" si="10"/>
        <v>6.9270326615705369E-2</v>
      </c>
    </row>
    <row r="23" spans="2:14" ht="15.75" thickBot="1" x14ac:dyDescent="0.3">
      <c r="B23" s="196" t="s">
        <v>45</v>
      </c>
      <c r="C23" s="19">
        <f t="shared" ref="C23:G23" si="12">C10/C18</f>
        <v>2.913752913752914E-2</v>
      </c>
      <c r="D23" s="19">
        <f t="shared" si="12"/>
        <v>5.3194789081885858E-2</v>
      </c>
      <c r="E23" s="19">
        <f t="shared" si="12"/>
        <v>5.8442284054084262E-2</v>
      </c>
      <c r="F23" s="19">
        <f t="shared" si="12"/>
        <v>4.0463940001744143E-2</v>
      </c>
      <c r="G23" s="19">
        <f t="shared" si="12"/>
        <v>6.8527918781725886E-2</v>
      </c>
      <c r="H23" s="19">
        <f t="shared" ref="H23:N23" si="13">H10/H18</f>
        <v>4.9750222404708139E-2</v>
      </c>
      <c r="I23" s="19">
        <f t="shared" ref="I23" si="14">I10/I18</f>
        <v>7.2550382209867967E-2</v>
      </c>
      <c r="J23" s="120">
        <f t="shared" si="13"/>
        <v>6.9270326615705369E-2</v>
      </c>
      <c r="K23" s="19">
        <f t="shared" si="13"/>
        <v>6.9270326615705355E-2</v>
      </c>
      <c r="L23" s="19">
        <f t="shared" si="13"/>
        <v>6.9270326615705355E-2</v>
      </c>
      <c r="M23" s="19">
        <f t="shared" si="13"/>
        <v>6.9270326615705355E-2</v>
      </c>
      <c r="N23" s="21">
        <f t="shared" si="13"/>
        <v>6.9270326615705341E-2</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workbookViewId="0">
      <selection activeCell="B31" sqref="B31"/>
    </sheetView>
  </sheetViews>
  <sheetFormatPr baseColWidth="10" defaultColWidth="9.140625" defaultRowHeight="15" x14ac:dyDescent="0.25"/>
  <cols>
    <col min="1" max="1" width="4" customWidth="1"/>
    <col min="2" max="2" width="35.5703125" customWidth="1"/>
    <col min="8" max="8" width="11.7109375" bestFit="1" customWidth="1"/>
    <col min="9" max="9" width="11.7109375" customWidth="1"/>
    <col min="10" max="10" width="10.5703125" customWidth="1"/>
    <col min="11" max="11" width="10" customWidth="1"/>
    <col min="12" max="12" width="10.28515625" customWidth="1"/>
    <col min="13" max="14" width="10.42578125" customWidth="1"/>
    <col min="15" max="15" width="7" customWidth="1"/>
    <col min="16" max="16" width="13.7109375" customWidth="1"/>
  </cols>
  <sheetData>
    <row r="1" spans="2:22" ht="15.75" thickBot="1" x14ac:dyDescent="0.3"/>
    <row r="2" spans="2:22" ht="15" customHeight="1" x14ac:dyDescent="0.25">
      <c r="B2" s="272"/>
      <c r="C2" s="275"/>
      <c r="D2" s="275"/>
      <c r="E2" s="275"/>
      <c r="F2" s="275"/>
      <c r="G2" s="275"/>
      <c r="H2" s="275"/>
      <c r="I2" s="275"/>
      <c r="J2" s="275"/>
      <c r="K2" s="275"/>
      <c r="L2" s="275"/>
      <c r="M2" s="275"/>
      <c r="N2" s="276"/>
      <c r="O2" s="1"/>
      <c r="P2" s="1"/>
      <c r="Q2" s="1"/>
      <c r="R2" s="1"/>
      <c r="S2" s="1"/>
      <c r="T2" s="1"/>
      <c r="U2" s="1"/>
      <c r="V2" s="1"/>
    </row>
    <row r="3" spans="2:22" ht="15" customHeight="1" x14ac:dyDescent="0.25">
      <c r="B3" s="273"/>
      <c r="C3" s="277"/>
      <c r="D3" s="277"/>
      <c r="E3" s="277"/>
      <c r="F3" s="277"/>
      <c r="G3" s="277"/>
      <c r="H3" s="277"/>
      <c r="I3" s="277"/>
      <c r="J3" s="277"/>
      <c r="K3" s="277"/>
      <c r="L3" s="277"/>
      <c r="M3" s="277"/>
      <c r="N3" s="278"/>
      <c r="O3" s="1"/>
      <c r="P3" s="1"/>
      <c r="Q3" s="1"/>
      <c r="R3" s="1"/>
      <c r="S3" s="1"/>
      <c r="T3" s="1"/>
      <c r="U3" s="1"/>
      <c r="V3" s="1"/>
    </row>
    <row r="4" spans="2:22" ht="15" customHeight="1" x14ac:dyDescent="0.25">
      <c r="B4" s="273"/>
      <c r="C4" s="277"/>
      <c r="D4" s="277"/>
      <c r="E4" s="277"/>
      <c r="F4" s="277"/>
      <c r="G4" s="277"/>
      <c r="H4" s="277"/>
      <c r="I4" s="277"/>
      <c r="J4" s="277"/>
      <c r="K4" s="277"/>
      <c r="L4" s="277"/>
      <c r="M4" s="277"/>
      <c r="N4" s="278"/>
      <c r="O4" s="1"/>
      <c r="P4" s="1"/>
      <c r="Q4" s="1"/>
      <c r="R4" s="1"/>
      <c r="S4" s="1"/>
      <c r="T4" s="1"/>
      <c r="U4" s="1"/>
      <c r="V4" s="1"/>
    </row>
    <row r="5" spans="2:22" ht="15" customHeight="1" x14ac:dyDescent="0.25">
      <c r="B5" s="273"/>
      <c r="C5" s="277"/>
      <c r="D5" s="277"/>
      <c r="E5" s="277"/>
      <c r="F5" s="277"/>
      <c r="G5" s="277"/>
      <c r="H5" s="277"/>
      <c r="I5" s="277"/>
      <c r="J5" s="277"/>
      <c r="K5" s="277"/>
      <c r="L5" s="277"/>
      <c r="M5" s="277"/>
      <c r="N5" s="278"/>
      <c r="O5" s="1"/>
      <c r="P5" s="1"/>
      <c r="Q5" s="1"/>
      <c r="R5" s="1"/>
      <c r="S5" s="1"/>
      <c r="T5" s="1"/>
      <c r="U5" s="1"/>
      <c r="V5" s="1"/>
    </row>
    <row r="6" spans="2:22" ht="15" customHeight="1" x14ac:dyDescent="0.25">
      <c r="B6" s="273"/>
      <c r="C6" s="277"/>
      <c r="D6" s="277"/>
      <c r="E6" s="277"/>
      <c r="F6" s="277"/>
      <c r="G6" s="277"/>
      <c r="H6" s="277"/>
      <c r="I6" s="277"/>
      <c r="J6" s="277"/>
      <c r="K6" s="277"/>
      <c r="L6" s="277"/>
      <c r="M6" s="277"/>
      <c r="N6" s="278"/>
      <c r="O6" s="1"/>
      <c r="P6" s="1"/>
      <c r="Q6" s="1"/>
      <c r="R6" s="1"/>
      <c r="S6" s="1"/>
      <c r="T6" s="1"/>
      <c r="U6" s="1"/>
      <c r="V6" s="1"/>
    </row>
    <row r="7" spans="2:22" ht="48.75" customHeight="1" thickBot="1" x14ac:dyDescent="0.3">
      <c r="B7" s="273"/>
      <c r="C7" s="277"/>
      <c r="D7" s="277"/>
      <c r="E7" s="277"/>
      <c r="F7" s="277"/>
      <c r="G7" s="277"/>
      <c r="H7" s="277"/>
      <c r="I7" s="277"/>
      <c r="J7" s="279"/>
      <c r="K7" s="279"/>
      <c r="L7" s="279"/>
      <c r="M7" s="279"/>
      <c r="N7" s="280"/>
      <c r="O7" s="1"/>
      <c r="P7" s="1"/>
      <c r="Q7" s="1"/>
      <c r="R7" s="1"/>
      <c r="S7" s="1"/>
      <c r="T7" s="1"/>
      <c r="U7" s="1"/>
      <c r="V7" s="1"/>
    </row>
    <row r="8" spans="2:22" ht="18.75" customHeight="1" thickBot="1" x14ac:dyDescent="0.3">
      <c r="B8" s="273"/>
      <c r="C8" s="30">
        <v>2014</v>
      </c>
      <c r="D8" s="30">
        <v>2015</v>
      </c>
      <c r="E8" s="30">
        <v>2016</v>
      </c>
      <c r="F8" s="30">
        <v>2017</v>
      </c>
      <c r="G8" s="30">
        <v>2018</v>
      </c>
      <c r="H8" s="30">
        <v>2019</v>
      </c>
      <c r="I8" s="30">
        <v>2020</v>
      </c>
      <c r="J8" s="167">
        <v>2020</v>
      </c>
      <c r="K8" s="97">
        <v>2021</v>
      </c>
      <c r="L8" s="97">
        <v>2022</v>
      </c>
      <c r="M8" s="97">
        <v>2023</v>
      </c>
      <c r="N8" s="98">
        <v>2024</v>
      </c>
      <c r="O8" s="1"/>
      <c r="P8" s="1"/>
      <c r="Q8" s="1"/>
      <c r="R8" s="1"/>
      <c r="S8" s="1"/>
      <c r="T8" s="1"/>
      <c r="U8" s="1"/>
      <c r="V8" s="1"/>
    </row>
    <row r="9" spans="2:22" ht="16.5" thickBot="1" x14ac:dyDescent="0.3">
      <c r="B9" s="104"/>
      <c r="C9" s="173"/>
      <c r="D9" s="173"/>
      <c r="E9" s="173"/>
      <c r="F9" s="173"/>
      <c r="G9" s="173"/>
      <c r="H9" s="173"/>
      <c r="I9" s="173"/>
      <c r="J9" s="172"/>
      <c r="K9" s="173"/>
      <c r="L9" s="173"/>
      <c r="M9" s="173"/>
      <c r="N9" s="174"/>
      <c r="O9" s="283" t="s">
        <v>13</v>
      </c>
      <c r="P9" s="284"/>
      <c r="Q9" s="12">
        <v>23</v>
      </c>
      <c r="R9" s="1"/>
      <c r="S9" s="1"/>
      <c r="T9" s="1"/>
      <c r="U9" s="1"/>
      <c r="V9" s="1"/>
    </row>
    <row r="10" spans="2:22" ht="15.75" x14ac:dyDescent="0.25">
      <c r="B10" s="58" t="s">
        <v>22</v>
      </c>
      <c r="C10" s="100"/>
      <c r="D10" s="100"/>
      <c r="E10" s="100"/>
      <c r="F10" s="100"/>
      <c r="G10" s="100"/>
      <c r="H10" s="100">
        <f>$Q$9*'1.Income statement'!H27</f>
        <v>2141.2999999999997</v>
      </c>
      <c r="I10" s="100">
        <f>$Q$9*'1.Income statement'!I27</f>
        <v>2185</v>
      </c>
      <c r="J10" s="105">
        <f>$Q$9*'1.Income statement'!J27</f>
        <v>2231</v>
      </c>
      <c r="K10" s="100">
        <f>$Q$9*'1.Income statement'!K27</f>
        <v>2277</v>
      </c>
      <c r="L10" s="100">
        <f>$Q$9*'1.Income statement'!L27</f>
        <v>2323</v>
      </c>
      <c r="M10" s="100">
        <f>$Q$9*'1.Income statement'!M27</f>
        <v>2369</v>
      </c>
      <c r="N10" s="107">
        <f>$Q$9*'1.Income statement'!N27</f>
        <v>2415</v>
      </c>
      <c r="O10" s="11"/>
      <c r="P10" s="11"/>
      <c r="Q10" s="11"/>
      <c r="R10" s="1"/>
      <c r="S10" s="1"/>
      <c r="T10" s="1"/>
      <c r="U10" s="1"/>
      <c r="V10" s="1"/>
    </row>
    <row r="11" spans="2:22" ht="15.75" x14ac:dyDescent="0.25">
      <c r="B11" s="58" t="s">
        <v>51</v>
      </c>
      <c r="C11" s="100">
        <f>'3.retornos capital'!C15-'3.retornos capital'!C14</f>
        <v>332.7</v>
      </c>
      <c r="D11" s="100">
        <f>'3.retornos capital'!D15-'3.retornos capital'!D14</f>
        <v>382.5</v>
      </c>
      <c r="E11" s="100">
        <f>'3.retornos capital'!E15-'3.retornos capital'!E14</f>
        <v>442.5</v>
      </c>
      <c r="F11" s="100">
        <f>'3.retornos capital'!F15-'3.retornos capital'!F14</f>
        <v>552.1</v>
      </c>
      <c r="G11" s="100">
        <f>'3.retornos capital'!G15-'3.retornos capital'!G14</f>
        <v>453.2</v>
      </c>
      <c r="H11" s="100">
        <f>'3.retornos capital'!H15-'3.retornos capital'!H14</f>
        <v>533.70000000000005</v>
      </c>
      <c r="I11" s="100">
        <f>'3.retornos capital'!I15-'3.retornos capital'!I14</f>
        <v>525</v>
      </c>
      <c r="J11" s="170">
        <v>550</v>
      </c>
      <c r="K11" s="171">
        <v>600</v>
      </c>
      <c r="L11" s="171">
        <v>650</v>
      </c>
      <c r="M11" s="171">
        <v>700</v>
      </c>
      <c r="N11" s="168">
        <v>750</v>
      </c>
      <c r="O11" s="285"/>
      <c r="P11" s="285"/>
      <c r="Q11" s="11"/>
      <c r="R11" s="1"/>
      <c r="S11" s="1"/>
      <c r="T11" s="1"/>
      <c r="U11" s="1"/>
      <c r="V11" s="1"/>
    </row>
    <row r="12" spans="2:22" ht="15.75" x14ac:dyDescent="0.25">
      <c r="B12" s="101" t="s">
        <v>79</v>
      </c>
      <c r="C12" s="121">
        <f>C11/'1.Income statement'!C12</f>
        <v>9.2416666666666671</v>
      </c>
      <c r="D12" s="121">
        <f>D11/'1.Income statement'!D12</f>
        <v>6.5496575342465757</v>
      </c>
      <c r="E12" s="121">
        <f>E11/'1.Income statement'!E12</f>
        <v>5.2491103202846965</v>
      </c>
      <c r="F12" s="121">
        <f>F11/'1.Income statement'!F12</f>
        <v>6.4573099415204682</v>
      </c>
      <c r="G12" s="121">
        <f>G11/'1.Income statement'!G12</f>
        <v>3.4996138996138995</v>
      </c>
      <c r="H12" s="121">
        <f>H11/'1.Income statement'!H12</f>
        <v>4.2798716920609463</v>
      </c>
      <c r="I12" s="178">
        <f>I11/'1.Income statement'!I12</f>
        <v>3.3354510800508259</v>
      </c>
      <c r="J12" s="95">
        <f>J11/'1.Income statement'!J12</f>
        <v>3.3354680328743727</v>
      </c>
      <c r="K12" s="95">
        <f>K11/'1.Income statement'!K12</f>
        <v>3.3691596291660328</v>
      </c>
      <c r="L12" s="95">
        <f>L11/'1.Income statement'!L12</f>
        <v>3.3795582699967923</v>
      </c>
      <c r="M12" s="95">
        <f>M11/'1.Income statement'!M12</f>
        <v>3.3699298988572002</v>
      </c>
      <c r="N12" s="175">
        <f>N11/'1.Income statement'!N12</f>
        <v>3.3431844234694448</v>
      </c>
      <c r="O12" s="281"/>
      <c r="P12" s="281"/>
      <c r="Q12" s="11"/>
      <c r="R12" s="1"/>
      <c r="S12" s="1"/>
      <c r="T12" s="1"/>
      <c r="U12" s="1"/>
      <c r="V12" s="1"/>
    </row>
    <row r="13" spans="2:22" ht="15.75" x14ac:dyDescent="0.25">
      <c r="B13" s="101" t="s">
        <v>78</v>
      </c>
      <c r="C13" s="121">
        <f>C11/'3.retornos capital'!C17</f>
        <v>2.9323109465891064</v>
      </c>
      <c r="D13" s="121">
        <f>D11/'3.retornos capital'!D17</f>
        <v>1.4582539077392298</v>
      </c>
      <c r="E13" s="121">
        <f>E11/'3.retornos capital'!E17</f>
        <v>0.97811671087533159</v>
      </c>
      <c r="F13" s="121">
        <f>F11/'3.retornos capital'!F17</f>
        <v>0.9285233770602086</v>
      </c>
      <c r="G13" s="121">
        <f>G11/'3.retornos capital'!G17</f>
        <v>0.58995053371517825</v>
      </c>
      <c r="H13" s="121">
        <f>H11/'3.retornos capital'!H17</f>
        <v>0.57535575679172057</v>
      </c>
      <c r="I13" s="178">
        <f>I11/'3.retornos capital'!I17</f>
        <v>0.57439824945295404</v>
      </c>
      <c r="J13" s="121">
        <f>J11/'3.retornos capital'!J17</f>
        <v>0.55717643244995541</v>
      </c>
      <c r="K13" s="121">
        <f>K11/'3.retornos capital'!K17</f>
        <v>0.56280447722217719</v>
      </c>
      <c r="L13" s="121">
        <f>L11/'3.retornos capital'!L17</f>
        <v>0.56454152807780111</v>
      </c>
      <c r="M13" s="121">
        <f>M11/'3.retornos capital'!M17</f>
        <v>0.56293314765592706</v>
      </c>
      <c r="N13" s="178">
        <f>N11/'3.retornos capital'!N17</f>
        <v>0.55846542426183243</v>
      </c>
      <c r="O13" s="176"/>
      <c r="P13" s="176"/>
      <c r="Q13" s="11"/>
      <c r="R13" s="1"/>
      <c r="S13" s="1"/>
      <c r="T13" s="1"/>
      <c r="U13" s="1"/>
      <c r="V13" s="1"/>
    </row>
    <row r="14" spans="2:22" ht="15.75" x14ac:dyDescent="0.25">
      <c r="B14" s="102" t="s">
        <v>21</v>
      </c>
      <c r="C14" s="39"/>
      <c r="D14" s="39"/>
      <c r="E14" s="39"/>
      <c r="F14" s="39"/>
      <c r="G14" s="39"/>
      <c r="H14" s="39">
        <f>H10+H11+H9</f>
        <v>2675</v>
      </c>
      <c r="I14" s="40">
        <f>I10+I11+I9</f>
        <v>2710</v>
      </c>
      <c r="J14" s="181">
        <f>J10+J11+J9</f>
        <v>2781</v>
      </c>
      <c r="K14" s="181">
        <f t="shared" ref="K14:N14" si="0">K10+K11+K9</f>
        <v>2877</v>
      </c>
      <c r="L14" s="181">
        <f t="shared" si="0"/>
        <v>2973</v>
      </c>
      <c r="M14" s="181">
        <f t="shared" si="0"/>
        <v>3069</v>
      </c>
      <c r="N14" s="107">
        <f t="shared" si="0"/>
        <v>3165</v>
      </c>
      <c r="O14" s="281"/>
      <c r="P14" s="281"/>
      <c r="Q14" s="11"/>
      <c r="R14" s="1"/>
      <c r="S14" s="1"/>
      <c r="T14" s="1"/>
      <c r="U14" s="1"/>
      <c r="V14" s="1"/>
    </row>
    <row r="15" spans="2:22" ht="15.75" x14ac:dyDescent="0.25">
      <c r="B15" s="58" t="s">
        <v>5</v>
      </c>
      <c r="C15" s="100">
        <f>'1.Income statement'!C12</f>
        <v>36</v>
      </c>
      <c r="D15" s="100">
        <f>'1.Income statement'!D12</f>
        <v>58.4</v>
      </c>
      <c r="E15" s="100">
        <f>'1.Income statement'!E12</f>
        <v>84.300000000000011</v>
      </c>
      <c r="F15" s="100">
        <f>'1.Income statement'!F12</f>
        <v>85.5</v>
      </c>
      <c r="G15" s="100">
        <f>'1.Income statement'!G12</f>
        <v>129.5</v>
      </c>
      <c r="H15" s="197">
        <f>'1.Income statement'!H12</f>
        <v>124.7</v>
      </c>
      <c r="I15" s="180">
        <f>'1.Income statement'!I12</f>
        <v>157.4</v>
      </c>
      <c r="J15" s="100">
        <f>'1.Income statement'!J12</f>
        <v>164.89440000000002</v>
      </c>
      <c r="K15" s="100">
        <f>'1.Income statement'!K12</f>
        <v>178.08595200000002</v>
      </c>
      <c r="L15" s="100">
        <f>'1.Income statement'!L12</f>
        <v>192.33282816000002</v>
      </c>
      <c r="M15" s="100">
        <f>'1.Income statement'!M12</f>
        <v>207.71945441280002</v>
      </c>
      <c r="N15" s="180">
        <f>'1.Income statement'!N12</f>
        <v>224.337010765824</v>
      </c>
      <c r="O15" s="281"/>
      <c r="P15" s="281"/>
      <c r="Q15" s="11"/>
      <c r="R15" s="1"/>
      <c r="S15" s="1"/>
      <c r="T15" s="1"/>
      <c r="U15" s="1"/>
      <c r="V15" s="1"/>
    </row>
    <row r="16" spans="2:22" ht="15.75" x14ac:dyDescent="0.25">
      <c r="B16" s="58" t="s">
        <v>10</v>
      </c>
      <c r="C16" s="100">
        <f>'1.Income statement'!C15</f>
        <v>13</v>
      </c>
      <c r="D16" s="100">
        <f>'1.Income statement'!D15</f>
        <v>34.299999999999997</v>
      </c>
      <c r="E16" s="100">
        <f>'1.Income statement'!E15</f>
        <v>52.300000000000004</v>
      </c>
      <c r="F16" s="100">
        <f>'1.Income statement'!F15</f>
        <v>46.400000000000006</v>
      </c>
      <c r="G16" s="100">
        <f>'1.Income statement'!G15</f>
        <v>83.7</v>
      </c>
      <c r="H16" s="100">
        <f>'1.Income statement'!H15</f>
        <v>72.7</v>
      </c>
      <c r="I16" s="107">
        <f>'1.Income statement'!I15</f>
        <v>104.4</v>
      </c>
      <c r="J16" s="100">
        <f>'1.Income statement'!J15</f>
        <v>107.65440000000001</v>
      </c>
      <c r="K16" s="100">
        <f>'1.Income statement'!K15</f>
        <v>116.26675200000001</v>
      </c>
      <c r="L16" s="100">
        <f>'1.Income statement'!L15</f>
        <v>125.56809216000001</v>
      </c>
      <c r="M16" s="100">
        <f>'1.Income statement'!M15</f>
        <v>135.61353953280002</v>
      </c>
      <c r="N16" s="107">
        <f>'1.Income statement'!N15</f>
        <v>146.46262269542402</v>
      </c>
      <c r="O16" s="281"/>
      <c r="P16" s="281"/>
      <c r="Q16" s="11"/>
      <c r="R16" s="1"/>
      <c r="S16" s="1"/>
      <c r="T16" s="1"/>
      <c r="U16" s="1"/>
      <c r="V16" s="1"/>
    </row>
    <row r="17" spans="2:22" ht="15.75" x14ac:dyDescent="0.25">
      <c r="B17" s="58" t="s">
        <v>11</v>
      </c>
      <c r="C17" s="100">
        <f>'1.Income statement'!C24</f>
        <v>-8.6000000000000014</v>
      </c>
      <c r="D17" s="100">
        <f>'1.Income statement'!D24</f>
        <v>9.0499999999999972</v>
      </c>
      <c r="E17" s="100">
        <f>'1.Income statement'!E24</f>
        <v>29.100000000000005</v>
      </c>
      <c r="F17" s="100">
        <f>'1.Income statement'!F24</f>
        <v>22.200000000000006</v>
      </c>
      <c r="G17" s="100">
        <f>'1.Income statement'!G24</f>
        <v>55.900000000000006</v>
      </c>
      <c r="H17" s="100">
        <f>'1.Income statement'!H24</f>
        <v>44.6</v>
      </c>
      <c r="I17" s="107">
        <f>'1.Income statement'!I24</f>
        <v>80.800000000000011</v>
      </c>
      <c r="J17" s="100">
        <f>'1.Income statement'!J24</f>
        <v>82.16640000000001</v>
      </c>
      <c r="K17" s="100">
        <f>'1.Income statement'!K24</f>
        <v>88.739712000000011</v>
      </c>
      <c r="L17" s="100">
        <f>'1.Income statement'!L24</f>
        <v>95.838888960000006</v>
      </c>
      <c r="M17" s="100">
        <f>'1.Income statement'!M24</f>
        <v>103.50600007680001</v>
      </c>
      <c r="N17" s="107">
        <f>'1.Income statement'!N24</f>
        <v>111.78648008294401</v>
      </c>
      <c r="O17" s="281"/>
      <c r="P17" s="281"/>
      <c r="Q17" s="11"/>
      <c r="R17" s="1"/>
      <c r="S17" s="1"/>
      <c r="T17" s="1"/>
      <c r="U17" s="1"/>
      <c r="V17" s="1"/>
    </row>
    <row r="18" spans="2:22" ht="15.75" x14ac:dyDescent="0.25">
      <c r="B18" s="58" t="s">
        <v>12</v>
      </c>
      <c r="C18" s="100">
        <f>'2.Flujos de caja'!C15</f>
        <v>14.199999999999996</v>
      </c>
      <c r="D18" s="100">
        <f>'2.Flujos de caja'!D15</f>
        <v>32.75</v>
      </c>
      <c r="E18" s="100">
        <f>'2.Flujos de caja'!E15</f>
        <v>60.300000000000011</v>
      </c>
      <c r="F18" s="100">
        <f>'2.Flujos de caja'!F15</f>
        <v>60.2</v>
      </c>
      <c r="G18" s="100">
        <f>'2.Flujos de caja'!G15</f>
        <v>92.7</v>
      </c>
      <c r="H18" s="100">
        <f>'2.Flujos de caja'!H15</f>
        <v>90.300000000000011</v>
      </c>
      <c r="I18" s="107">
        <f>'2.Flujos de caja'!I15</f>
        <v>125.5</v>
      </c>
      <c r="J18" s="100">
        <f>'2.Flujos de caja'!J15</f>
        <v>130.44240000000002</v>
      </c>
      <c r="K18" s="100">
        <f>'2.Flujos de caja'!K15</f>
        <v>140.87779200000003</v>
      </c>
      <c r="L18" s="100">
        <f>'2.Flujos de caja'!L15</f>
        <v>152.14801536000002</v>
      </c>
      <c r="M18" s="100">
        <f>'2.Flujos de caja'!M15</f>
        <v>164.31985658880001</v>
      </c>
      <c r="N18" s="107">
        <f>'2.Flujos de caja'!N15</f>
        <v>177.465445115904</v>
      </c>
      <c r="O18" s="281"/>
      <c r="P18" s="281"/>
      <c r="Q18" s="11"/>
      <c r="R18" s="1"/>
      <c r="S18" s="1"/>
      <c r="T18" s="1"/>
      <c r="U18" s="1"/>
      <c r="V18" s="1"/>
    </row>
    <row r="19" spans="2:22" ht="16.5" thickBot="1" x14ac:dyDescent="0.3">
      <c r="B19" s="58" t="s">
        <v>71</v>
      </c>
      <c r="C19" s="100">
        <f>'3.retornos capital'!C17/'1.Income statement'!C27</f>
        <v>4.9330434782608696</v>
      </c>
      <c r="D19" s="100">
        <f>'3.retornos capital'!D17/'1.Income statement'!D27</f>
        <v>7.0321715817694379</v>
      </c>
      <c r="E19" s="100">
        <f>'3.retornos capital'!E17/'1.Income statement'!E27</f>
        <v>8.0785714285714274</v>
      </c>
      <c r="F19" s="100">
        <f>'3.retornos capital'!F17/'1.Income statement'!F27</f>
        <v>8.1900826446281005</v>
      </c>
      <c r="G19" s="100">
        <f>'3.retornos capital'!G17/'1.Income statement'!G27</f>
        <v>9.6872635561160152</v>
      </c>
      <c r="H19" s="100">
        <f>'3.retornos capital'!H17/'1.Income statement'!H27</f>
        <v>9.9634801288936643</v>
      </c>
      <c r="I19" s="107">
        <f>'3.retornos capital'!I17/'1.Income statement'!I27</f>
        <v>9.621052631578948</v>
      </c>
      <c r="J19" s="100">
        <f>'3.retornos capital'!J17/'1.Income statement'!J27</f>
        <v>10.176494845360825</v>
      </c>
      <c r="K19" s="100">
        <f>'3.retornos capital'!K17/'1.Income statement'!K27</f>
        <v>10.768581818181818</v>
      </c>
      <c r="L19" s="100">
        <f>'3.retornos capital'!L17/'1.Income statement'!L27</f>
        <v>11.399769980198021</v>
      </c>
      <c r="M19" s="100">
        <f>'3.retornos capital'!M17/'1.Income statement'!M27</f>
        <v>12.072688441165049</v>
      </c>
      <c r="N19" s="169">
        <f>'3.retornos capital'!N17/'1.Income statement'!N27</f>
        <v>12.790151068525715</v>
      </c>
      <c r="O19" s="17"/>
      <c r="P19" s="17"/>
      <c r="Q19" s="11"/>
      <c r="R19" s="1"/>
      <c r="S19" s="1"/>
      <c r="T19" s="1"/>
      <c r="U19" s="1"/>
      <c r="V19" s="1"/>
    </row>
    <row r="20" spans="2:22" ht="15.75" thickBot="1" x14ac:dyDescent="0.3">
      <c r="B20" s="114"/>
      <c r="C20" s="115" t="s">
        <v>41</v>
      </c>
      <c r="D20" s="113" t="s">
        <v>42</v>
      </c>
      <c r="E20" s="103"/>
      <c r="F20" s="103"/>
      <c r="G20" s="103"/>
      <c r="H20" s="103"/>
      <c r="I20" s="108"/>
      <c r="J20" s="103"/>
      <c r="K20" s="103"/>
      <c r="L20" s="103"/>
      <c r="M20" s="103"/>
      <c r="N20" s="106"/>
      <c r="O20" s="282"/>
      <c r="P20" s="282"/>
      <c r="Q20" s="11"/>
      <c r="R20" s="1"/>
      <c r="S20" s="1"/>
      <c r="T20" s="1"/>
      <c r="U20" s="1"/>
      <c r="V20" s="1"/>
    </row>
    <row r="21" spans="2:22" ht="19.5" thickBot="1" x14ac:dyDescent="0.3">
      <c r="B21" s="23"/>
      <c r="C21" s="249"/>
      <c r="D21" s="249"/>
      <c r="E21" s="5"/>
      <c r="F21" s="5"/>
      <c r="G21" s="5"/>
      <c r="H21" s="130"/>
      <c r="I21" s="179"/>
      <c r="J21" s="15"/>
      <c r="K21" s="15"/>
      <c r="L21" s="15"/>
      <c r="M21" s="15"/>
      <c r="N21" s="109"/>
      <c r="O21" s="116"/>
      <c r="P21" s="116"/>
      <c r="Q21" s="11"/>
      <c r="R21" s="1"/>
      <c r="S21" s="1"/>
      <c r="T21" s="1"/>
      <c r="U21" s="1"/>
      <c r="V21" s="1"/>
    </row>
    <row r="22" spans="2:22" ht="19.5" thickBot="1" x14ac:dyDescent="0.3">
      <c r="B22" s="23" t="s">
        <v>19</v>
      </c>
      <c r="C22" s="99">
        <f>(L22/$Q$9)^(1/3)-1</f>
        <v>0.12948357797938659</v>
      </c>
      <c r="D22" s="99">
        <f>(N22/$Q$9)^(1/5)-1</f>
        <v>0.10083915854062098</v>
      </c>
      <c r="E22" s="6" t="s">
        <v>49</v>
      </c>
      <c r="F22" s="54"/>
      <c r="G22" s="54"/>
      <c r="H22" s="130"/>
      <c r="I22" s="179">
        <f>IF(--I11&lt;0,(I18*$Q$22-I11),IF(--I11&gt;0,I18*$Q$22))/'1.Income statement'!I27</f>
        <v>29.063157894736843</v>
      </c>
      <c r="J22" s="130">
        <f>IF(--J11&lt;0,(J18*$Q$22-J11),IF(--J11&gt;0,J18*$Q$22))/'1.Income statement'!J27</f>
        <v>29.584874226804132</v>
      </c>
      <c r="K22" s="130">
        <f>IF(--K11&lt;0,(K18*$Q$22-K11),IF(--K11&gt;0,K18*$Q$22))/'1.Income statement'!K27</f>
        <v>31.306176000000004</v>
      </c>
      <c r="L22" s="130">
        <f>IF(--L11&lt;0,(L18*$Q$22-L11),IF(--L11&gt;0,L18*$Q$22))/'1.Income statement'!L27</f>
        <v>33.141151860594064</v>
      </c>
      <c r="M22" s="130">
        <f>IF(--M11&lt;0,(M18*$Q$22-M11),IF(--M11&gt;0,M18*$Q$22))/'1.Income statement'!M27</f>
        <v>35.097445096636889</v>
      </c>
      <c r="N22" s="179">
        <f>IF(--N11&lt;0,(N18*$Q$22-N11),IF(--N11&gt;0,N18*$Q$22))/'1.Income statement'!N27</f>
        <v>37.183236119522746</v>
      </c>
      <c r="O22" s="274" t="s">
        <v>23</v>
      </c>
      <c r="P22" s="274"/>
      <c r="Q22" s="8">
        <v>22</v>
      </c>
      <c r="R22" s="1"/>
      <c r="S22" s="1"/>
      <c r="T22" s="1"/>
      <c r="U22" s="1"/>
      <c r="V22" s="1"/>
    </row>
    <row r="23" spans="2:22" ht="19.5" thickBot="1" x14ac:dyDescent="0.3">
      <c r="B23" s="23" t="s">
        <v>20</v>
      </c>
      <c r="C23" s="99">
        <f>(L23/$Q$9)^(1/3)-1</f>
        <v>8.9513225189850276E-2</v>
      </c>
      <c r="D23" s="99">
        <f>(N23/$Q$9)^(1/5)-1</f>
        <v>7.7798180064243549E-2</v>
      </c>
      <c r="E23" s="6" t="s">
        <v>18</v>
      </c>
      <c r="F23" s="54"/>
      <c r="G23" s="54"/>
      <c r="H23" s="130"/>
      <c r="I23" s="179">
        <f>((I15*$Q$23)-I11)/'1.Income statement'!I27</f>
        <v>25.953684210526315</v>
      </c>
      <c r="J23" s="130">
        <f>((J15*$Q$23)-J11)/'1.Income statement'!J27</f>
        <v>26.628800000000002</v>
      </c>
      <c r="K23" s="130">
        <f>((K15*$Q$23)-K11)/'1.Income statement'!K27</f>
        <v>28.117505939393943</v>
      </c>
      <c r="L23" s="130">
        <f>((L15*$Q$23)-L11)/'1.Income statement'!L27</f>
        <v>29.745779554851488</v>
      </c>
      <c r="M23" s="130">
        <f>((M15*$Q$23)-M11)/'1.Income statement'!M27</f>
        <v>31.521064406244662</v>
      </c>
      <c r="N23" s="179">
        <f>((N15*$Q$23)-N11)/'1.Income statement'!N27</f>
        <v>33.451459090958636</v>
      </c>
      <c r="O23" s="274" t="s">
        <v>24</v>
      </c>
      <c r="P23" s="274"/>
      <c r="Q23" s="8">
        <v>19</v>
      </c>
      <c r="R23" s="1"/>
      <c r="S23" s="1"/>
      <c r="T23" s="1"/>
      <c r="U23" s="1"/>
      <c r="V23" s="1"/>
    </row>
    <row r="24" spans="2:22" ht="19.5" thickBot="1" x14ac:dyDescent="0.3">
      <c r="B24" s="24" t="s">
        <v>75</v>
      </c>
      <c r="C24" s="99">
        <f>(L24/$Q$9)^(1/3)-1</f>
        <v>-2.9136993638341213E-3</v>
      </c>
      <c r="D24" s="99">
        <f>(N24/$Q$9)^(1/5)-1</f>
        <v>2.1493404242857839E-2</v>
      </c>
      <c r="E24" s="111" t="s">
        <v>72</v>
      </c>
      <c r="F24" s="110"/>
      <c r="G24" s="110"/>
      <c r="H24" s="166"/>
      <c r="I24" s="199">
        <f>I19*$Q$24</f>
        <v>19.242105263157896</v>
      </c>
      <c r="J24" s="198">
        <f>J19*$Q$24</f>
        <v>20.35298969072165</v>
      </c>
      <c r="K24" s="166">
        <f t="shared" ref="K24:N24" si="1">K19*$Q$24</f>
        <v>21.537163636363637</v>
      </c>
      <c r="L24" s="166">
        <f t="shared" si="1"/>
        <v>22.799539960396043</v>
      </c>
      <c r="M24" s="166">
        <f t="shared" si="1"/>
        <v>24.145376882330098</v>
      </c>
      <c r="N24" s="112">
        <f t="shared" si="1"/>
        <v>25.580302137051429</v>
      </c>
      <c r="O24" s="274" t="s">
        <v>73</v>
      </c>
      <c r="P24" s="274"/>
      <c r="Q24" s="8">
        <v>2</v>
      </c>
      <c r="R24" s="1"/>
      <c r="S24" s="1"/>
      <c r="T24" s="1"/>
      <c r="U24" s="1"/>
      <c r="V24" s="1"/>
    </row>
    <row r="25" spans="2:22" ht="15.75" x14ac:dyDescent="0.25">
      <c r="B25" s="4"/>
      <c r="C25" s="3"/>
      <c r="D25" s="3"/>
      <c r="E25" s="3"/>
      <c r="F25" s="3"/>
      <c r="G25" s="3"/>
      <c r="H25" s="3"/>
      <c r="I25" s="3"/>
      <c r="J25" s="3"/>
      <c r="K25" s="3"/>
      <c r="L25" s="3"/>
      <c r="M25" s="3"/>
      <c r="N25" s="3"/>
      <c r="O25" s="1"/>
      <c r="P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7"/>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8" workbookViewId="0">
      <selection activeCell="B19" sqref="B19"/>
    </sheetView>
  </sheetViews>
  <sheetFormatPr baseColWidth="10" defaultRowHeight="15" x14ac:dyDescent="0.25"/>
  <cols>
    <col min="2" max="2" width="105.140625" customWidth="1"/>
    <col min="9" max="9" width="11.42578125" customWidth="1"/>
  </cols>
  <sheetData>
    <row r="3" spans="2:9" ht="51" customHeight="1" x14ac:dyDescent="0.25">
      <c r="B3" s="150" t="s">
        <v>62</v>
      </c>
      <c r="C3" s="147"/>
      <c r="D3" s="147"/>
      <c r="E3" s="147"/>
      <c r="F3" s="147"/>
      <c r="G3" s="147"/>
    </row>
    <row r="4" spans="2:9" ht="46.5" customHeight="1" x14ac:dyDescent="0.25">
      <c r="B4" s="149" t="s">
        <v>50</v>
      </c>
      <c r="C4" s="144"/>
      <c r="D4" s="144"/>
      <c r="E4" s="134"/>
      <c r="F4" s="144"/>
      <c r="G4" s="144"/>
      <c r="H4" s="144"/>
      <c r="I4" s="148"/>
    </row>
    <row r="5" spans="2:9" ht="21" customHeight="1" x14ac:dyDescent="0.25">
      <c r="B5" s="145"/>
      <c r="C5" s="144"/>
      <c r="D5" s="144"/>
      <c r="E5" s="144"/>
      <c r="F5" s="144"/>
      <c r="G5" s="144"/>
      <c r="H5" s="144"/>
      <c r="I5" s="148"/>
    </row>
    <row r="6" spans="2:9" ht="21" customHeight="1" x14ac:dyDescent="0.25">
      <c r="B6" s="286" t="s">
        <v>63</v>
      </c>
      <c r="C6" s="286"/>
      <c r="D6" s="286"/>
      <c r="E6" s="286"/>
      <c r="F6" s="286"/>
      <c r="G6" s="286"/>
      <c r="H6" s="286"/>
      <c r="I6" s="286"/>
    </row>
    <row r="7" spans="2:9" ht="21" customHeight="1" thickBot="1" x14ac:dyDescent="0.35">
      <c r="B7" s="136"/>
      <c r="C7" s="136"/>
      <c r="D7" s="136"/>
      <c r="E7" s="136"/>
      <c r="F7" s="136"/>
      <c r="G7" s="136"/>
      <c r="H7" s="136"/>
      <c r="I7" s="136"/>
    </row>
    <row r="8" spans="2:9" ht="57" customHeight="1" thickBot="1" x14ac:dyDescent="0.35">
      <c r="B8" s="153" t="s">
        <v>64</v>
      </c>
      <c r="C8" s="136"/>
      <c r="D8" s="136"/>
      <c r="E8" s="136"/>
      <c r="F8" s="136"/>
      <c r="G8" s="136"/>
      <c r="H8" s="136"/>
      <c r="I8" s="136"/>
    </row>
    <row r="9" spans="2:9" s="134" customFormat="1" ht="21" customHeight="1" x14ac:dyDescent="0.25">
      <c r="B9" s="141" t="s">
        <v>52</v>
      </c>
      <c r="C9" s="138"/>
      <c r="D9" s="138"/>
      <c r="E9" s="138"/>
      <c r="F9" s="138"/>
      <c r="G9" s="138"/>
      <c r="H9" s="138"/>
      <c r="I9" s="138"/>
    </row>
    <row r="10" spans="2:9" s="134" customFormat="1" ht="21" customHeight="1" x14ac:dyDescent="0.25">
      <c r="B10" s="139" t="s">
        <v>57</v>
      </c>
      <c r="C10" s="138"/>
      <c r="D10" s="138"/>
      <c r="E10" s="138"/>
      <c r="F10" s="138"/>
      <c r="G10" s="138"/>
      <c r="H10" s="138"/>
      <c r="I10" s="138"/>
    </row>
    <row r="11" spans="2:9" s="134" customFormat="1" ht="21" customHeight="1" x14ac:dyDescent="0.25">
      <c r="B11" s="139" t="s">
        <v>53</v>
      </c>
      <c r="C11" s="138"/>
      <c r="D11" s="138"/>
      <c r="E11" s="138"/>
      <c r="F11" s="138"/>
      <c r="G11" s="138"/>
      <c r="H11" s="138"/>
      <c r="I11" s="138"/>
    </row>
    <row r="12" spans="2:9" s="134" customFormat="1" ht="21" customHeight="1" x14ac:dyDescent="0.25">
      <c r="B12" s="139" t="s">
        <v>54</v>
      </c>
      <c r="C12" s="138"/>
      <c r="D12" s="138"/>
      <c r="E12" s="138"/>
      <c r="F12" s="138"/>
      <c r="G12" s="138"/>
      <c r="H12" s="138"/>
      <c r="I12" s="138"/>
    </row>
    <row r="13" spans="2:9" s="134" customFormat="1" ht="21" customHeight="1" x14ac:dyDescent="0.25">
      <c r="B13" s="139" t="s">
        <v>56</v>
      </c>
      <c r="C13" s="138"/>
      <c r="D13" s="138"/>
      <c r="E13" s="138"/>
      <c r="F13" s="138"/>
      <c r="G13" s="138"/>
      <c r="H13" s="138"/>
      <c r="I13" s="138"/>
    </row>
    <row r="14" spans="2:9" s="134" customFormat="1" ht="21" customHeight="1" x14ac:dyDescent="0.25">
      <c r="B14" s="139" t="s">
        <v>70</v>
      </c>
      <c r="C14" s="138"/>
      <c r="D14" s="138"/>
      <c r="E14" s="138"/>
      <c r="F14" s="138"/>
      <c r="G14" s="138"/>
      <c r="H14" s="138"/>
      <c r="I14" s="138"/>
    </row>
    <row r="15" spans="2:9" s="134" customFormat="1" ht="18" customHeight="1" x14ac:dyDescent="0.25">
      <c r="B15" s="287" t="s">
        <v>55</v>
      </c>
      <c r="C15" s="138"/>
      <c r="D15" s="138"/>
      <c r="E15" s="138"/>
      <c r="F15" s="138"/>
      <c r="G15" s="138"/>
      <c r="H15" s="138"/>
      <c r="I15" s="138"/>
    </row>
    <row r="16" spans="2:9" s="134" customFormat="1" ht="39" customHeight="1" thickBot="1" x14ac:dyDescent="0.3">
      <c r="B16" s="288"/>
      <c r="C16" s="138"/>
      <c r="D16" s="138"/>
      <c r="E16" s="138"/>
      <c r="F16" s="138"/>
      <c r="G16" s="138"/>
      <c r="H16" s="138"/>
      <c r="I16" s="138"/>
    </row>
    <row r="17" spans="2:9" s="134" customFormat="1" ht="57" customHeight="1" thickBot="1" x14ac:dyDescent="0.3">
      <c r="B17" s="154" t="s">
        <v>65</v>
      </c>
      <c r="C17" s="135"/>
      <c r="D17" s="135"/>
      <c r="E17" s="135"/>
      <c r="F17" s="135"/>
      <c r="G17" s="135"/>
      <c r="H17" s="135"/>
      <c r="I17" s="135"/>
    </row>
    <row r="18" spans="2:9" s="134" customFormat="1" ht="23.25" customHeight="1" thickBot="1" x14ac:dyDescent="0.3">
      <c r="B18" s="151" t="s">
        <v>68</v>
      </c>
      <c r="C18" s="137"/>
      <c r="D18" s="137"/>
      <c r="E18" s="137"/>
      <c r="F18" s="137"/>
      <c r="G18" s="137"/>
      <c r="H18" s="137"/>
      <c r="I18" s="137"/>
    </row>
    <row r="19" spans="2:9" ht="57" customHeight="1" thickBot="1" x14ac:dyDescent="0.3">
      <c r="B19" s="154" t="s">
        <v>66</v>
      </c>
      <c r="C19" s="137"/>
      <c r="D19" s="137"/>
      <c r="E19" s="137"/>
      <c r="F19" s="137"/>
      <c r="G19" s="137"/>
      <c r="H19" s="137"/>
      <c r="I19" s="137"/>
    </row>
    <row r="20" spans="2:9" ht="21" customHeight="1" x14ac:dyDescent="0.25">
      <c r="B20" s="289" t="s">
        <v>58</v>
      </c>
      <c r="C20" s="134"/>
      <c r="D20" s="134"/>
      <c r="E20" s="134"/>
      <c r="F20" s="134"/>
      <c r="G20" s="134"/>
      <c r="H20" s="134"/>
      <c r="I20" s="134"/>
    </row>
    <row r="21" spans="2:9" ht="21" customHeight="1" x14ac:dyDescent="0.25">
      <c r="B21" s="287"/>
      <c r="C21" s="137"/>
      <c r="D21" s="137"/>
      <c r="E21" s="137"/>
      <c r="F21" s="137"/>
      <c r="G21" s="137"/>
      <c r="H21" s="137"/>
      <c r="I21" s="137"/>
    </row>
    <row r="22" spans="2:9" ht="33" customHeight="1" thickBot="1" x14ac:dyDescent="0.3">
      <c r="B22" s="288"/>
      <c r="C22" s="137"/>
      <c r="D22" s="137"/>
      <c r="E22" s="137"/>
      <c r="F22" s="137"/>
      <c r="G22" s="137"/>
      <c r="H22" s="137"/>
      <c r="I22" s="137"/>
    </row>
    <row r="23" spans="2:9" ht="57" customHeight="1" thickBot="1" x14ac:dyDescent="0.3">
      <c r="B23" s="154" t="s">
        <v>67</v>
      </c>
      <c r="C23" s="137"/>
      <c r="D23" s="137"/>
      <c r="E23" s="137"/>
      <c r="F23" s="137"/>
      <c r="G23" s="137"/>
      <c r="H23" s="137"/>
      <c r="I23" s="137"/>
    </row>
    <row r="24" spans="2:9" ht="35.25" customHeight="1" x14ac:dyDescent="0.25">
      <c r="B24" s="141" t="s">
        <v>69</v>
      </c>
      <c r="C24" s="137"/>
      <c r="D24" s="137"/>
      <c r="E24" s="137"/>
      <c r="F24" s="137"/>
      <c r="G24" s="137"/>
      <c r="H24" s="137"/>
      <c r="I24" s="137"/>
    </row>
    <row r="25" spans="2:9" ht="72" customHeight="1" thickBot="1" x14ac:dyDescent="0.3">
      <c r="B25" s="140" t="s">
        <v>59</v>
      </c>
      <c r="C25" s="137"/>
      <c r="D25" s="137"/>
      <c r="E25" s="137"/>
      <c r="F25" s="137"/>
      <c r="G25" s="137"/>
      <c r="H25" s="137"/>
      <c r="I25" s="137"/>
    </row>
    <row r="26" spans="2:9" ht="26.25" customHeight="1" x14ac:dyDescent="0.25">
      <c r="B26" s="143"/>
      <c r="C26" s="137"/>
      <c r="D26" s="137"/>
      <c r="E26" s="137"/>
      <c r="F26" s="137"/>
      <c r="G26" s="137"/>
      <c r="H26" s="137"/>
      <c r="I26" s="137"/>
    </row>
    <row r="27" spans="2:9" ht="21" x14ac:dyDescent="0.35">
      <c r="B27" s="152" t="s">
        <v>61</v>
      </c>
      <c r="C27" s="142"/>
      <c r="D27" s="142"/>
      <c r="E27" s="142"/>
    </row>
    <row r="28" spans="2:9" ht="61.5" customHeight="1" x14ac:dyDescent="0.25">
      <c r="B28" s="146" t="s">
        <v>60</v>
      </c>
      <c r="C28" s="144"/>
      <c r="D28" s="144"/>
      <c r="E28" s="144"/>
      <c r="F28" s="144"/>
      <c r="G28" s="144"/>
      <c r="H28" s="144"/>
      <c r="I28" s="144"/>
    </row>
    <row r="29" spans="2:9" ht="28.5" customHeight="1" x14ac:dyDescent="0.25">
      <c r="B29" s="290"/>
      <c r="C29" s="290"/>
      <c r="D29" s="290"/>
      <c r="E29" s="290"/>
      <c r="F29" s="290"/>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2021-04-13T17:15:56Z</dcterms:modified>
</cp:coreProperties>
</file>