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F5E4A30D-E3B7-5341-BE83-9973ECB6E693}" xr6:coauthVersionLast="46" xr6:coauthVersionMax="46" xr10:uidLastSave="{00000000-0000-0000-0000-000000000000}"/>
  <bookViews>
    <workbookView xWindow="0" yWindow="500" windowWidth="29040" windowHeight="1584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2" l="1"/>
  <c r="H19" i="1" l="1"/>
  <c r="H21" i="1" s="1"/>
  <c r="G19" i="1"/>
  <c r="G21" i="1" s="1"/>
  <c r="F19" i="1"/>
  <c r="F21" i="1" s="1"/>
  <c r="E19" i="1"/>
  <c r="E21" i="1" s="1"/>
  <c r="D19" i="1"/>
  <c r="D21" i="1" s="1"/>
  <c r="C19" i="1"/>
  <c r="C22" i="1" s="1"/>
  <c r="C24" i="1" s="1"/>
  <c r="H16" i="1"/>
  <c r="G16" i="1"/>
  <c r="F16" i="1"/>
  <c r="E16" i="1"/>
  <c r="D16" i="1"/>
  <c r="C16" i="1"/>
  <c r="C13" i="1"/>
  <c r="H12" i="1"/>
  <c r="H13" i="1" s="1"/>
  <c r="G12" i="1"/>
  <c r="G13" i="1" s="1"/>
  <c r="F12" i="1"/>
  <c r="F13" i="1" s="1"/>
  <c r="E12" i="1"/>
  <c r="E13" i="1" s="1"/>
  <c r="D12" i="1"/>
  <c r="D13" i="1" s="1"/>
  <c r="C12" i="1"/>
  <c r="H11" i="1"/>
  <c r="G11" i="1"/>
  <c r="F11" i="1"/>
  <c r="E11" i="1"/>
  <c r="D11" i="1"/>
  <c r="C11" i="1"/>
  <c r="C21" i="1" l="1"/>
  <c r="D22" i="1"/>
  <c r="D24" i="1" s="1"/>
  <c r="D25" i="1" s="1"/>
  <c r="E22" i="1"/>
  <c r="E24" i="1" s="1"/>
  <c r="E25" i="1" s="1"/>
  <c r="C25" i="1"/>
  <c r="C26" i="1"/>
  <c r="F22" i="1"/>
  <c r="F24" i="1" s="1"/>
  <c r="G22" i="1"/>
  <c r="G24" i="1" s="1"/>
  <c r="E26" i="1"/>
  <c r="H22" i="1"/>
  <c r="H24" i="1" s="1"/>
  <c r="D26" i="1" l="1"/>
  <c r="H26" i="1"/>
  <c r="H25" i="1"/>
  <c r="G26" i="1"/>
  <c r="G25" i="1"/>
  <c r="F25" i="1"/>
  <c r="F26" i="1"/>
  <c r="I18" i="3"/>
  <c r="D18" i="3"/>
  <c r="E18" i="3"/>
  <c r="F18" i="3"/>
  <c r="G18" i="3"/>
  <c r="H18" i="3"/>
  <c r="C18" i="3"/>
  <c r="I12" i="1" l="1"/>
  <c r="J10" i="1" l="1"/>
  <c r="J11" i="1"/>
  <c r="E14" i="2" l="1"/>
  <c r="F14" i="2"/>
  <c r="G14" i="2"/>
  <c r="H14" i="2"/>
  <c r="I14" i="2"/>
  <c r="D14" i="2"/>
  <c r="C14" i="2"/>
  <c r="J11" i="2" l="1"/>
  <c r="H11" i="5" l="1"/>
  <c r="I10" i="5"/>
  <c r="I11" i="5"/>
  <c r="I13" i="5" s="1"/>
  <c r="I16" i="5"/>
  <c r="I19" i="3"/>
  <c r="I10" i="3"/>
  <c r="I11" i="3"/>
  <c r="I12" i="3"/>
  <c r="J14" i="1"/>
  <c r="K14" i="1" s="1"/>
  <c r="L14" i="1" s="1"/>
  <c r="M14" i="1" s="1"/>
  <c r="N14"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J15" i="1"/>
  <c r="K11" i="1"/>
  <c r="L11" i="1"/>
  <c r="M11" i="1"/>
  <c r="N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9CD004A6-D3A0-429D-A576-534D558B5DF1}">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DC7CC4-66EB-46C5-AFC8-D24D55CF612D}">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<sst xmlns="http://schemas.openxmlformats.org/spreadsheetml/2006/main" count="89" uniqueCount="83">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</sst>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6" xfId="0"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39"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0" fontId="8" fillId="4" borderId="6" xfId="0" applyFont="1" applyFill="1" applyBorder="1" applyAlignment="1">
      <alignment vertical="center"/>
    </xf>
    <xf numFmtId="9" fontId="23" fillId="4" borderId="8" xfId="1" applyFont="1" applyFill="1" applyBorder="1" applyAlignment="1">
      <alignment horizontal="center" vertical="center"/>
    </xf>
    <xf numFmtId="165"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5" fontId="15" fillId="4" borderId="30"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4" fillId="4" borderId="15" xfId="0" applyNumberFormat="1" applyFont="1" applyFill="1" applyBorder="1" applyAlignment="1" applyProtection="1">
      <alignment vertical="center"/>
    </xf>
    <xf numFmtId="166"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6" fontId="8" fillId="4" borderId="3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74.045112781954884</c:v>
                </c:pt>
                <c:pt idx="1">
                  <c:v>83.00248120300752</c:v>
                </c:pt>
                <c:pt idx="2">
                  <c:v>91.851853383458632</c:v>
                </c:pt>
                <c:pt idx="3">
                  <c:v>100.9557242481203</c:v>
                </c:pt>
                <c:pt idx="4">
                  <c:v>110.32681873120301</c:v>
                </c:pt>
                <c:pt idx="5">
                  <c:v>119.9784980136278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330201</xdr:colOff>
      <xdr:row>1</xdr:row>
      <xdr:rowOff>162030</xdr:rowOff>
    </xdr:from>
    <xdr:to>
      <xdr:col>8</xdr:col>
      <xdr:colOff>672720</xdr:colOff>
      <xdr:row>6</xdr:row>
      <xdr:rowOff>13419</xdr:rowOff>
    </xdr:to>
    <xdr:pic>
      <xdr:nvPicPr>
        <xdr:cNvPr id="2" name="Imagen 1" descr="Resultado de imagen de ss&amp;c logo png">
          <a:extLst>
            <a:ext uri="{FF2B5EF4-FFF2-40B4-BE49-F238E27FC236}">
              <a16:creationId xmlns:a16="http://schemas.microsoft.com/office/drawing/2014/main" id="{E0D53EF6-2446-411D-B3AD-EED261D91F2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477001" y="365230"/>
          <a:ext cx="1849586" cy="1011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289560</xdr:colOff>
      <xdr:row>1</xdr:row>
      <xdr:rowOff>175260</xdr:rowOff>
    </xdr:from>
    <xdr:to>
      <xdr:col>9</xdr:col>
      <xdr:colOff>263779</xdr:colOff>
      <xdr:row>6</xdr:row>
      <xdr:rowOff>396112</xdr:rowOff>
    </xdr:to>
    <xdr:pic>
      <xdr:nvPicPr>
        <xdr:cNvPr id="2" name="Imagen 1" descr="Resultado de imagen de ss&amp;c logo png">
          <a:extLst>
            <a:ext uri="{FF2B5EF4-FFF2-40B4-BE49-F238E27FC236}">
              <a16:creationId xmlns:a16="http://schemas.microsoft.com/office/drawing/2014/main" id="{8596C0EC-8A22-4B1F-BC10-5247DC3D08B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545580" y="3810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289560</xdr:colOff>
      <xdr:row>1</xdr:row>
      <xdr:rowOff>76200</xdr:rowOff>
    </xdr:from>
    <xdr:to>
      <xdr:col>9</xdr:col>
      <xdr:colOff>560959</xdr:colOff>
      <xdr:row>6</xdr:row>
      <xdr:rowOff>297052</xdr:rowOff>
    </xdr:to>
    <xdr:pic>
      <xdr:nvPicPr>
        <xdr:cNvPr id="2" name="Imagen 1" descr="Resultado de imagen de ss&amp;c logo png">
          <a:extLst>
            <a:ext uri="{FF2B5EF4-FFF2-40B4-BE49-F238E27FC236}">
              <a16:creationId xmlns:a16="http://schemas.microsoft.com/office/drawing/2014/main" id="{211976C8-5234-4964-9087-0066AD787E6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56960" y="2667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144780</xdr:colOff>
      <xdr:row>1</xdr:row>
      <xdr:rowOff>121920</xdr:rowOff>
    </xdr:from>
    <xdr:to>
      <xdr:col>9</xdr:col>
      <xdr:colOff>667639</xdr:colOff>
      <xdr:row>6</xdr:row>
      <xdr:rowOff>342772</xdr:rowOff>
    </xdr:to>
    <xdr:pic>
      <xdr:nvPicPr>
        <xdr:cNvPr id="4" name="Imagen 3" descr="Resultado de imagen de ss&amp;c logo png">
          <a:extLst>
            <a:ext uri="{FF2B5EF4-FFF2-40B4-BE49-F238E27FC236}">
              <a16:creationId xmlns:a16="http://schemas.microsoft.com/office/drawing/2014/main" id="{5B16168F-C6D0-4FD8-9187-025F3AEB949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49340" y="31242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zoomScale="90" zoomScaleNormal="90" workbookViewId="0">
      <selection activeCell="Q14" sqref="Q14"/>
    </sheetView>
  </sheetViews>
  <sheetFormatPr baseColWidth="10" defaultColWidth="11.5" defaultRowHeight="16" outlineLevelRow="1" x14ac:dyDescent="0.2"/>
  <cols>
    <col min="1" max="1" width="3.33203125" style="40" customWidth="1"/>
    <col min="2" max="2" width="42.33203125" style="31" customWidth="1"/>
    <col min="3" max="14" width="11" style="71" customWidth="1"/>
    <col min="15" max="15" width="14.5" style="40" customWidth="1"/>
    <col min="16" max="16384" width="11.5" style="40"/>
  </cols>
  <sheetData>
    <row r="1" spans="2:19" ht="17" thickBot="1" x14ac:dyDescent="0.25"/>
    <row r="2" spans="2:19" ht="30" customHeight="1" x14ac:dyDescent="0.2">
      <c r="B2" s="271"/>
      <c r="C2" s="274"/>
      <c r="D2" s="275"/>
      <c r="E2" s="275"/>
      <c r="F2" s="275"/>
      <c r="G2" s="275"/>
      <c r="H2" s="275"/>
      <c r="I2" s="275"/>
      <c r="J2" s="275"/>
      <c r="K2" s="275"/>
      <c r="L2" s="275"/>
      <c r="M2" s="275"/>
      <c r="N2" s="276"/>
      <c r="O2" s="24"/>
      <c r="P2" s="24"/>
      <c r="Q2" s="14"/>
      <c r="R2" s="14"/>
    </row>
    <row r="3" spans="2:19" ht="16" customHeight="1" x14ac:dyDescent="0.2">
      <c r="B3" s="272"/>
      <c r="C3" s="277"/>
      <c r="D3" s="278"/>
      <c r="E3" s="278"/>
      <c r="F3" s="278"/>
      <c r="G3" s="278"/>
      <c r="H3" s="278"/>
      <c r="I3" s="278"/>
      <c r="J3" s="278"/>
      <c r="K3" s="278"/>
      <c r="L3" s="278"/>
      <c r="M3" s="278"/>
      <c r="N3" s="279"/>
      <c r="O3" s="24"/>
      <c r="P3" s="24"/>
      <c r="Q3" s="14"/>
      <c r="R3" s="14"/>
    </row>
    <row r="4" spans="2:19" ht="16" customHeight="1" x14ac:dyDescent="0.2">
      <c r="B4" s="272"/>
      <c r="C4" s="277"/>
      <c r="D4" s="278"/>
      <c r="E4" s="278"/>
      <c r="F4" s="278"/>
      <c r="G4" s="278"/>
      <c r="H4" s="278"/>
      <c r="I4" s="278"/>
      <c r="J4" s="278"/>
      <c r="K4" s="278"/>
      <c r="L4" s="278"/>
      <c r="M4" s="278"/>
      <c r="N4" s="279"/>
      <c r="O4" s="24"/>
      <c r="P4" s="24"/>
      <c r="Q4" s="14"/>
      <c r="R4" s="14"/>
    </row>
    <row r="5" spans="2:19" ht="16" customHeight="1" x14ac:dyDescent="0.2">
      <c r="B5" s="272"/>
      <c r="C5" s="277"/>
      <c r="D5" s="278"/>
      <c r="E5" s="278"/>
      <c r="F5" s="278"/>
      <c r="G5" s="278"/>
      <c r="H5" s="278"/>
      <c r="I5" s="278"/>
      <c r="J5" s="278"/>
      <c r="K5" s="278"/>
      <c r="L5" s="278"/>
      <c r="M5" s="278"/>
      <c r="N5" s="279"/>
      <c r="O5" s="24"/>
      <c r="P5" s="24"/>
      <c r="Q5" s="14"/>
      <c r="R5" s="14"/>
    </row>
    <row r="6" spans="2:19" ht="16" customHeight="1" x14ac:dyDescent="0.2">
      <c r="B6" s="272"/>
      <c r="C6" s="277"/>
      <c r="D6" s="278"/>
      <c r="E6" s="278"/>
      <c r="F6" s="278"/>
      <c r="G6" s="278"/>
      <c r="H6" s="278"/>
      <c r="I6" s="278"/>
      <c r="J6" s="278"/>
      <c r="K6" s="278"/>
      <c r="L6" s="278"/>
      <c r="M6" s="278"/>
      <c r="N6" s="279"/>
      <c r="O6" s="24"/>
      <c r="P6" s="24"/>
      <c r="Q6" s="14"/>
    </row>
    <row r="7" spans="2:19" ht="16" customHeight="1" thickBot="1" x14ac:dyDescent="0.25">
      <c r="B7" s="272"/>
      <c r="C7" s="280"/>
      <c r="D7" s="281"/>
      <c r="E7" s="281"/>
      <c r="F7" s="281"/>
      <c r="G7" s="281"/>
      <c r="H7" s="281"/>
      <c r="I7" s="281"/>
      <c r="J7" s="281"/>
      <c r="K7" s="281"/>
      <c r="L7" s="281"/>
      <c r="M7" s="281"/>
      <c r="N7" s="282"/>
      <c r="O7" s="24"/>
      <c r="P7" s="24"/>
      <c r="Q7" s="14"/>
    </row>
    <row r="8" spans="2:19" ht="16" customHeight="1" thickBot="1" x14ac:dyDescent="0.25">
      <c r="B8" s="273"/>
      <c r="C8" s="32">
        <v>2014</v>
      </c>
      <c r="D8" s="33">
        <v>2015</v>
      </c>
      <c r="E8" s="33">
        <v>2016</v>
      </c>
      <c r="F8" s="33">
        <v>2017</v>
      </c>
      <c r="G8" s="33">
        <v>2018</v>
      </c>
      <c r="H8" s="33">
        <v>2019</v>
      </c>
      <c r="I8" s="172">
        <v>2020</v>
      </c>
      <c r="J8" s="103">
        <v>2021</v>
      </c>
      <c r="K8" s="103">
        <v>2022</v>
      </c>
      <c r="L8" s="103">
        <v>2023</v>
      </c>
      <c r="M8" s="103">
        <v>2024</v>
      </c>
      <c r="N8" s="104">
        <v>2025</v>
      </c>
      <c r="O8" s="14"/>
      <c r="P8" s="14"/>
      <c r="Q8" s="14"/>
    </row>
    <row r="9" spans="2:19" ht="16" customHeight="1" x14ac:dyDescent="0.2">
      <c r="B9" s="67" t="s">
        <v>36</v>
      </c>
      <c r="C9" s="72"/>
      <c r="D9" s="73"/>
      <c r="E9" s="73"/>
      <c r="F9" s="73"/>
      <c r="G9" s="73"/>
      <c r="H9" s="73"/>
      <c r="I9" s="174"/>
      <c r="J9" s="73"/>
      <c r="K9" s="73"/>
      <c r="L9" s="73"/>
      <c r="M9" s="74"/>
      <c r="N9" s="75"/>
      <c r="O9" s="14"/>
      <c r="P9" s="14"/>
      <c r="Q9" s="14"/>
    </row>
    <row r="10" spans="2:19" ht="16" customHeight="1" thickBot="1" x14ac:dyDescent="0.25">
      <c r="B10" s="62" t="s">
        <v>15</v>
      </c>
      <c r="C10" s="228">
        <v>767</v>
      </c>
      <c r="D10" s="228">
        <v>1000</v>
      </c>
      <c r="E10" s="228">
        <v>1481</v>
      </c>
      <c r="F10" s="228">
        <v>1675</v>
      </c>
      <c r="G10" s="228">
        <v>3421</v>
      </c>
      <c r="H10" s="233">
        <v>4632</v>
      </c>
      <c r="I10" s="175">
        <v>4668</v>
      </c>
      <c r="J10" s="76">
        <f t="shared" ref="J10:N10" si="0">(I10*$P$11)+I10</f>
        <v>4901.3999999999996</v>
      </c>
      <c r="K10" s="76">
        <f t="shared" si="0"/>
        <v>5146.4699999999993</v>
      </c>
      <c r="L10" s="76">
        <f t="shared" si="0"/>
        <v>5403.7934999999998</v>
      </c>
      <c r="M10" s="76">
        <f t="shared" si="0"/>
        <v>5673.9831749999994</v>
      </c>
      <c r="N10" s="77">
        <f t="shared" si="0"/>
        <v>5957.6823337499991</v>
      </c>
      <c r="O10" s="14"/>
      <c r="P10" s="14"/>
      <c r="Q10" s="14"/>
    </row>
    <row r="11" spans="2:19" ht="15.75" customHeight="1" thickBot="1" x14ac:dyDescent="0.25">
      <c r="B11" s="198" t="s">
        <v>35</v>
      </c>
      <c r="C11" s="249" t="e">
        <f t="shared" ref="C11:H11" si="1">(C10-B10)/B10</f>
        <v>#VALUE!</v>
      </c>
      <c r="D11" s="249">
        <f t="shared" si="1"/>
        <v>0.30378096479791394</v>
      </c>
      <c r="E11" s="249">
        <f t="shared" si="1"/>
        <v>0.48099999999999998</v>
      </c>
      <c r="F11" s="249">
        <f t="shared" si="1"/>
        <v>0.13099257258609048</v>
      </c>
      <c r="G11" s="249">
        <f t="shared" si="1"/>
        <v>1.0423880597014925</v>
      </c>
      <c r="H11" s="249">
        <f t="shared" si="1"/>
        <v>0.35399006138555977</v>
      </c>
      <c r="I11" s="79">
        <f t="shared" ref="I11" si="2">(I10-H10)/H10</f>
        <v>7.7720207253886009E-3</v>
      </c>
      <c r="J11" s="180">
        <f t="shared" ref="J11:N11" si="3">$P$11</f>
        <v>0.05</v>
      </c>
      <c r="K11" s="79">
        <f t="shared" si="3"/>
        <v>0.05</v>
      </c>
      <c r="L11" s="79">
        <f t="shared" si="3"/>
        <v>0.05</v>
      </c>
      <c r="M11" s="79">
        <f t="shared" si="3"/>
        <v>0.05</v>
      </c>
      <c r="N11" s="80">
        <f t="shared" si="3"/>
        <v>0.05</v>
      </c>
      <c r="O11" s="41" t="s">
        <v>33</v>
      </c>
      <c r="P11" s="10">
        <v>0.05</v>
      </c>
      <c r="Q11" s="14"/>
      <c r="S11"/>
    </row>
    <row r="12" spans="2:19" ht="16" customHeight="1" x14ac:dyDescent="0.2">
      <c r="B12" s="200" t="s">
        <v>6</v>
      </c>
      <c r="C12" s="250">
        <f t="shared" ref="C12:E12" si="4">C15+C14</f>
        <v>300</v>
      </c>
      <c r="D12" s="250">
        <f t="shared" si="4"/>
        <v>314</v>
      </c>
      <c r="E12" s="250">
        <f t="shared" si="4"/>
        <v>516</v>
      </c>
      <c r="F12" s="250">
        <f>F15+F14</f>
        <v>633</v>
      </c>
      <c r="G12" s="250">
        <f>G15+G14</f>
        <v>962</v>
      </c>
      <c r="H12" s="260">
        <f>H15+H14</f>
        <v>1718</v>
      </c>
      <c r="I12" s="195">
        <f t="shared" ref="I12" si="5">I15+I14</f>
        <v>1725</v>
      </c>
      <c r="J12" s="237">
        <f t="shared" ref="J12:N12" si="6">J15+J14</f>
        <v>1805.2439999999999</v>
      </c>
      <c r="K12" s="83">
        <f t="shared" si="6"/>
        <v>1895.5061999999998</v>
      </c>
      <c r="L12" s="83">
        <f t="shared" si="6"/>
        <v>1990.28151</v>
      </c>
      <c r="M12" s="83">
        <f t="shared" si="6"/>
        <v>2089.7955855</v>
      </c>
      <c r="N12" s="84">
        <f t="shared" si="6"/>
        <v>2194.2853647749998</v>
      </c>
      <c r="O12" s="14"/>
      <c r="P12" s="18"/>
      <c r="Q12" s="14"/>
    </row>
    <row r="13" spans="2:19" ht="16" customHeight="1" x14ac:dyDescent="0.2">
      <c r="B13" s="198" t="s">
        <v>16</v>
      </c>
      <c r="C13" s="249">
        <f t="shared" ref="C13:H13" si="7">(C12/C10)</f>
        <v>0.39113428943937417</v>
      </c>
      <c r="D13" s="249">
        <f t="shared" si="7"/>
        <v>0.314</v>
      </c>
      <c r="E13" s="249">
        <f t="shared" si="7"/>
        <v>0.3484132343011479</v>
      </c>
      <c r="F13" s="249">
        <f t="shared" si="7"/>
        <v>0.37791044776119403</v>
      </c>
      <c r="G13" s="249">
        <f t="shared" si="7"/>
        <v>0.28120432622040337</v>
      </c>
      <c r="H13" s="249">
        <f t="shared" si="7"/>
        <v>0.37089810017271158</v>
      </c>
      <c r="I13" s="80">
        <f t="shared" ref="I13" si="8">(I12/I10)</f>
        <v>0.36953727506426737</v>
      </c>
      <c r="J13" s="180">
        <f>J12/J10</f>
        <v>0.36831191088260495</v>
      </c>
      <c r="K13" s="79">
        <f>K12/K10</f>
        <v>0.36831191088260495</v>
      </c>
      <c r="L13" s="79">
        <f>L12/L10</f>
        <v>0.36831191088260501</v>
      </c>
      <c r="M13" s="79">
        <f>M12/M10</f>
        <v>0.36831191088260501</v>
      </c>
      <c r="N13" s="80">
        <f>N12/N10</f>
        <v>0.36831191088260501</v>
      </c>
      <c r="O13" s="14"/>
      <c r="P13" s="14"/>
      <c r="Q13" s="14"/>
    </row>
    <row r="14" spans="2:19" ht="16" customHeight="1" thickBot="1" x14ac:dyDescent="0.25">
      <c r="B14" s="197" t="s">
        <v>0</v>
      </c>
      <c r="C14" s="228">
        <v>100</v>
      </c>
      <c r="D14" s="228">
        <v>150</v>
      </c>
      <c r="E14" s="228">
        <v>228</v>
      </c>
      <c r="F14" s="228">
        <v>237</v>
      </c>
      <c r="G14" s="228">
        <v>532</v>
      </c>
      <c r="H14" s="234">
        <v>804</v>
      </c>
      <c r="I14" s="224">
        <v>739</v>
      </c>
      <c r="J14" s="222">
        <f>(I14*$P$11)+I14</f>
        <v>775.95</v>
      </c>
      <c r="K14" s="220">
        <f t="shared" ref="K14:N14" si="9">(J14*$P$11)+J14</f>
        <v>814.74750000000006</v>
      </c>
      <c r="L14" s="222">
        <f t="shared" si="9"/>
        <v>855.4848750000001</v>
      </c>
      <c r="M14" s="202">
        <f t="shared" si="9"/>
        <v>898.25911875000008</v>
      </c>
      <c r="N14" s="222">
        <f t="shared" si="9"/>
        <v>943.17207468750007</v>
      </c>
      <c r="O14" s="203"/>
      <c r="P14" s="14"/>
      <c r="Q14" s="14"/>
    </row>
    <row r="15" spans="2:19" ht="16" customHeight="1" outlineLevel="1" thickBot="1" x14ac:dyDescent="0.25">
      <c r="B15" s="62" t="s">
        <v>7</v>
      </c>
      <c r="C15" s="145">
        <v>200</v>
      </c>
      <c r="D15" s="145">
        <v>164</v>
      </c>
      <c r="E15" s="145">
        <v>288</v>
      </c>
      <c r="F15" s="145">
        <v>396</v>
      </c>
      <c r="G15" s="145">
        <v>430</v>
      </c>
      <c r="H15" s="145">
        <v>914</v>
      </c>
      <c r="I15" s="176">
        <v>986</v>
      </c>
      <c r="J15" s="76">
        <f>J10*$P$16</f>
        <v>1029.2939999999999</v>
      </c>
      <c r="K15" s="76">
        <f>K10*$P$16</f>
        <v>1080.7586999999999</v>
      </c>
      <c r="L15" s="76">
        <f>L10*$P$16</f>
        <v>1134.7966349999999</v>
      </c>
      <c r="M15" s="76">
        <f>M10*$P$16</f>
        <v>1191.5364667499998</v>
      </c>
      <c r="N15" s="77">
        <f>N10*$P$16</f>
        <v>1251.1132900874998</v>
      </c>
      <c r="O15" s="14"/>
      <c r="P15" s="14"/>
      <c r="Q15" s="14"/>
    </row>
    <row r="16" spans="2:19" ht="16" customHeight="1" outlineLevel="1" thickBot="1" x14ac:dyDescent="0.25">
      <c r="B16" s="198" t="s">
        <v>17</v>
      </c>
      <c r="C16" s="249">
        <f t="shared" ref="C16:E16" si="10">(C15/C10)</f>
        <v>0.2607561929595828</v>
      </c>
      <c r="D16" s="249">
        <f t="shared" si="10"/>
        <v>0.16400000000000001</v>
      </c>
      <c r="E16" s="249">
        <f t="shared" si="10"/>
        <v>0.19446320054017555</v>
      </c>
      <c r="F16" s="249">
        <f>(F15/F10)</f>
        <v>0.2364179104477612</v>
      </c>
      <c r="G16" s="249">
        <f>(G15/G10)</f>
        <v>0.12569424144986846</v>
      </c>
      <c r="H16" s="249">
        <f>(H15/H10)</f>
        <v>0.19732297063903281</v>
      </c>
      <c r="I16" s="225">
        <f t="shared" ref="I16" si="11">(I15/I10)</f>
        <v>0.21122536418166238</v>
      </c>
      <c r="J16" s="226">
        <f t="shared" ref="J16:N16" si="12">(J15/J10)</f>
        <v>0.21</v>
      </c>
      <c r="K16" s="226">
        <f t="shared" si="12"/>
        <v>0.21</v>
      </c>
      <c r="L16" s="226">
        <f t="shared" si="12"/>
        <v>0.21</v>
      </c>
      <c r="M16" s="226">
        <f t="shared" si="12"/>
        <v>0.21</v>
      </c>
      <c r="N16" s="227">
        <f t="shared" si="12"/>
        <v>0.21</v>
      </c>
      <c r="O16" s="41" t="s">
        <v>32</v>
      </c>
      <c r="P16" s="17">
        <v>0.21</v>
      </c>
      <c r="Q16" s="14"/>
    </row>
    <row r="17" spans="2:17" ht="16" customHeight="1" outlineLevel="1" x14ac:dyDescent="0.2">
      <c r="B17" s="283" t="s">
        <v>55</v>
      </c>
      <c r="C17" s="229">
        <v>27</v>
      </c>
      <c r="D17" s="229">
        <v>79</v>
      </c>
      <c r="E17" s="229">
        <v>129</v>
      </c>
      <c r="F17" s="229">
        <v>108</v>
      </c>
      <c r="G17" s="229">
        <v>271</v>
      </c>
      <c r="H17" s="235">
        <v>404</v>
      </c>
      <c r="I17" s="181">
        <v>246</v>
      </c>
      <c r="J17" s="136">
        <v>200</v>
      </c>
      <c r="K17" s="136">
        <v>160</v>
      </c>
      <c r="L17" s="136">
        <v>130</v>
      </c>
      <c r="M17" s="136">
        <v>80</v>
      </c>
      <c r="N17" s="137">
        <v>30</v>
      </c>
      <c r="O17" s="14"/>
      <c r="P17" s="14"/>
      <c r="Q17" s="14"/>
    </row>
    <row r="18" spans="2:17" ht="16" customHeight="1" outlineLevel="1" thickBot="1" x14ac:dyDescent="0.25">
      <c r="B18" s="284"/>
      <c r="C18" s="251"/>
      <c r="D18" s="251"/>
      <c r="E18" s="251"/>
      <c r="F18" s="251"/>
      <c r="G18" s="252"/>
      <c r="H18" s="252"/>
      <c r="I18" s="177"/>
      <c r="J18" s="82"/>
      <c r="K18" s="82"/>
      <c r="L18" s="82"/>
      <c r="M18" s="82"/>
      <c r="N18" s="88"/>
      <c r="O18" s="14"/>
      <c r="P18" s="14"/>
      <c r="Q18" s="14"/>
    </row>
    <row r="19" spans="2:17" ht="16" customHeight="1" thickBot="1" x14ac:dyDescent="0.25">
      <c r="B19" s="196" t="s">
        <v>1</v>
      </c>
      <c r="C19" s="253">
        <f t="shared" ref="C19:E19" si="13">C15-C17</f>
        <v>173</v>
      </c>
      <c r="D19" s="253">
        <f t="shared" si="13"/>
        <v>85</v>
      </c>
      <c r="E19" s="253">
        <f t="shared" si="13"/>
        <v>159</v>
      </c>
      <c r="F19" s="253">
        <f>F15-F17</f>
        <v>288</v>
      </c>
      <c r="G19" s="253">
        <f>G15-G17</f>
        <v>159</v>
      </c>
      <c r="H19" s="253">
        <f>H15-H17</f>
        <v>510</v>
      </c>
      <c r="I19" s="173">
        <f t="shared" ref="I19" si="14">I15-I17</f>
        <v>740</v>
      </c>
      <c r="J19" s="89">
        <f t="shared" ref="J19:N19" si="15">J15-J17-J18</f>
        <v>829.29399999999987</v>
      </c>
      <c r="K19" s="89">
        <f t="shared" si="15"/>
        <v>920.75869999999986</v>
      </c>
      <c r="L19" s="89">
        <f t="shared" si="15"/>
        <v>1004.7966349999999</v>
      </c>
      <c r="M19" s="89">
        <f t="shared" si="15"/>
        <v>1111.5364667499998</v>
      </c>
      <c r="N19" s="90">
        <f t="shared" si="15"/>
        <v>1221.1132900874998</v>
      </c>
      <c r="O19" s="14"/>
      <c r="P19" s="14"/>
      <c r="Q19" s="14"/>
    </row>
    <row r="20" spans="2:17" ht="16" customHeight="1" collapsed="1" thickBot="1" x14ac:dyDescent="0.25">
      <c r="B20" s="197" t="s">
        <v>2</v>
      </c>
      <c r="C20" s="229">
        <v>46</v>
      </c>
      <c r="D20" s="229">
        <v>18</v>
      </c>
      <c r="E20" s="229">
        <v>32</v>
      </c>
      <c r="F20" s="229">
        <v>-46</v>
      </c>
      <c r="G20" s="229">
        <v>22</v>
      </c>
      <c r="H20" s="236">
        <v>93</v>
      </c>
      <c r="I20" s="182">
        <v>150</v>
      </c>
      <c r="J20" s="86">
        <f>J19*J21</f>
        <v>165.85879999999997</v>
      </c>
      <c r="K20" s="86">
        <f t="shared" ref="K20:N20" si="16">K19*K21</f>
        <v>184.15173999999999</v>
      </c>
      <c r="L20" s="86">
        <f t="shared" si="16"/>
        <v>200.959327</v>
      </c>
      <c r="M20" s="86">
        <f t="shared" si="16"/>
        <v>222.30729334999998</v>
      </c>
      <c r="N20" s="87">
        <f t="shared" si="16"/>
        <v>244.22265801749995</v>
      </c>
      <c r="O20" s="14"/>
      <c r="P20" s="14"/>
      <c r="Q20" s="14"/>
    </row>
    <row r="21" spans="2:17" ht="16" customHeight="1" thickBot="1" x14ac:dyDescent="0.25">
      <c r="B21" s="198" t="s">
        <v>10</v>
      </c>
      <c r="C21" s="254">
        <f t="shared" ref="C21:H21" si="17">(C20/C19)</f>
        <v>0.26589595375722541</v>
      </c>
      <c r="D21" s="254">
        <f t="shared" si="17"/>
        <v>0.21176470588235294</v>
      </c>
      <c r="E21" s="254">
        <f t="shared" si="17"/>
        <v>0.20125786163522014</v>
      </c>
      <c r="F21" s="254">
        <f t="shared" si="17"/>
        <v>-0.15972222222222221</v>
      </c>
      <c r="G21" s="254">
        <f t="shared" si="17"/>
        <v>0.13836477987421383</v>
      </c>
      <c r="H21" s="254">
        <f t="shared" si="17"/>
        <v>0.18235294117647058</v>
      </c>
      <c r="I21" s="179">
        <f t="shared" ref="I21" si="18">(I20/I19)</f>
        <v>0.20270270270270271</v>
      </c>
      <c r="J21" s="78">
        <f>$P$21</f>
        <v>0.2</v>
      </c>
      <c r="K21" s="78">
        <f t="shared" ref="K21:N21" si="19">$P$21</f>
        <v>0.2</v>
      </c>
      <c r="L21" s="78">
        <f t="shared" si="19"/>
        <v>0.2</v>
      </c>
      <c r="M21" s="78">
        <f t="shared" si="19"/>
        <v>0.2</v>
      </c>
      <c r="N21" s="85">
        <f t="shared" si="19"/>
        <v>0.2</v>
      </c>
      <c r="O21" s="41" t="s">
        <v>34</v>
      </c>
      <c r="P21" s="11">
        <v>0.2</v>
      </c>
      <c r="Q21" s="14"/>
    </row>
    <row r="22" spans="2:17" ht="16" customHeight="1" thickBot="1" x14ac:dyDescent="0.25">
      <c r="B22" s="199" t="s">
        <v>3</v>
      </c>
      <c r="C22" s="255">
        <f t="shared" ref="C22:H22" si="20">C19-C20</f>
        <v>127</v>
      </c>
      <c r="D22" s="255">
        <f t="shared" si="20"/>
        <v>67</v>
      </c>
      <c r="E22" s="255">
        <f t="shared" si="20"/>
        <v>127</v>
      </c>
      <c r="F22" s="255">
        <f t="shared" si="20"/>
        <v>334</v>
      </c>
      <c r="G22" s="255">
        <f t="shared" si="20"/>
        <v>137</v>
      </c>
      <c r="H22" s="261">
        <f t="shared" si="20"/>
        <v>417</v>
      </c>
      <c r="I22" s="183">
        <f t="shared" ref="I22" si="21">I19-I20</f>
        <v>590</v>
      </c>
      <c r="J22" s="91">
        <f t="shared" ref="J22:N22" si="22">J19-J20</f>
        <v>663.4351999999999</v>
      </c>
      <c r="K22" s="91">
        <f t="shared" si="22"/>
        <v>736.60695999999984</v>
      </c>
      <c r="L22" s="91">
        <f t="shared" si="22"/>
        <v>803.83730799999989</v>
      </c>
      <c r="M22" s="91">
        <f t="shared" si="22"/>
        <v>889.22917339999981</v>
      </c>
      <c r="N22" s="92">
        <f t="shared" si="22"/>
        <v>976.89063206999981</v>
      </c>
      <c r="O22" s="14"/>
      <c r="P22" s="14"/>
      <c r="Q22" s="14"/>
    </row>
    <row r="23" spans="2:17" ht="16" customHeight="1" thickBot="1" x14ac:dyDescent="0.25">
      <c r="B23" s="197" t="s">
        <v>4</v>
      </c>
      <c r="C23" s="256">
        <v>0</v>
      </c>
      <c r="D23" s="256">
        <v>0</v>
      </c>
      <c r="E23" s="256">
        <v>0</v>
      </c>
      <c r="F23" s="256">
        <v>0</v>
      </c>
      <c r="G23" s="256">
        <v>0</v>
      </c>
      <c r="H23" s="262">
        <v>0</v>
      </c>
      <c r="I23" s="152">
        <v>0</v>
      </c>
      <c r="J23" s="223">
        <f>I23*(1+$P$11)</f>
        <v>0</v>
      </c>
      <c r="K23" s="81">
        <f t="shared" ref="K23:N23" si="23">J23*(1+$P$11)</f>
        <v>0</v>
      </c>
      <c r="L23" s="81">
        <f t="shared" si="23"/>
        <v>0</v>
      </c>
      <c r="M23" s="81">
        <f t="shared" si="23"/>
        <v>0</v>
      </c>
      <c r="N23" s="193">
        <f t="shared" si="23"/>
        <v>0</v>
      </c>
      <c r="O23" s="14"/>
      <c r="P23" s="14"/>
      <c r="Q23" s="14"/>
    </row>
    <row r="24" spans="2:17" ht="16" customHeight="1" x14ac:dyDescent="0.2">
      <c r="B24" s="200" t="s">
        <v>5</v>
      </c>
      <c r="C24" s="257">
        <f t="shared" ref="C24:H24" si="24">C22-C23</f>
        <v>127</v>
      </c>
      <c r="D24" s="257">
        <f t="shared" si="24"/>
        <v>67</v>
      </c>
      <c r="E24" s="257">
        <f t="shared" si="24"/>
        <v>127</v>
      </c>
      <c r="F24" s="257">
        <f t="shared" si="24"/>
        <v>334</v>
      </c>
      <c r="G24" s="257">
        <f t="shared" si="24"/>
        <v>137</v>
      </c>
      <c r="H24" s="257">
        <f t="shared" si="24"/>
        <v>417</v>
      </c>
      <c r="I24" s="178">
        <f t="shared" ref="I24" si="25">I22-I23</f>
        <v>590</v>
      </c>
      <c r="J24" s="93">
        <f t="shared" ref="J24:N24" si="26">J22-J23</f>
        <v>663.4351999999999</v>
      </c>
      <c r="K24" s="93">
        <f t="shared" si="26"/>
        <v>736.60695999999984</v>
      </c>
      <c r="L24" s="93">
        <f t="shared" si="26"/>
        <v>803.83730799999989</v>
      </c>
      <c r="M24" s="93">
        <f t="shared" si="26"/>
        <v>889.22917339999981</v>
      </c>
      <c r="N24" s="94">
        <f t="shared" si="26"/>
        <v>976.89063206999981</v>
      </c>
      <c r="O24" s="14"/>
      <c r="P24" s="14"/>
      <c r="Q24" s="14"/>
    </row>
    <row r="25" spans="2:17" ht="16" customHeight="1" x14ac:dyDescent="0.2">
      <c r="B25" s="198" t="s">
        <v>37</v>
      </c>
      <c r="C25" s="258">
        <f t="shared" ref="C25:H25" si="27">C24/C10</f>
        <v>0.16558018252933507</v>
      </c>
      <c r="D25" s="258">
        <f t="shared" si="27"/>
        <v>6.7000000000000004E-2</v>
      </c>
      <c r="E25" s="258">
        <f t="shared" si="27"/>
        <v>8.5752869682646865E-2</v>
      </c>
      <c r="F25" s="258">
        <f t="shared" si="27"/>
        <v>0.19940298507462687</v>
      </c>
      <c r="G25" s="258">
        <f t="shared" si="27"/>
        <v>4.0046769950306926E-2</v>
      </c>
      <c r="H25" s="263">
        <f t="shared" si="27"/>
        <v>9.0025906735751296E-2</v>
      </c>
      <c r="I25" s="85">
        <f t="shared" ref="I25" si="28">I24/I10</f>
        <v>0.12639245929734361</v>
      </c>
      <c r="J25" s="78">
        <f t="shared" ref="J25:N25" si="29">J24/J10</f>
        <v>0.13535626555677968</v>
      </c>
      <c r="K25" s="78">
        <f t="shared" si="29"/>
        <v>0.14312858328135594</v>
      </c>
      <c r="L25" s="78">
        <f t="shared" si="29"/>
        <v>0.14875426087247781</v>
      </c>
      <c r="M25" s="78">
        <f t="shared" si="29"/>
        <v>0.15672044593258772</v>
      </c>
      <c r="N25" s="85">
        <f t="shared" si="29"/>
        <v>0.16397158783306703</v>
      </c>
      <c r="O25" s="14"/>
      <c r="P25" s="14"/>
      <c r="Q25" s="14"/>
    </row>
    <row r="26" spans="2:17" ht="16" customHeight="1" x14ac:dyDescent="0.2">
      <c r="B26" s="62" t="s">
        <v>18</v>
      </c>
      <c r="C26" s="259">
        <f t="shared" ref="C26:H26" si="30">C24/C27</f>
        <v>0.72988505747126442</v>
      </c>
      <c r="D26" s="259">
        <f t="shared" si="30"/>
        <v>0.35263157894736841</v>
      </c>
      <c r="E26" s="259">
        <f t="shared" si="30"/>
        <v>0.61951219512195121</v>
      </c>
      <c r="F26" s="259">
        <f t="shared" si="30"/>
        <v>1.5829383886255923</v>
      </c>
      <c r="G26" s="259">
        <f t="shared" si="30"/>
        <v>0.56378600823045266</v>
      </c>
      <c r="H26" s="264">
        <f t="shared" si="30"/>
        <v>1.5795454545454546</v>
      </c>
      <c r="I26" s="96">
        <f t="shared" ref="I26" si="31">I24/I27</f>
        <v>2.2180451127819549</v>
      </c>
      <c r="J26" s="95">
        <f>J24/J27</f>
        <v>2.4941172932330824</v>
      </c>
      <c r="K26" s="95">
        <f t="shared" ref="K26:N26" si="32">K24/K27</f>
        <v>2.7691990977443601</v>
      </c>
      <c r="L26" s="95">
        <f>L24/L27</f>
        <v>3.0219447669172927</v>
      </c>
      <c r="M26" s="95">
        <f t="shared" si="32"/>
        <v>3.3429668172932323</v>
      </c>
      <c r="N26" s="96">
        <f t="shared" si="32"/>
        <v>3.6725211731954879</v>
      </c>
      <c r="O26" s="14"/>
      <c r="P26" s="14"/>
      <c r="Q26" s="14"/>
    </row>
    <row r="27" spans="2:17" ht="16" customHeight="1" thickBot="1" x14ac:dyDescent="0.25">
      <c r="B27" s="68" t="s">
        <v>56</v>
      </c>
      <c r="C27" s="230">
        <v>174</v>
      </c>
      <c r="D27" s="230">
        <v>190</v>
      </c>
      <c r="E27" s="230">
        <v>205</v>
      </c>
      <c r="F27" s="230">
        <v>211</v>
      </c>
      <c r="G27" s="230">
        <v>243</v>
      </c>
      <c r="H27" s="230">
        <v>264</v>
      </c>
      <c r="I27" s="98">
        <v>266</v>
      </c>
      <c r="J27" s="97">
        <v>266</v>
      </c>
      <c r="K27" s="97">
        <v>266</v>
      </c>
      <c r="L27" s="97">
        <v>266</v>
      </c>
      <c r="M27" s="97">
        <v>266</v>
      </c>
      <c r="N27" s="97">
        <v>266</v>
      </c>
      <c r="O27" s="203"/>
      <c r="P27" s="14"/>
      <c r="Q27" s="14">
        <v>0</v>
      </c>
    </row>
    <row r="28" spans="2:17" ht="16" customHeight="1" x14ac:dyDescent="0.2">
      <c r="B28" s="69"/>
      <c r="C28" s="81"/>
      <c r="D28" s="81"/>
      <c r="E28" s="81"/>
      <c r="F28" s="81"/>
      <c r="G28" s="81"/>
      <c r="H28" s="81"/>
      <c r="I28" s="81"/>
      <c r="J28" s="81"/>
      <c r="K28" s="81"/>
      <c r="L28" s="82"/>
      <c r="M28" s="99"/>
      <c r="N28" s="99"/>
      <c r="O28" s="14"/>
      <c r="P28" s="14"/>
      <c r="Q28" s="14"/>
    </row>
    <row r="29" spans="2:17" ht="16" customHeight="1" x14ac:dyDescent="0.2">
      <c r="B29" s="69"/>
      <c r="C29" s="82"/>
      <c r="D29" s="82"/>
      <c r="E29" s="82"/>
      <c r="F29" s="82"/>
      <c r="G29" s="82"/>
      <c r="H29" s="82"/>
      <c r="I29" s="82"/>
      <c r="J29" s="81"/>
      <c r="K29" s="81"/>
      <c r="L29" s="82"/>
      <c r="M29" s="99"/>
      <c r="N29" s="99"/>
      <c r="O29" s="14"/>
      <c r="P29" s="14"/>
      <c r="Q29" s="14"/>
    </row>
    <row r="30" spans="2:17" ht="16" customHeight="1" x14ac:dyDescent="0.2">
      <c r="B30" s="69"/>
      <c r="C30" s="81"/>
      <c r="D30" s="81"/>
      <c r="E30" s="81"/>
      <c r="F30" s="81"/>
      <c r="G30" s="81"/>
      <c r="H30" s="81"/>
      <c r="I30" s="81"/>
      <c r="J30" s="81"/>
      <c r="K30" s="81"/>
      <c r="L30" s="81"/>
      <c r="M30" s="99"/>
      <c r="N30" s="99"/>
      <c r="O30" s="14"/>
      <c r="P30" s="14"/>
      <c r="Q30" s="14"/>
    </row>
    <row r="31" spans="2:17" ht="16" customHeight="1" x14ac:dyDescent="0.2">
      <c r="B31" s="269"/>
      <c r="C31" s="269"/>
      <c r="D31" s="269"/>
      <c r="E31" s="269"/>
      <c r="F31" s="269"/>
      <c r="G31" s="269"/>
      <c r="H31" s="269"/>
      <c r="I31" s="269"/>
      <c r="J31" s="269"/>
      <c r="K31" s="269"/>
      <c r="L31" s="269"/>
      <c r="M31" s="100"/>
      <c r="N31" s="99"/>
      <c r="O31" s="14"/>
      <c r="P31" s="14"/>
      <c r="Q31" s="14"/>
    </row>
    <row r="32" spans="2:17" ht="16" customHeight="1" x14ac:dyDescent="0.2">
      <c r="B32" s="69"/>
      <c r="C32" s="81"/>
      <c r="D32" s="81"/>
      <c r="E32" s="81"/>
      <c r="F32" s="81"/>
      <c r="G32" s="81"/>
      <c r="H32" s="81"/>
      <c r="I32" s="81"/>
      <c r="J32" s="81"/>
      <c r="K32" s="81"/>
      <c r="L32" s="81"/>
      <c r="M32" s="100"/>
      <c r="N32" s="99"/>
    </row>
    <row r="33" spans="2:14" ht="16" customHeight="1" x14ac:dyDescent="0.2">
      <c r="B33" s="69"/>
      <c r="C33" s="76"/>
      <c r="D33" s="76"/>
      <c r="E33" s="76"/>
      <c r="F33" s="76"/>
      <c r="G33" s="76"/>
      <c r="H33" s="76"/>
      <c r="I33" s="76"/>
      <c r="J33" s="81"/>
      <c r="K33" s="81"/>
      <c r="L33" s="81"/>
      <c r="M33" s="100"/>
      <c r="N33" s="99"/>
    </row>
    <row r="34" spans="2:14" ht="16" customHeight="1" x14ac:dyDescent="0.2">
      <c r="B34" s="70"/>
      <c r="C34" s="95"/>
      <c r="D34" s="95"/>
      <c r="E34" s="95"/>
      <c r="F34" s="95"/>
      <c r="G34" s="95"/>
      <c r="H34" s="95"/>
      <c r="I34" s="95"/>
      <c r="J34" s="95"/>
      <c r="K34" s="95"/>
      <c r="L34" s="95"/>
      <c r="M34" s="100"/>
      <c r="N34" s="99"/>
    </row>
    <row r="35" spans="2:14" ht="16" customHeight="1" x14ac:dyDescent="0.2">
      <c r="B35" s="69"/>
      <c r="C35" s="81"/>
      <c r="D35" s="81"/>
      <c r="E35" s="81"/>
      <c r="F35" s="81"/>
      <c r="G35" s="81"/>
      <c r="H35" s="82"/>
      <c r="I35" s="81"/>
      <c r="J35" s="81"/>
      <c r="K35" s="81"/>
      <c r="L35" s="81"/>
      <c r="M35" s="100"/>
      <c r="N35" s="99"/>
    </row>
    <row r="36" spans="2:14" ht="16" customHeight="1" x14ac:dyDescent="0.2">
      <c r="B36" s="69"/>
      <c r="C36" s="81"/>
      <c r="D36" s="82"/>
      <c r="E36" s="82"/>
      <c r="F36" s="81"/>
      <c r="G36" s="81"/>
      <c r="H36" s="81"/>
      <c r="I36" s="81"/>
      <c r="J36" s="81"/>
      <c r="K36" s="81"/>
      <c r="L36" s="81"/>
      <c r="M36" s="100"/>
      <c r="N36" s="99"/>
    </row>
    <row r="37" spans="2:14" ht="16" customHeight="1" x14ac:dyDescent="0.2">
      <c r="B37" s="70"/>
      <c r="C37" s="95"/>
      <c r="D37" s="95"/>
      <c r="E37" s="95"/>
      <c r="F37" s="95"/>
      <c r="G37" s="95"/>
      <c r="H37" s="95"/>
      <c r="I37" s="95"/>
      <c r="J37" s="95"/>
      <c r="K37" s="95"/>
      <c r="L37" s="95"/>
      <c r="M37" s="100"/>
      <c r="N37" s="99"/>
    </row>
    <row r="38" spans="2:14" ht="16" customHeight="1" x14ac:dyDescent="0.2">
      <c r="B38" s="69"/>
      <c r="C38" s="81"/>
      <c r="D38" s="81"/>
      <c r="E38" s="81"/>
      <c r="F38" s="81"/>
      <c r="G38" s="81"/>
      <c r="H38" s="81"/>
      <c r="I38" s="81"/>
      <c r="J38" s="81"/>
      <c r="K38" s="81"/>
      <c r="L38" s="81"/>
      <c r="M38" s="100"/>
      <c r="N38" s="99"/>
    </row>
    <row r="39" spans="2:14" ht="16" customHeight="1" x14ac:dyDescent="0.2">
      <c r="B39" s="69"/>
      <c r="C39" s="82"/>
      <c r="D39" s="81"/>
      <c r="E39" s="81"/>
      <c r="F39" s="81"/>
      <c r="G39" s="81"/>
      <c r="H39" s="81"/>
      <c r="I39" s="81"/>
      <c r="J39" s="81"/>
      <c r="K39" s="81"/>
      <c r="L39" s="81"/>
      <c r="M39" s="100"/>
      <c r="N39" s="99"/>
    </row>
    <row r="40" spans="2:14" ht="16" customHeight="1" x14ac:dyDescent="0.2">
      <c r="B40" s="69"/>
      <c r="C40" s="81"/>
      <c r="D40" s="81"/>
      <c r="E40" s="81"/>
      <c r="F40" s="81"/>
      <c r="G40" s="82"/>
      <c r="H40" s="81"/>
      <c r="I40" s="81"/>
      <c r="J40" s="81"/>
      <c r="K40" s="81"/>
      <c r="L40" s="81"/>
      <c r="M40" s="100"/>
      <c r="N40" s="99"/>
    </row>
    <row r="41" spans="2:14" ht="16" customHeight="1" x14ac:dyDescent="0.2">
      <c r="B41" s="69"/>
      <c r="C41" s="82"/>
      <c r="D41" s="82"/>
      <c r="E41" s="81"/>
      <c r="F41" s="81"/>
      <c r="G41" s="81"/>
      <c r="H41" s="81"/>
      <c r="I41" s="81"/>
      <c r="J41" s="81"/>
      <c r="K41" s="81"/>
      <c r="L41" s="81"/>
      <c r="M41" s="100"/>
      <c r="N41" s="99"/>
    </row>
    <row r="42" spans="2:14" ht="16" customHeight="1" x14ac:dyDescent="0.2">
      <c r="B42" s="70"/>
      <c r="C42" s="95"/>
      <c r="D42" s="95"/>
      <c r="E42" s="95"/>
      <c r="F42" s="95"/>
      <c r="G42" s="101"/>
      <c r="H42" s="95"/>
      <c r="I42" s="95"/>
      <c r="J42" s="95"/>
      <c r="K42" s="95"/>
      <c r="L42" s="95"/>
      <c r="M42" s="100"/>
      <c r="N42" s="99"/>
    </row>
    <row r="43" spans="2:14" ht="16" customHeight="1" x14ac:dyDescent="0.2">
      <c r="B43" s="270"/>
      <c r="C43" s="270"/>
      <c r="D43" s="270"/>
      <c r="E43" s="270"/>
      <c r="F43" s="270"/>
      <c r="G43" s="270"/>
      <c r="H43" s="270"/>
      <c r="I43" s="270"/>
      <c r="J43" s="270"/>
      <c r="K43" s="270"/>
      <c r="L43" s="270"/>
      <c r="M43" s="99"/>
      <c r="N43" s="99"/>
    </row>
    <row r="44" spans="2:14" ht="16" customHeight="1" x14ac:dyDescent="0.2">
      <c r="B44" s="69"/>
      <c r="C44" s="81"/>
      <c r="D44" s="81"/>
      <c r="E44" s="81"/>
      <c r="F44" s="81"/>
      <c r="G44" s="81"/>
      <c r="H44" s="81"/>
      <c r="I44" s="81"/>
      <c r="J44" s="81"/>
      <c r="K44" s="81"/>
      <c r="L44" s="81"/>
      <c r="M44" s="99"/>
      <c r="N44" s="99"/>
    </row>
    <row r="45" spans="2:14" ht="16" customHeight="1" x14ac:dyDescent="0.2">
      <c r="B45" s="69"/>
      <c r="C45" s="81"/>
      <c r="D45" s="81"/>
      <c r="E45" s="81"/>
      <c r="F45" s="81"/>
      <c r="G45" s="82"/>
      <c r="H45" s="81"/>
      <c r="I45" s="81"/>
      <c r="J45" s="81"/>
      <c r="K45" s="81"/>
      <c r="L45" s="81"/>
      <c r="M45" s="99"/>
      <c r="N45" s="99"/>
    </row>
    <row r="46" spans="2:14" ht="16" customHeight="1" x14ac:dyDescent="0.2">
      <c r="B46" s="69"/>
      <c r="C46" s="81"/>
      <c r="D46" s="81"/>
      <c r="E46" s="81"/>
      <c r="F46" s="81"/>
      <c r="G46" s="81"/>
      <c r="H46" s="81"/>
      <c r="I46" s="81"/>
      <c r="J46" s="81"/>
      <c r="K46" s="81"/>
      <c r="L46" s="81"/>
      <c r="M46" s="99"/>
      <c r="N46" s="99"/>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19" sqref="I19"/>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71"/>
      <c r="C2" s="286"/>
      <c r="D2" s="287"/>
      <c r="E2" s="287"/>
      <c r="F2" s="287"/>
      <c r="G2" s="287"/>
      <c r="H2" s="287"/>
      <c r="I2" s="287"/>
      <c r="J2" s="287"/>
      <c r="K2" s="287"/>
      <c r="L2" s="287"/>
      <c r="M2" s="287"/>
      <c r="N2" s="288"/>
    </row>
    <row r="3" spans="2:15" ht="15" customHeight="1" x14ac:dyDescent="0.2">
      <c r="B3" s="272"/>
      <c r="C3" s="289"/>
      <c r="D3" s="290"/>
      <c r="E3" s="290"/>
      <c r="F3" s="290"/>
      <c r="G3" s="290"/>
      <c r="H3" s="290"/>
      <c r="I3" s="290"/>
      <c r="J3" s="290"/>
      <c r="K3" s="290"/>
      <c r="L3" s="290"/>
      <c r="M3" s="290"/>
      <c r="N3" s="291"/>
    </row>
    <row r="4" spans="2:15" ht="15" customHeight="1" x14ac:dyDescent="0.2">
      <c r="B4" s="272"/>
      <c r="C4" s="289"/>
      <c r="D4" s="290"/>
      <c r="E4" s="290"/>
      <c r="F4" s="290"/>
      <c r="G4" s="290"/>
      <c r="H4" s="290"/>
      <c r="I4" s="290"/>
      <c r="J4" s="290"/>
      <c r="K4" s="290"/>
      <c r="L4" s="290"/>
      <c r="M4" s="290"/>
      <c r="N4" s="291"/>
    </row>
    <row r="5" spans="2:15" ht="15" customHeight="1" x14ac:dyDescent="0.2">
      <c r="B5" s="272"/>
      <c r="C5" s="289"/>
      <c r="D5" s="290"/>
      <c r="E5" s="290"/>
      <c r="F5" s="290"/>
      <c r="G5" s="290"/>
      <c r="H5" s="290"/>
      <c r="I5" s="290"/>
      <c r="J5" s="290"/>
      <c r="K5" s="290"/>
      <c r="L5" s="290"/>
      <c r="M5" s="290"/>
      <c r="N5" s="291"/>
    </row>
    <row r="6" spans="2:15" ht="15" customHeight="1" x14ac:dyDescent="0.2">
      <c r="B6" s="272"/>
      <c r="C6" s="289"/>
      <c r="D6" s="290"/>
      <c r="E6" s="290"/>
      <c r="F6" s="290"/>
      <c r="G6" s="290"/>
      <c r="H6" s="290"/>
      <c r="I6" s="290"/>
      <c r="J6" s="290"/>
      <c r="K6" s="290"/>
      <c r="L6" s="290"/>
      <c r="M6" s="290"/>
      <c r="N6" s="291"/>
    </row>
    <row r="7" spans="2:15" ht="48.75" customHeight="1" thickBot="1" x14ac:dyDescent="0.25">
      <c r="B7" s="272"/>
      <c r="C7" s="289"/>
      <c r="D7" s="290"/>
      <c r="E7" s="290"/>
      <c r="F7" s="290"/>
      <c r="G7" s="290"/>
      <c r="H7" s="290"/>
      <c r="I7" s="290"/>
      <c r="J7" s="290"/>
      <c r="K7" s="290"/>
      <c r="L7" s="290"/>
      <c r="M7" s="290"/>
      <c r="N7" s="291"/>
    </row>
    <row r="8" spans="2:15" ht="18.75" customHeight="1" thickBot="1" x14ac:dyDescent="0.25">
      <c r="B8" s="285"/>
      <c r="C8" s="33">
        <v>2014</v>
      </c>
      <c r="D8" s="33">
        <v>2015</v>
      </c>
      <c r="E8" s="33">
        <v>2016</v>
      </c>
      <c r="F8" s="33">
        <v>2017</v>
      </c>
      <c r="G8" s="33">
        <v>2018</v>
      </c>
      <c r="H8" s="33">
        <v>2019</v>
      </c>
      <c r="I8" s="172">
        <v>2020</v>
      </c>
      <c r="J8" s="103">
        <v>2021</v>
      </c>
      <c r="K8" s="103">
        <v>2022</v>
      </c>
      <c r="L8" s="103">
        <v>2023</v>
      </c>
      <c r="M8" s="103">
        <v>2024</v>
      </c>
      <c r="N8" s="104">
        <v>2025</v>
      </c>
    </row>
    <row r="9" spans="2:15" x14ac:dyDescent="0.2">
      <c r="B9" s="61" t="s">
        <v>38</v>
      </c>
      <c r="C9" s="34"/>
      <c r="D9" s="35"/>
      <c r="E9" s="35"/>
      <c r="F9" s="35"/>
      <c r="G9" s="35"/>
      <c r="H9" s="35"/>
      <c r="I9" s="265"/>
      <c r="J9" s="35"/>
      <c r="K9" s="35"/>
      <c r="L9" s="35"/>
      <c r="M9" s="36"/>
      <c r="N9" s="37"/>
    </row>
    <row r="10" spans="2:15" x14ac:dyDescent="0.2">
      <c r="B10" s="62" t="s">
        <v>6</v>
      </c>
      <c r="C10" s="138">
        <f>'1.Income statement'!C12</f>
        <v>300</v>
      </c>
      <c r="D10" s="138">
        <f>'1.Income statement'!D12</f>
        <v>314</v>
      </c>
      <c r="E10" s="138">
        <f>'1.Income statement'!E12</f>
        <v>516</v>
      </c>
      <c r="F10" s="138">
        <f>'1.Income statement'!F12</f>
        <v>633</v>
      </c>
      <c r="G10" s="138">
        <f>'1.Income statement'!G12</f>
        <v>962</v>
      </c>
      <c r="H10" s="138">
        <f>'1.Income statement'!H12</f>
        <v>1718</v>
      </c>
      <c r="I10" s="139">
        <f>'1.Income statement'!I12</f>
        <v>1725</v>
      </c>
      <c r="J10" s="138">
        <f>'1.Income statement'!J12</f>
        <v>1805.2439999999999</v>
      </c>
      <c r="K10" s="138">
        <f>'1.Income statement'!K12</f>
        <v>1895.5061999999998</v>
      </c>
      <c r="L10" s="138">
        <f>'1.Income statement'!L12</f>
        <v>1990.28151</v>
      </c>
      <c r="M10" s="138">
        <f>'1.Income statement'!M12</f>
        <v>2089.7955855</v>
      </c>
      <c r="N10" s="139">
        <f>'1.Income statement'!N12</f>
        <v>2194.2853647749998</v>
      </c>
    </row>
    <row r="11" spans="2:15" x14ac:dyDescent="0.2">
      <c r="B11" s="185" t="s">
        <v>40</v>
      </c>
      <c r="C11" s="149">
        <v>18</v>
      </c>
      <c r="D11" s="149">
        <v>18</v>
      </c>
      <c r="E11" s="149">
        <v>37</v>
      </c>
      <c r="F11" s="149">
        <v>46</v>
      </c>
      <c r="G11" s="149">
        <v>89</v>
      </c>
      <c r="H11" s="149">
        <v>130</v>
      </c>
      <c r="I11" s="266">
        <f>71.6+34.8</f>
        <v>106.39999999999999</v>
      </c>
      <c r="J11" s="140">
        <f>(I11*'1.Income statement'!$P$11)+'2.Flujos de caja'!I11</f>
        <v>111.72</v>
      </c>
      <c r="K11" s="140">
        <f>(J11*'1.Income statement'!$P$11)+'2.Flujos de caja'!J11</f>
        <v>117.306</v>
      </c>
      <c r="L11" s="140">
        <f>(K11*'1.Income statement'!$P$11)+'2.Flujos de caja'!K11</f>
        <v>123.1713</v>
      </c>
      <c r="M11" s="140">
        <f>(L11*'1.Income statement'!$P$11)+'2.Flujos de caja'!L11</f>
        <v>129.32986500000001</v>
      </c>
      <c r="N11" s="141">
        <f>(M11*'1.Income statement'!$P$11)+'2.Flujos de caja'!M11</f>
        <v>135.79635825000003</v>
      </c>
    </row>
    <row r="12" spans="2:15" x14ac:dyDescent="0.2">
      <c r="B12" s="186" t="s">
        <v>39</v>
      </c>
      <c r="C12" s="142">
        <f>'1.Income statement'!C17</f>
        <v>27</v>
      </c>
      <c r="D12" s="142">
        <f>'1.Income statement'!D17</f>
        <v>79</v>
      </c>
      <c r="E12" s="142">
        <f>'1.Income statement'!E17</f>
        <v>129</v>
      </c>
      <c r="F12" s="142">
        <f>'1.Income statement'!F17</f>
        <v>108</v>
      </c>
      <c r="G12" s="142">
        <f>'1.Income statement'!G17</f>
        <v>271</v>
      </c>
      <c r="H12" s="142">
        <f>'1.Income statement'!H17</f>
        <v>404</v>
      </c>
      <c r="I12" s="143">
        <f>'1.Income statement'!I17</f>
        <v>246</v>
      </c>
      <c r="J12" s="142">
        <f>'1.Income statement'!J17</f>
        <v>200</v>
      </c>
      <c r="K12" s="142">
        <f>'1.Income statement'!K17</f>
        <v>160</v>
      </c>
      <c r="L12" s="142">
        <f>'1.Income statement'!L17</f>
        <v>130</v>
      </c>
      <c r="M12" s="142">
        <f>'1.Income statement'!M17</f>
        <v>80</v>
      </c>
      <c r="N12" s="143">
        <f>'1.Income statement'!N17</f>
        <v>30</v>
      </c>
    </row>
    <row r="13" spans="2:15" x14ac:dyDescent="0.2">
      <c r="B13" s="186" t="s">
        <v>41</v>
      </c>
      <c r="C13" s="142">
        <f>'1.Income statement'!C20</f>
        <v>46</v>
      </c>
      <c r="D13" s="142">
        <f>'1.Income statement'!D20</f>
        <v>18</v>
      </c>
      <c r="E13" s="142">
        <f>'1.Income statement'!E20</f>
        <v>32</v>
      </c>
      <c r="F13" s="142">
        <f>'1.Income statement'!F20</f>
        <v>-46</v>
      </c>
      <c r="G13" s="142">
        <f>'1.Income statement'!G20</f>
        <v>22</v>
      </c>
      <c r="H13" s="142">
        <f>'1.Income statement'!H20</f>
        <v>93</v>
      </c>
      <c r="I13" s="143">
        <f>'1.Income statement'!I20</f>
        <v>150</v>
      </c>
      <c r="J13" s="142">
        <f>'1.Income statement'!J20</f>
        <v>165.85879999999997</v>
      </c>
      <c r="K13" s="142">
        <f>'1.Income statement'!K20</f>
        <v>184.15173999999999</v>
      </c>
      <c r="L13" s="142">
        <f>'1.Income statement'!L20</f>
        <v>200.959327</v>
      </c>
      <c r="M13" s="142">
        <f>'1.Income statement'!M20</f>
        <v>222.30729334999998</v>
      </c>
      <c r="N13" s="143">
        <f>'1.Income statement'!N20</f>
        <v>244.22265801749995</v>
      </c>
    </row>
    <row r="14" spans="2:15" x14ac:dyDescent="0.2">
      <c r="B14" s="187" t="s">
        <v>80</v>
      </c>
      <c r="C14" s="184">
        <f>'1.Income statement'!C23</f>
        <v>0</v>
      </c>
      <c r="D14" s="184">
        <f>'1.Income statement'!D23</f>
        <v>0</v>
      </c>
      <c r="E14" s="184">
        <f>'1.Income statement'!E23</f>
        <v>0</v>
      </c>
      <c r="F14" s="184">
        <f>'1.Income statement'!F23</f>
        <v>0</v>
      </c>
      <c r="G14" s="184">
        <f>'1.Income statement'!G23</f>
        <v>0</v>
      </c>
      <c r="H14" s="184">
        <f>'1.Income statement'!H23</f>
        <v>0</v>
      </c>
      <c r="I14" s="267">
        <f>'1.Income statement'!I23</f>
        <v>0</v>
      </c>
      <c r="J14" s="191">
        <f>'1.Income statement'!J23</f>
        <v>0</v>
      </c>
      <c r="K14" s="191">
        <f>'1.Income statement'!K23</f>
        <v>0</v>
      </c>
      <c r="L14" s="191">
        <f>'1.Income statement'!L23</f>
        <v>0</v>
      </c>
      <c r="M14" s="191">
        <f>'1.Income statement'!M23</f>
        <v>0</v>
      </c>
      <c r="N14" s="192">
        <f>'1.Income statement'!N23</f>
        <v>0</v>
      </c>
    </row>
    <row r="15" spans="2:15" x14ac:dyDescent="0.2">
      <c r="B15" s="63" t="s">
        <v>8</v>
      </c>
      <c r="C15" s="144">
        <f t="shared" ref="C15:J15" si="0">C10-C11-C12-C13-C14</f>
        <v>209</v>
      </c>
      <c r="D15" s="144">
        <f t="shared" si="0"/>
        <v>199</v>
      </c>
      <c r="E15" s="144">
        <f t="shared" si="0"/>
        <v>318</v>
      </c>
      <c r="F15" s="144">
        <f t="shared" si="0"/>
        <v>525</v>
      </c>
      <c r="G15" s="144">
        <f t="shared" si="0"/>
        <v>580</v>
      </c>
      <c r="H15" s="144">
        <f t="shared" si="0"/>
        <v>1091</v>
      </c>
      <c r="I15" s="268">
        <f t="shared" si="0"/>
        <v>1222.5999999999999</v>
      </c>
      <c r="J15" s="144">
        <f t="shared" si="0"/>
        <v>1327.6651999999999</v>
      </c>
      <c r="K15" s="144">
        <f t="shared" ref="K15:M15" si="1">K10-K11-K12-K13-K14</f>
        <v>1434.0484599999997</v>
      </c>
      <c r="L15" s="144">
        <f t="shared" si="1"/>
        <v>1536.150883</v>
      </c>
      <c r="M15" s="144">
        <f t="shared" si="1"/>
        <v>1658.1584271500001</v>
      </c>
      <c r="N15" s="144">
        <f>N10-N11-N12-N13-N14</f>
        <v>1784.2663485074997</v>
      </c>
      <c r="O15" s="214"/>
    </row>
    <row r="16" spans="2:15" ht="17" thickBot="1" x14ac:dyDescent="0.25">
      <c r="B16" s="64" t="s">
        <v>9</v>
      </c>
      <c r="C16" s="38">
        <f>C15/'1.Income statement'!C27</f>
        <v>1.2011494252873562</v>
      </c>
      <c r="D16" s="38">
        <f>D15/'1.Income statement'!D27</f>
        <v>1.0473684210526315</v>
      </c>
      <c r="E16" s="38">
        <f>E15/'1.Income statement'!E27</f>
        <v>1.551219512195122</v>
      </c>
      <c r="F16" s="38">
        <f>F15/'1.Income statement'!F27</f>
        <v>2.4881516587677726</v>
      </c>
      <c r="G16" s="38">
        <f>G15/'1.Income statement'!G27</f>
        <v>2.3868312757201644</v>
      </c>
      <c r="H16" s="38">
        <f>H15/'1.Income statement'!H27</f>
        <v>4.1325757575757578</v>
      </c>
      <c r="I16" s="39">
        <f>I15/'1.Income statement'!I27</f>
        <v>4.5962406015037587</v>
      </c>
      <c r="J16" s="38">
        <f>J15/'1.Income statement'!J27</f>
        <v>4.9912225563909773</v>
      </c>
      <c r="K16" s="38">
        <f>K15/'1.Income statement'!K27</f>
        <v>5.3911596240601494</v>
      </c>
      <c r="L16" s="38">
        <f>L15/'1.Income statement'!L27</f>
        <v>5.7750033195488726</v>
      </c>
      <c r="M16" s="38">
        <f>M15/'1.Income statement'!M27</f>
        <v>6.2336782975563914</v>
      </c>
      <c r="N16" s="39">
        <f>N15/'1.Income statement'!N27</f>
        <v>6.7077682274718038</v>
      </c>
      <c r="O16" s="204"/>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01"/>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5" workbookViewId="0">
      <selection activeCell="K14" sqref="K14"/>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92"/>
      <c r="C2" s="286"/>
      <c r="D2" s="287"/>
      <c r="E2" s="287"/>
      <c r="F2" s="287"/>
      <c r="G2" s="287"/>
      <c r="H2" s="287"/>
      <c r="I2" s="287"/>
      <c r="J2" s="287"/>
      <c r="K2" s="287"/>
      <c r="L2" s="287"/>
      <c r="M2" s="287"/>
      <c r="N2" s="288"/>
    </row>
    <row r="3" spans="2:16" ht="15" customHeight="1" x14ac:dyDescent="0.2">
      <c r="B3" s="293"/>
      <c r="C3" s="289"/>
      <c r="D3" s="290"/>
      <c r="E3" s="290"/>
      <c r="F3" s="290"/>
      <c r="G3" s="290"/>
      <c r="H3" s="290"/>
      <c r="I3" s="290"/>
      <c r="J3" s="290"/>
      <c r="K3" s="290"/>
      <c r="L3" s="290"/>
      <c r="M3" s="290"/>
      <c r="N3" s="291"/>
    </row>
    <row r="4" spans="2:16" ht="15" customHeight="1" x14ac:dyDescent="0.2">
      <c r="B4" s="293"/>
      <c r="C4" s="289"/>
      <c r="D4" s="290"/>
      <c r="E4" s="290"/>
      <c r="F4" s="290"/>
      <c r="G4" s="290"/>
      <c r="H4" s="290"/>
      <c r="I4" s="290"/>
      <c r="J4" s="290"/>
      <c r="K4" s="290"/>
      <c r="L4" s="290"/>
      <c r="M4" s="290"/>
      <c r="N4" s="291"/>
    </row>
    <row r="5" spans="2:16" ht="15" customHeight="1" x14ac:dyDescent="0.2">
      <c r="B5" s="293"/>
      <c r="C5" s="289"/>
      <c r="D5" s="290"/>
      <c r="E5" s="290"/>
      <c r="F5" s="290"/>
      <c r="G5" s="290"/>
      <c r="H5" s="290"/>
      <c r="I5" s="290"/>
      <c r="J5" s="290"/>
      <c r="K5" s="290"/>
      <c r="L5" s="290"/>
      <c r="M5" s="290"/>
      <c r="N5" s="291"/>
    </row>
    <row r="6" spans="2:16" ht="15" customHeight="1" x14ac:dyDescent="0.2">
      <c r="B6" s="293"/>
      <c r="C6" s="289"/>
      <c r="D6" s="290"/>
      <c r="E6" s="290"/>
      <c r="F6" s="290"/>
      <c r="G6" s="290"/>
      <c r="H6" s="290"/>
      <c r="I6" s="290"/>
      <c r="J6" s="290"/>
      <c r="K6" s="290"/>
      <c r="L6" s="290"/>
      <c r="M6" s="290"/>
      <c r="N6" s="291"/>
    </row>
    <row r="7" spans="2:16" ht="48.75" customHeight="1" thickBot="1" x14ac:dyDescent="0.25">
      <c r="B7" s="293"/>
      <c r="C7" s="289"/>
      <c r="D7" s="290"/>
      <c r="E7" s="290"/>
      <c r="F7" s="290"/>
      <c r="G7" s="290"/>
      <c r="H7" s="290"/>
      <c r="I7" s="290"/>
      <c r="J7" s="290"/>
      <c r="K7" s="290"/>
      <c r="L7" s="290"/>
      <c r="M7" s="290"/>
      <c r="N7" s="291"/>
    </row>
    <row r="8" spans="2:16" ht="18.75" customHeight="1" thickBot="1" x14ac:dyDescent="0.25">
      <c r="B8" s="293"/>
      <c r="C8" s="33">
        <v>2014</v>
      </c>
      <c r="D8" s="33">
        <v>2015</v>
      </c>
      <c r="E8" s="33">
        <v>2016</v>
      </c>
      <c r="F8" s="33">
        <v>2017</v>
      </c>
      <c r="G8" s="33">
        <v>2018</v>
      </c>
      <c r="H8" s="33">
        <v>2019</v>
      </c>
      <c r="I8" s="172">
        <v>2020</v>
      </c>
      <c r="J8" s="103">
        <v>2021</v>
      </c>
      <c r="K8" s="103">
        <v>2022</v>
      </c>
      <c r="L8" s="103">
        <v>2023</v>
      </c>
      <c r="M8" s="103">
        <v>2024</v>
      </c>
      <c r="N8" s="104">
        <v>2025</v>
      </c>
    </row>
    <row r="9" spans="2:16" ht="17" thickBot="1" x14ac:dyDescent="0.25">
      <c r="B9" s="42" t="s">
        <v>42</v>
      </c>
      <c r="C9" s="65"/>
      <c r="D9" s="66"/>
      <c r="E9" s="66"/>
      <c r="F9" s="66"/>
      <c r="G9" s="66"/>
      <c r="H9" s="66"/>
      <c r="I9" s="146"/>
      <c r="J9" s="65"/>
      <c r="K9" s="66"/>
      <c r="L9" s="66"/>
      <c r="M9" s="48"/>
      <c r="N9" s="49"/>
    </row>
    <row r="10" spans="2:16" ht="16" thickBot="1" x14ac:dyDescent="0.25">
      <c r="B10" s="205" t="s">
        <v>11</v>
      </c>
      <c r="C10" s="44">
        <f>'1.Income statement'!C15</f>
        <v>200</v>
      </c>
      <c r="D10" s="44">
        <f>'1.Income statement'!D15</f>
        <v>164</v>
      </c>
      <c r="E10" s="44">
        <f>'1.Income statement'!E15</f>
        <v>288</v>
      </c>
      <c r="F10" s="44">
        <f>'1.Income statement'!F15</f>
        <v>396</v>
      </c>
      <c r="G10" s="44">
        <f>'1.Income statement'!G15</f>
        <v>430</v>
      </c>
      <c r="H10" s="44">
        <f>'1.Income statement'!H15</f>
        <v>914</v>
      </c>
      <c r="I10" s="44">
        <f>'1.Income statement'!I15</f>
        <v>986</v>
      </c>
      <c r="J10" s="43">
        <f>'1.Income statement'!J15</f>
        <v>1029.2939999999999</v>
      </c>
      <c r="K10" s="44">
        <f>'1.Income statement'!K15</f>
        <v>1080.7586999999999</v>
      </c>
      <c r="L10" s="44">
        <f>'1.Income statement'!L15</f>
        <v>1134.7966349999999</v>
      </c>
      <c r="M10" s="44">
        <f>'1.Income statement'!M15</f>
        <v>1191.5364667499998</v>
      </c>
      <c r="N10" s="45">
        <f>'1.Income statement'!N15</f>
        <v>1251.1132900874998</v>
      </c>
      <c r="O10" s="16" t="s">
        <v>33</v>
      </c>
      <c r="P10" s="10">
        <f>'1.Income statement'!$P$11</f>
        <v>0.05</v>
      </c>
    </row>
    <row r="11" spans="2:16" x14ac:dyDescent="0.2">
      <c r="B11" s="206" t="s">
        <v>43</v>
      </c>
      <c r="C11" s="51">
        <f>'1.Income statement'!C17</f>
        <v>27</v>
      </c>
      <c r="D11" s="51">
        <f>'1.Income statement'!D17</f>
        <v>79</v>
      </c>
      <c r="E11" s="51">
        <f>'1.Income statement'!E17</f>
        <v>129</v>
      </c>
      <c r="F11" s="51">
        <f>'1.Income statement'!F17</f>
        <v>108</v>
      </c>
      <c r="G11" s="51">
        <f>'1.Income statement'!G17</f>
        <v>271</v>
      </c>
      <c r="H11" s="51">
        <f>'1.Income statement'!H17</f>
        <v>404</v>
      </c>
      <c r="I11" s="51">
        <f>'1.Income statement'!I17</f>
        <v>246</v>
      </c>
      <c r="J11" s="50">
        <f>'1.Income statement'!J17</f>
        <v>200</v>
      </c>
      <c r="K11" s="51">
        <f>'1.Income statement'!K17</f>
        <v>160</v>
      </c>
      <c r="L11" s="51">
        <f>'1.Income statement'!L17</f>
        <v>130</v>
      </c>
      <c r="M11" s="51">
        <f>'1.Income statement'!M17</f>
        <v>80</v>
      </c>
      <c r="N11" s="52">
        <f>'1.Income statement'!N17</f>
        <v>30</v>
      </c>
    </row>
    <row r="12" spans="2:16" x14ac:dyDescent="0.2">
      <c r="B12" s="207" t="s">
        <v>41</v>
      </c>
      <c r="C12" s="53">
        <f>'1.Income statement'!C20</f>
        <v>46</v>
      </c>
      <c r="D12" s="53">
        <f>'1.Income statement'!D20</f>
        <v>18</v>
      </c>
      <c r="E12" s="53">
        <f>'1.Income statement'!E20</f>
        <v>32</v>
      </c>
      <c r="F12" s="53">
        <f>'1.Income statement'!F20</f>
        <v>-46</v>
      </c>
      <c r="G12" s="53">
        <f>'1.Income statement'!G20</f>
        <v>22</v>
      </c>
      <c r="H12" s="53">
        <f>'1.Income statement'!H20</f>
        <v>93</v>
      </c>
      <c r="I12" s="54">
        <f>'1.Income statement'!I20</f>
        <v>150</v>
      </c>
      <c r="J12" s="53">
        <f>'1.Income statement'!J20</f>
        <v>165.85879999999997</v>
      </c>
      <c r="K12" s="53">
        <f>'1.Income statement'!K20</f>
        <v>184.15173999999999</v>
      </c>
      <c r="L12" s="53">
        <f>'1.Income statement'!L20</f>
        <v>200.959327</v>
      </c>
      <c r="M12" s="53">
        <f>'1.Income statement'!M20</f>
        <v>222.30729334999998</v>
      </c>
      <c r="N12" s="54">
        <f>'1.Income statement'!N20</f>
        <v>244.22265801749995</v>
      </c>
    </row>
    <row r="13" spans="2:16" x14ac:dyDescent="0.2">
      <c r="B13" s="208" t="s">
        <v>12</v>
      </c>
      <c r="C13" s="44">
        <f>'1.Income statement'!C24</f>
        <v>127</v>
      </c>
      <c r="D13" s="44">
        <f>'1.Income statement'!D24</f>
        <v>67</v>
      </c>
      <c r="E13" s="44">
        <f>'1.Income statement'!E24</f>
        <v>127</v>
      </c>
      <c r="F13" s="44">
        <f>'1.Income statement'!F24</f>
        <v>334</v>
      </c>
      <c r="G13" s="44">
        <f>'1.Income statement'!G24</f>
        <v>137</v>
      </c>
      <c r="H13" s="44">
        <f>'1.Income statement'!H24</f>
        <v>417</v>
      </c>
      <c r="I13" s="44">
        <f>'1.Income statement'!I24</f>
        <v>590</v>
      </c>
      <c r="J13" s="43">
        <f>'1.Income statement'!J24</f>
        <v>663.4351999999999</v>
      </c>
      <c r="K13" s="44">
        <f>'1.Income statement'!K24</f>
        <v>736.60695999999984</v>
      </c>
      <c r="L13" s="44">
        <f>'1.Income statement'!L24</f>
        <v>803.83730799999989</v>
      </c>
      <c r="M13" s="44">
        <f>'1.Income statement'!M24</f>
        <v>889.22917339999981</v>
      </c>
      <c r="N13" s="45">
        <f>'1.Income statement'!N24</f>
        <v>976.89063206999981</v>
      </c>
    </row>
    <row r="14" spans="2:16" x14ac:dyDescent="0.2">
      <c r="B14" s="209" t="s">
        <v>47</v>
      </c>
      <c r="C14" s="231">
        <v>109</v>
      </c>
      <c r="D14" s="231">
        <v>434</v>
      </c>
      <c r="E14" s="231">
        <v>117</v>
      </c>
      <c r="F14" s="231">
        <v>64</v>
      </c>
      <c r="G14" s="231">
        <v>166</v>
      </c>
      <c r="H14" s="238">
        <v>152</v>
      </c>
      <c r="I14" s="188">
        <v>209</v>
      </c>
      <c r="J14" s="53">
        <f>I14*$P$10+I14</f>
        <v>219.45</v>
      </c>
      <c r="K14" s="53">
        <f t="shared" ref="K14:N14" si="0">J14*$P$10+J14</f>
        <v>230.42249999999999</v>
      </c>
      <c r="L14" s="53">
        <f t="shared" si="0"/>
        <v>241.943625</v>
      </c>
      <c r="M14" s="53">
        <f t="shared" si="0"/>
        <v>254.04080625</v>
      </c>
      <c r="N14" s="53">
        <f t="shared" si="0"/>
        <v>266.74284656250001</v>
      </c>
      <c r="O14" s="214"/>
    </row>
    <row r="15" spans="2:16" x14ac:dyDescent="0.2">
      <c r="B15" s="210" t="s">
        <v>44</v>
      </c>
      <c r="C15" s="231">
        <v>618</v>
      </c>
      <c r="D15" s="231">
        <v>2179</v>
      </c>
      <c r="E15" s="231">
        <v>2375</v>
      </c>
      <c r="F15" s="231">
        <v>2007</v>
      </c>
      <c r="G15" s="231">
        <v>8168</v>
      </c>
      <c r="H15" s="239">
        <v>7077</v>
      </c>
      <c r="I15" s="147">
        <v>6388</v>
      </c>
      <c r="J15" s="53">
        <f t="shared" ref="J15:J17" si="1">I15*$P$10+I15</f>
        <v>6707.4</v>
      </c>
      <c r="K15" s="53">
        <f t="shared" ref="K15:N15" si="2">J15*$P$10+J15</f>
        <v>7042.7699999999995</v>
      </c>
      <c r="L15" s="53">
        <f t="shared" si="2"/>
        <v>7394.9084999999995</v>
      </c>
      <c r="M15" s="53">
        <f t="shared" si="2"/>
        <v>7764.6539249999996</v>
      </c>
      <c r="N15" s="54">
        <f t="shared" si="2"/>
        <v>8152.8866212499997</v>
      </c>
    </row>
    <row r="16" spans="2:16" x14ac:dyDescent="0.2">
      <c r="B16" s="209" t="s">
        <v>45</v>
      </c>
      <c r="C16" s="231">
        <v>1573</v>
      </c>
      <c r="D16" s="231">
        <v>3549</v>
      </c>
      <c r="E16" s="231">
        <v>3652</v>
      </c>
      <c r="F16" s="231">
        <v>3707</v>
      </c>
      <c r="G16" s="231">
        <v>7858</v>
      </c>
      <c r="H16" s="239">
        <v>7959</v>
      </c>
      <c r="I16" s="147">
        <v>8078</v>
      </c>
      <c r="J16" s="53">
        <f t="shared" si="1"/>
        <v>8481.9</v>
      </c>
      <c r="K16" s="53">
        <f t="shared" ref="K16:N16" si="3">J16*$P$10+J16</f>
        <v>8905.994999999999</v>
      </c>
      <c r="L16" s="53">
        <f t="shared" si="3"/>
        <v>9351.2947499999991</v>
      </c>
      <c r="M16" s="53">
        <f t="shared" si="3"/>
        <v>9818.8594874999999</v>
      </c>
      <c r="N16" s="54">
        <f t="shared" si="3"/>
        <v>10309.802461875001</v>
      </c>
    </row>
    <row r="17" spans="2:14" x14ac:dyDescent="0.2">
      <c r="B17" s="209" t="s">
        <v>46</v>
      </c>
      <c r="C17" s="232">
        <v>1346</v>
      </c>
      <c r="D17" s="232">
        <v>2105</v>
      </c>
      <c r="E17" s="232">
        <v>2258</v>
      </c>
      <c r="F17" s="232">
        <v>2686</v>
      </c>
      <c r="G17" s="231">
        <v>4580</v>
      </c>
      <c r="H17" s="232">
        <v>5116</v>
      </c>
      <c r="I17" s="189">
        <v>5716</v>
      </c>
      <c r="J17" s="53">
        <f t="shared" si="1"/>
        <v>6001.8</v>
      </c>
      <c r="K17" s="148">
        <f t="shared" ref="K17:N17" si="4">J17*$P$10+J17</f>
        <v>6301.89</v>
      </c>
      <c r="L17" s="148">
        <f t="shared" si="4"/>
        <v>6616.9845000000005</v>
      </c>
      <c r="M17" s="148">
        <f t="shared" si="4"/>
        <v>6947.8337250000004</v>
      </c>
      <c r="N17" s="54">
        <f t="shared" si="4"/>
        <v>7295.2254112500004</v>
      </c>
    </row>
    <row r="18" spans="2:14" x14ac:dyDescent="0.2">
      <c r="B18" s="211" t="s">
        <v>51</v>
      </c>
      <c r="C18" s="59">
        <f>C17+C15-C14</f>
        <v>1855</v>
      </c>
      <c r="D18" s="59">
        <f t="shared" ref="D18:I18" si="5">D17+D15-D14</f>
        <v>3850</v>
      </c>
      <c r="E18" s="59">
        <f t="shared" si="5"/>
        <v>4516</v>
      </c>
      <c r="F18" s="59">
        <f t="shared" si="5"/>
        <v>4629</v>
      </c>
      <c r="G18" s="190">
        <f t="shared" si="5"/>
        <v>12582</v>
      </c>
      <c r="H18" s="59">
        <f t="shared" si="5"/>
        <v>12041</v>
      </c>
      <c r="I18" s="59">
        <f t="shared" si="5"/>
        <v>11895</v>
      </c>
      <c r="J18" s="129">
        <f t="shared" ref="J18:N18" si="6">J17+J15-J14</f>
        <v>12489.75</v>
      </c>
      <c r="K18" s="59">
        <f t="shared" si="6"/>
        <v>13114.237499999999</v>
      </c>
      <c r="L18" s="59">
        <f t="shared" si="6"/>
        <v>13769.949375</v>
      </c>
      <c r="M18" s="59">
        <f t="shared" si="6"/>
        <v>14458.44684375</v>
      </c>
      <c r="N18" s="55">
        <f t="shared" si="6"/>
        <v>15181.369185937501</v>
      </c>
    </row>
    <row r="19" spans="2:14" x14ac:dyDescent="0.2">
      <c r="B19" s="212" t="s">
        <v>52</v>
      </c>
      <c r="C19" s="56">
        <f t="shared" ref="C19:I19" si="7">C15-C14+C17-C16</f>
        <v>282</v>
      </c>
      <c r="D19" s="56">
        <f t="shared" si="7"/>
        <v>301</v>
      </c>
      <c r="E19" s="56">
        <f t="shared" si="7"/>
        <v>864</v>
      </c>
      <c r="F19" s="56">
        <f t="shared" si="7"/>
        <v>922</v>
      </c>
      <c r="G19" s="56">
        <f t="shared" si="7"/>
        <v>4724</v>
      </c>
      <c r="H19" s="56">
        <f t="shared" si="7"/>
        <v>4082</v>
      </c>
      <c r="I19" s="56">
        <f t="shared" si="7"/>
        <v>3817</v>
      </c>
      <c r="J19" s="130">
        <f t="shared" ref="J19:N19" si="8">J15-J14+J17-J16</f>
        <v>4007.8500000000004</v>
      </c>
      <c r="K19" s="56">
        <f t="shared" si="8"/>
        <v>4208.2425000000003</v>
      </c>
      <c r="L19" s="56">
        <f t="shared" si="8"/>
        <v>4418.654625000001</v>
      </c>
      <c r="M19" s="56">
        <f t="shared" si="8"/>
        <v>4639.5873562500001</v>
      </c>
      <c r="N19" s="57">
        <f t="shared" si="8"/>
        <v>4871.5667240624989</v>
      </c>
    </row>
    <row r="20" spans="2:14" x14ac:dyDescent="0.2">
      <c r="B20" s="210"/>
      <c r="C20" s="58"/>
      <c r="D20" s="58"/>
      <c r="E20" s="58"/>
      <c r="F20" s="58"/>
      <c r="G20" s="58"/>
      <c r="H20" s="112"/>
      <c r="J20" s="131"/>
      <c r="K20" s="59"/>
      <c r="L20" s="59"/>
      <c r="M20" s="59"/>
      <c r="N20" s="60"/>
    </row>
    <row r="21" spans="2:14" x14ac:dyDescent="0.2">
      <c r="B21" s="209" t="s">
        <v>48</v>
      </c>
      <c r="C21" s="46">
        <f t="shared" ref="C21:I21" si="9">C13/C17</f>
        <v>9.4353640416047546E-2</v>
      </c>
      <c r="D21" s="46">
        <f t="shared" si="9"/>
        <v>3.1828978622327794E-2</v>
      </c>
      <c r="E21" s="46">
        <f t="shared" si="9"/>
        <v>5.6244464127546502E-2</v>
      </c>
      <c r="F21" s="46">
        <f t="shared" si="9"/>
        <v>0.12434847356664185</v>
      </c>
      <c r="G21" s="46">
        <f t="shared" si="9"/>
        <v>2.9912663755458514E-2</v>
      </c>
      <c r="H21" s="46">
        <f t="shared" si="9"/>
        <v>8.1508991399530883E-2</v>
      </c>
      <c r="I21" s="46">
        <f t="shared" si="9"/>
        <v>0.10321903428971309</v>
      </c>
      <c r="J21" s="132">
        <f t="shared" ref="J21:N21" si="10">J13/J17</f>
        <v>0.11053937152187675</v>
      </c>
      <c r="K21" s="46">
        <f t="shared" si="10"/>
        <v>0.11688667368043552</v>
      </c>
      <c r="L21" s="46">
        <f t="shared" si="10"/>
        <v>0.12148091143329712</v>
      </c>
      <c r="M21" s="46">
        <f t="shared" si="10"/>
        <v>0.12798653632143445</v>
      </c>
      <c r="N21" s="47">
        <f t="shared" si="10"/>
        <v>0.13390821763554178</v>
      </c>
    </row>
    <row r="22" spans="2:14" x14ac:dyDescent="0.2">
      <c r="B22" s="209" t="s">
        <v>54</v>
      </c>
      <c r="C22" s="20">
        <f t="shared" ref="C22:I22" si="11">C10/C19</f>
        <v>0.70921985815602839</v>
      </c>
      <c r="D22" s="20">
        <f t="shared" si="11"/>
        <v>0.54485049833887045</v>
      </c>
      <c r="E22" s="20">
        <f t="shared" si="11"/>
        <v>0.33333333333333331</v>
      </c>
      <c r="F22" s="20">
        <f t="shared" si="11"/>
        <v>0.42950108459869846</v>
      </c>
      <c r="G22" s="20">
        <f t="shared" si="11"/>
        <v>9.1024555461473325E-2</v>
      </c>
      <c r="H22" s="20">
        <f t="shared" si="11"/>
        <v>0.22390984811366976</v>
      </c>
      <c r="I22" s="20">
        <f t="shared" si="11"/>
        <v>0.25831805082525544</v>
      </c>
      <c r="J22" s="133">
        <f t="shared" ref="J22:N22" si="12">J10/J19</f>
        <v>0.25681949174744556</v>
      </c>
      <c r="K22" s="20">
        <f t="shared" si="12"/>
        <v>0.25681949174744556</v>
      </c>
      <c r="L22" s="20">
        <f t="shared" si="12"/>
        <v>0.25681949174744556</v>
      </c>
      <c r="M22" s="20">
        <f t="shared" si="12"/>
        <v>0.25681949174744562</v>
      </c>
      <c r="N22" s="22">
        <f t="shared" si="12"/>
        <v>0.25681949174744567</v>
      </c>
    </row>
    <row r="23" spans="2:14" ht="16" thickBot="1" x14ac:dyDescent="0.25">
      <c r="B23" s="213" t="s">
        <v>53</v>
      </c>
      <c r="C23" s="21">
        <f t="shared" ref="C23:I23" si="13">C10/C18</f>
        <v>0.1078167115902965</v>
      </c>
      <c r="D23" s="21">
        <f t="shared" si="13"/>
        <v>4.2597402597402599E-2</v>
      </c>
      <c r="E23" s="21">
        <f t="shared" si="13"/>
        <v>6.3773250664304698E-2</v>
      </c>
      <c r="F23" s="21">
        <f t="shared" si="13"/>
        <v>8.5547634478289045E-2</v>
      </c>
      <c r="G23" s="21">
        <f t="shared" si="13"/>
        <v>3.4175806707995547E-2</v>
      </c>
      <c r="H23" s="21">
        <f t="shared" si="13"/>
        <v>7.5907316668050825E-2</v>
      </c>
      <c r="I23" s="21">
        <f t="shared" si="13"/>
        <v>8.2891971416561586E-2</v>
      </c>
      <c r="J23" s="134">
        <f t="shared" ref="J23:N23" si="14">J10/J18</f>
        <v>8.2411097099621675E-2</v>
      </c>
      <c r="K23" s="21">
        <f t="shared" si="14"/>
        <v>8.2411097099621688E-2</v>
      </c>
      <c r="L23" s="21">
        <f t="shared" si="14"/>
        <v>8.2411097099621688E-2</v>
      </c>
      <c r="M23" s="21">
        <f t="shared" si="14"/>
        <v>8.2411097099621675E-2</v>
      </c>
      <c r="N23" s="23">
        <f t="shared" si="14"/>
        <v>8.2411097099621661E-2</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zoomScaleNormal="100" workbookViewId="0">
      <selection activeCell="T18" sqref="T18"/>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92"/>
      <c r="C2" s="295"/>
      <c r="D2" s="296"/>
      <c r="E2" s="296"/>
      <c r="F2" s="296"/>
      <c r="G2" s="296"/>
      <c r="H2" s="296"/>
      <c r="I2" s="296"/>
      <c r="J2" s="296"/>
      <c r="K2" s="296"/>
      <c r="L2" s="296"/>
      <c r="M2" s="296"/>
      <c r="N2" s="297"/>
      <c r="O2" s="1"/>
      <c r="P2" s="1"/>
      <c r="Q2" s="1"/>
      <c r="R2" s="1"/>
      <c r="S2" s="1"/>
      <c r="T2" s="1"/>
      <c r="U2" s="1"/>
      <c r="V2" s="1"/>
    </row>
    <row r="3" spans="2:22" ht="15" customHeight="1" x14ac:dyDescent="0.2">
      <c r="B3" s="293"/>
      <c r="C3" s="298"/>
      <c r="D3" s="299"/>
      <c r="E3" s="299"/>
      <c r="F3" s="299"/>
      <c r="G3" s="299"/>
      <c r="H3" s="299"/>
      <c r="I3" s="299"/>
      <c r="J3" s="299"/>
      <c r="K3" s="299"/>
      <c r="L3" s="299"/>
      <c r="M3" s="299"/>
      <c r="N3" s="300"/>
      <c r="O3" s="1"/>
      <c r="P3" s="1"/>
      <c r="Q3" s="1"/>
      <c r="R3" s="1"/>
      <c r="S3" s="1"/>
      <c r="T3" s="1"/>
      <c r="U3" s="1"/>
      <c r="V3" s="1"/>
    </row>
    <row r="4" spans="2:22" ht="15" customHeight="1" x14ac:dyDescent="0.2">
      <c r="B4" s="293"/>
      <c r="C4" s="298"/>
      <c r="D4" s="299"/>
      <c r="E4" s="299"/>
      <c r="F4" s="299"/>
      <c r="G4" s="299"/>
      <c r="H4" s="299"/>
      <c r="I4" s="299"/>
      <c r="J4" s="299"/>
      <c r="K4" s="299"/>
      <c r="L4" s="299"/>
      <c r="M4" s="299"/>
      <c r="N4" s="300"/>
      <c r="O4" s="1"/>
      <c r="P4" s="1"/>
      <c r="Q4" s="1"/>
      <c r="R4" s="1"/>
      <c r="S4" s="1"/>
      <c r="T4" s="1"/>
      <c r="U4" s="1"/>
      <c r="V4" s="1"/>
    </row>
    <row r="5" spans="2:22" ht="15" customHeight="1" x14ac:dyDescent="0.2">
      <c r="B5" s="293"/>
      <c r="C5" s="298"/>
      <c r="D5" s="299"/>
      <c r="E5" s="299"/>
      <c r="F5" s="299"/>
      <c r="G5" s="299"/>
      <c r="H5" s="299"/>
      <c r="I5" s="299"/>
      <c r="J5" s="299"/>
      <c r="K5" s="299"/>
      <c r="L5" s="299"/>
      <c r="M5" s="299"/>
      <c r="N5" s="300"/>
      <c r="O5" s="1"/>
      <c r="P5" s="1"/>
      <c r="Q5" s="1"/>
      <c r="R5" s="1"/>
      <c r="S5" s="1"/>
      <c r="T5" s="1"/>
      <c r="U5" s="1"/>
      <c r="V5" s="1"/>
    </row>
    <row r="6" spans="2:22" ht="15" customHeight="1" x14ac:dyDescent="0.2">
      <c r="B6" s="293"/>
      <c r="C6" s="298"/>
      <c r="D6" s="299"/>
      <c r="E6" s="299"/>
      <c r="F6" s="299"/>
      <c r="G6" s="299"/>
      <c r="H6" s="299"/>
      <c r="I6" s="299"/>
      <c r="J6" s="299"/>
      <c r="K6" s="299"/>
      <c r="L6" s="299"/>
      <c r="M6" s="299"/>
      <c r="N6" s="300"/>
      <c r="O6" s="1"/>
      <c r="P6" s="1"/>
      <c r="Q6" s="1"/>
      <c r="R6" s="1"/>
      <c r="S6" s="1"/>
      <c r="T6" s="1"/>
      <c r="U6" s="1"/>
      <c r="V6" s="1"/>
    </row>
    <row r="7" spans="2:22" ht="48.75" customHeight="1" thickBot="1" x14ac:dyDescent="0.25">
      <c r="B7" s="293"/>
      <c r="C7" s="298"/>
      <c r="D7" s="299"/>
      <c r="E7" s="299"/>
      <c r="F7" s="299"/>
      <c r="G7" s="299"/>
      <c r="H7" s="299"/>
      <c r="I7" s="299"/>
      <c r="J7" s="301"/>
      <c r="K7" s="301"/>
      <c r="L7" s="301"/>
      <c r="M7" s="301"/>
      <c r="N7" s="302"/>
      <c r="O7" s="1"/>
      <c r="P7" s="1"/>
      <c r="Q7" s="1"/>
      <c r="R7" s="1"/>
      <c r="S7" s="1"/>
      <c r="T7" s="1"/>
      <c r="U7" s="1"/>
      <c r="V7" s="1"/>
    </row>
    <row r="8" spans="2:22" ht="18.75" customHeight="1" thickBot="1" x14ac:dyDescent="0.25">
      <c r="B8" s="293"/>
      <c r="C8" s="33">
        <v>2014</v>
      </c>
      <c r="D8" s="33">
        <v>2015</v>
      </c>
      <c r="E8" s="33">
        <v>2016</v>
      </c>
      <c r="F8" s="33">
        <v>2017</v>
      </c>
      <c r="G8" s="33">
        <v>2018</v>
      </c>
      <c r="H8" s="33">
        <v>2019</v>
      </c>
      <c r="I8" s="33">
        <v>2020</v>
      </c>
      <c r="J8" s="102">
        <v>2021</v>
      </c>
      <c r="K8" s="103">
        <v>2022</v>
      </c>
      <c r="L8" s="103">
        <v>2023</v>
      </c>
      <c r="M8" s="103">
        <v>2024</v>
      </c>
      <c r="N8" s="104">
        <v>2025</v>
      </c>
      <c r="O8" s="217"/>
      <c r="P8" s="1"/>
      <c r="Q8" s="1"/>
      <c r="R8" s="1"/>
      <c r="S8" s="1"/>
      <c r="T8" s="1"/>
      <c r="U8" s="1"/>
      <c r="V8" s="1"/>
    </row>
    <row r="9" spans="2:22" ht="17" thickBot="1" x14ac:dyDescent="0.25">
      <c r="B9" s="114" t="s">
        <v>27</v>
      </c>
      <c r="C9" s="117"/>
      <c r="D9" s="30"/>
      <c r="E9" s="30"/>
      <c r="F9" s="30"/>
      <c r="G9" s="30"/>
      <c r="H9" s="30"/>
      <c r="I9" s="106"/>
      <c r="J9" s="30"/>
      <c r="K9" s="30"/>
      <c r="L9" s="30"/>
      <c r="M9" s="58"/>
      <c r="N9" s="118"/>
      <c r="O9" s="306" t="s">
        <v>14</v>
      </c>
      <c r="P9" s="307"/>
      <c r="Q9" s="15">
        <v>72</v>
      </c>
      <c r="R9" s="1"/>
      <c r="S9" s="1"/>
      <c r="T9" s="1"/>
      <c r="U9" s="1"/>
      <c r="V9" s="1"/>
    </row>
    <row r="10" spans="2:22" ht="16" x14ac:dyDescent="0.2">
      <c r="B10" s="62" t="s">
        <v>26</v>
      </c>
      <c r="C10" s="116"/>
      <c r="D10" s="107"/>
      <c r="E10" s="107"/>
      <c r="F10" s="107"/>
      <c r="G10" s="107"/>
      <c r="H10" s="107"/>
      <c r="I10" s="108">
        <f>$Q$9*'1.Income statement'!I27</f>
        <v>19152</v>
      </c>
      <c r="J10" s="107">
        <f>$Q$9*'1.Income statement'!J27</f>
        <v>19152</v>
      </c>
      <c r="K10" s="107">
        <f>$Q$9*'1.Income statement'!K27</f>
        <v>19152</v>
      </c>
      <c r="L10" s="107">
        <f>$Q$9*'1.Income statement'!L27</f>
        <v>19152</v>
      </c>
      <c r="M10" s="107">
        <f>$Q$9*'1.Income statement'!M27</f>
        <v>19152</v>
      </c>
      <c r="N10" s="119">
        <f>$Q$9*'1.Income statement'!N27</f>
        <v>19152</v>
      </c>
      <c r="O10" s="14"/>
      <c r="P10" s="14"/>
      <c r="Q10" s="14"/>
      <c r="R10" s="1"/>
      <c r="S10" s="1"/>
      <c r="T10" s="1"/>
      <c r="U10" s="1"/>
      <c r="V10" s="1"/>
    </row>
    <row r="11" spans="2:22" ht="16" x14ac:dyDescent="0.2">
      <c r="B11" s="62" t="s">
        <v>60</v>
      </c>
      <c r="C11" s="107">
        <f>'3.retornos capital'!C15-'3.retornos capital'!C14</f>
        <v>509</v>
      </c>
      <c r="D11" s="107">
        <f>'3.retornos capital'!D15-'3.retornos capital'!D14</f>
        <v>1745</v>
      </c>
      <c r="E11" s="107">
        <f>'3.retornos capital'!E15-'3.retornos capital'!E14</f>
        <v>2258</v>
      </c>
      <c r="F11" s="107">
        <f>'3.retornos capital'!F15-'3.retornos capital'!F14</f>
        <v>1943</v>
      </c>
      <c r="G11" s="107">
        <f>'3.retornos capital'!G15-'3.retornos capital'!G14</f>
        <v>8002</v>
      </c>
      <c r="H11" s="107">
        <f>'3.retornos capital'!H15-'3.retornos capital'!H14</f>
        <v>6925</v>
      </c>
      <c r="I11" s="108">
        <f>'3.retornos capital'!I15-'3.retornos capital'!I14</f>
        <v>6179</v>
      </c>
      <c r="J11" s="221">
        <v>5000</v>
      </c>
      <c r="K11" s="221">
        <v>4000</v>
      </c>
      <c r="L11" s="221">
        <v>3000</v>
      </c>
      <c r="M11" s="221">
        <v>2000</v>
      </c>
      <c r="N11" s="218">
        <v>1000</v>
      </c>
      <c r="O11" s="308"/>
      <c r="P11" s="308"/>
      <c r="Q11" s="14"/>
      <c r="R11" s="1"/>
      <c r="S11" s="1"/>
      <c r="T11" s="1"/>
      <c r="U11" s="1"/>
      <c r="V11" s="1"/>
    </row>
    <row r="12" spans="2:22" ht="16" x14ac:dyDescent="0.2">
      <c r="B12" s="110" t="s">
        <v>81</v>
      </c>
      <c r="C12" s="135">
        <f>C11/'1.Income statement'!C12</f>
        <v>1.6966666666666668</v>
      </c>
      <c r="D12" s="135">
        <f>D11/'1.Income statement'!D12</f>
        <v>5.5573248407643314</v>
      </c>
      <c r="E12" s="135">
        <f>E11/'1.Income statement'!E12</f>
        <v>4.3759689922480618</v>
      </c>
      <c r="F12" s="135">
        <f>F11/'1.Income statement'!F12</f>
        <v>3.0695102685624014</v>
      </c>
      <c r="G12" s="135">
        <f>G11/'1.Income statement'!G12</f>
        <v>8.3180873180873185</v>
      </c>
      <c r="H12" s="135">
        <f>H11/'1.Income statement'!H12</f>
        <v>4.0308498253783469</v>
      </c>
      <c r="I12" s="12">
        <f>I11/'1.Income statement'!I12</f>
        <v>3.5820289855072462</v>
      </c>
      <c r="J12" s="216">
        <f>J11/'1.Income statement'!J12</f>
        <v>2.7697086931184929</v>
      </c>
      <c r="K12" s="135">
        <f>K11/'1.Income statement'!K12</f>
        <v>2.1102542423759947</v>
      </c>
      <c r="L12" s="135">
        <f>L11/'1.Income statement'!L12</f>
        <v>1.5073244588399959</v>
      </c>
      <c r="M12" s="135">
        <f>M11/'1.Income statement'!M12</f>
        <v>0.9570314024380927</v>
      </c>
      <c r="N12" s="120">
        <f>N11/'1.Income statement'!N12</f>
        <v>0.45572923925623465</v>
      </c>
      <c r="O12" s="304"/>
      <c r="P12" s="304"/>
      <c r="Q12" s="14"/>
      <c r="R12" s="1"/>
      <c r="S12" s="1"/>
      <c r="T12" s="1"/>
      <c r="U12" s="1"/>
      <c r="V12" s="1"/>
    </row>
    <row r="13" spans="2:22" ht="16" x14ac:dyDescent="0.2">
      <c r="B13" s="110" t="s">
        <v>82</v>
      </c>
      <c r="C13" s="135">
        <f>C11/'3.retornos capital'!C17</f>
        <v>0.37815750371471024</v>
      </c>
      <c r="D13" s="135">
        <f>D11/'3.retornos capital'!D17</f>
        <v>0.82897862232779096</v>
      </c>
      <c r="E13" s="135">
        <f>E11/'3.retornos capital'!E17</f>
        <v>1</v>
      </c>
      <c r="F13" s="135">
        <f>F11/'3.retornos capital'!F17</f>
        <v>0.72338049143708116</v>
      </c>
      <c r="G13" s="135">
        <f>G11/'3.retornos capital'!G17</f>
        <v>1.7471615720524019</v>
      </c>
      <c r="H13" s="135">
        <f>H11/'3.retornos capital'!H17</f>
        <v>1.3535965598123534</v>
      </c>
      <c r="I13" s="135">
        <f>I11/'3.retornos capital'!I17</f>
        <v>1.081000699790063</v>
      </c>
      <c r="J13" s="216">
        <f>J11/'3.retornos capital'!J17</f>
        <v>0.83308340831084005</v>
      </c>
      <c r="K13" s="135">
        <f>K11/'3.retornos capital'!K17</f>
        <v>0.63473021585587808</v>
      </c>
      <c r="L13" s="135">
        <f>L11/'3.retornos capital'!L17</f>
        <v>0.45337872561134152</v>
      </c>
      <c r="M13" s="135">
        <f>M11/'3.retornos capital'!M17</f>
        <v>0.28785950832466128</v>
      </c>
      <c r="N13" s="135">
        <f>N11/'3.retornos capital'!N17</f>
        <v>0.1370759563450768</v>
      </c>
      <c r="O13" s="219"/>
      <c r="P13" s="194"/>
      <c r="Q13" s="14"/>
      <c r="R13" s="1"/>
      <c r="S13" s="1"/>
      <c r="T13" s="1"/>
      <c r="U13" s="1"/>
      <c r="V13" s="1"/>
    </row>
    <row r="14" spans="2:22" ht="16" x14ac:dyDescent="0.2">
      <c r="B14" s="111" t="s">
        <v>25</v>
      </c>
      <c r="C14" s="44"/>
      <c r="D14" s="44"/>
      <c r="E14" s="44"/>
      <c r="F14" s="44"/>
      <c r="G14" s="44"/>
      <c r="H14" s="44"/>
      <c r="I14" s="13">
        <f>I10+I11</f>
        <v>25331</v>
      </c>
      <c r="J14" s="44">
        <f t="shared" ref="J14:N14" si="0">J10+J11</f>
        <v>24152</v>
      </c>
      <c r="K14" s="44">
        <f t="shared" si="0"/>
        <v>23152</v>
      </c>
      <c r="L14" s="44">
        <f t="shared" si="0"/>
        <v>22152</v>
      </c>
      <c r="M14" s="44">
        <f t="shared" si="0"/>
        <v>21152</v>
      </c>
      <c r="N14" s="45">
        <f t="shared" si="0"/>
        <v>20152</v>
      </c>
      <c r="O14" s="303"/>
      <c r="P14" s="303"/>
      <c r="Q14" s="14"/>
      <c r="R14" s="1"/>
      <c r="S14" s="1"/>
      <c r="T14" s="1"/>
      <c r="U14" s="1"/>
      <c r="V14" s="1"/>
    </row>
    <row r="15" spans="2:22" ht="16" x14ac:dyDescent="0.2">
      <c r="B15" s="62" t="s">
        <v>6</v>
      </c>
      <c r="C15" s="107">
        <f>'1.Income statement'!C12</f>
        <v>300</v>
      </c>
      <c r="D15" s="107">
        <f>'1.Income statement'!D12</f>
        <v>314</v>
      </c>
      <c r="E15" s="107">
        <f>'1.Income statement'!E12</f>
        <v>516</v>
      </c>
      <c r="F15" s="107">
        <f>'1.Income statement'!F12</f>
        <v>633</v>
      </c>
      <c r="G15" s="107">
        <f>'1.Income statement'!G12</f>
        <v>962</v>
      </c>
      <c r="H15" s="215">
        <f>'1.Income statement'!H12</f>
        <v>1718</v>
      </c>
      <c r="I15" s="109">
        <f>'1.Income statement'!I12</f>
        <v>1725</v>
      </c>
      <c r="J15" s="107">
        <f>'1.Income statement'!J12</f>
        <v>1805.2439999999999</v>
      </c>
      <c r="K15" s="107">
        <f>'1.Income statement'!K12</f>
        <v>1895.5061999999998</v>
      </c>
      <c r="L15" s="107">
        <f>'1.Income statement'!L12</f>
        <v>1990.28151</v>
      </c>
      <c r="M15" s="107">
        <f>'1.Income statement'!M12</f>
        <v>2089.7955855</v>
      </c>
      <c r="N15" s="121">
        <f>'1.Income statement'!N12</f>
        <v>2194.2853647749998</v>
      </c>
      <c r="O15" s="304"/>
      <c r="P15" s="304"/>
      <c r="Q15" s="14"/>
      <c r="R15" s="1"/>
      <c r="S15" s="1"/>
      <c r="T15" s="1"/>
      <c r="U15" s="1"/>
      <c r="V15" s="1"/>
    </row>
    <row r="16" spans="2:22" ht="16" x14ac:dyDescent="0.2">
      <c r="B16" s="62" t="s">
        <v>11</v>
      </c>
      <c r="C16" s="107">
        <f>'1.Income statement'!C15</f>
        <v>200</v>
      </c>
      <c r="D16" s="107">
        <f>'1.Income statement'!D15</f>
        <v>164</v>
      </c>
      <c r="E16" s="107">
        <f>'1.Income statement'!E15</f>
        <v>288</v>
      </c>
      <c r="F16" s="107">
        <f>'1.Income statement'!F15</f>
        <v>396</v>
      </c>
      <c r="G16" s="107">
        <f>'1.Income statement'!G15</f>
        <v>430</v>
      </c>
      <c r="H16" s="107">
        <f>'1.Income statement'!H15</f>
        <v>914</v>
      </c>
      <c r="I16" s="108">
        <f>'1.Income statement'!I15</f>
        <v>986</v>
      </c>
      <c r="J16" s="107">
        <f>'1.Income statement'!J15</f>
        <v>1029.2939999999999</v>
      </c>
      <c r="K16" s="107">
        <f>'1.Income statement'!K15</f>
        <v>1080.7586999999999</v>
      </c>
      <c r="L16" s="107">
        <f>'1.Income statement'!L15</f>
        <v>1134.7966349999999</v>
      </c>
      <c r="M16" s="107">
        <f>'1.Income statement'!M15</f>
        <v>1191.5364667499998</v>
      </c>
      <c r="N16" s="119">
        <f>'1.Income statement'!N15</f>
        <v>1251.1132900874998</v>
      </c>
      <c r="O16" s="304"/>
      <c r="P16" s="304"/>
      <c r="Q16" s="14"/>
      <c r="R16" s="1"/>
      <c r="S16" s="1"/>
      <c r="T16" s="1"/>
      <c r="U16" s="1"/>
      <c r="V16" s="1"/>
    </row>
    <row r="17" spans="2:22" ht="16" x14ac:dyDescent="0.2">
      <c r="B17" s="62" t="s">
        <v>12</v>
      </c>
      <c r="C17" s="107">
        <f>'1.Income statement'!C24</f>
        <v>127</v>
      </c>
      <c r="D17" s="107">
        <f>'1.Income statement'!D24</f>
        <v>67</v>
      </c>
      <c r="E17" s="107">
        <f>'1.Income statement'!E24</f>
        <v>127</v>
      </c>
      <c r="F17" s="107">
        <f>'1.Income statement'!F24</f>
        <v>334</v>
      </c>
      <c r="G17" s="107">
        <f>'1.Income statement'!G24</f>
        <v>137</v>
      </c>
      <c r="H17" s="107">
        <f>'1.Income statement'!H24</f>
        <v>417</v>
      </c>
      <c r="I17" s="108">
        <f>'1.Income statement'!I24</f>
        <v>590</v>
      </c>
      <c r="J17" s="107">
        <f>'1.Income statement'!J24</f>
        <v>663.4351999999999</v>
      </c>
      <c r="K17" s="107">
        <f>'1.Income statement'!K24</f>
        <v>736.60695999999984</v>
      </c>
      <c r="L17" s="107">
        <f>'1.Income statement'!L24</f>
        <v>803.83730799999989</v>
      </c>
      <c r="M17" s="107">
        <f>'1.Income statement'!M24</f>
        <v>889.22917339999981</v>
      </c>
      <c r="N17" s="119">
        <f>'1.Income statement'!N24</f>
        <v>976.89063206999981</v>
      </c>
      <c r="O17" s="304"/>
      <c r="P17" s="304"/>
      <c r="Q17" s="14"/>
      <c r="R17" s="1"/>
      <c r="S17" s="1"/>
      <c r="T17" s="1"/>
      <c r="U17" s="1"/>
      <c r="V17" s="1"/>
    </row>
    <row r="18" spans="2:22" ht="16" x14ac:dyDescent="0.2">
      <c r="B18" s="62" t="s">
        <v>13</v>
      </c>
      <c r="C18" s="107">
        <f>'2.Flujos de caja'!C15</f>
        <v>209</v>
      </c>
      <c r="D18" s="107">
        <f>'2.Flujos de caja'!D15</f>
        <v>199</v>
      </c>
      <c r="E18" s="107">
        <f>'2.Flujos de caja'!E15</f>
        <v>318</v>
      </c>
      <c r="F18" s="107">
        <f>'2.Flujos de caja'!F15</f>
        <v>525</v>
      </c>
      <c r="G18" s="107">
        <f>'2.Flujos de caja'!G15</f>
        <v>580</v>
      </c>
      <c r="H18" s="107">
        <f>'2.Flujos de caja'!H15</f>
        <v>1091</v>
      </c>
      <c r="I18" s="108">
        <f>'2.Flujos de caja'!I15</f>
        <v>1222.5999999999999</v>
      </c>
      <c r="J18" s="107">
        <f>'2.Flujos de caja'!J15</f>
        <v>1327.6651999999999</v>
      </c>
      <c r="K18" s="107">
        <f>'2.Flujos de caja'!K15</f>
        <v>1434.0484599999997</v>
      </c>
      <c r="L18" s="107">
        <f>'2.Flujos de caja'!L15</f>
        <v>1536.150883</v>
      </c>
      <c r="M18" s="107">
        <f>'2.Flujos de caja'!M15</f>
        <v>1658.1584271500001</v>
      </c>
      <c r="N18" s="119">
        <f>'2.Flujos de caja'!N15</f>
        <v>1784.2663485074997</v>
      </c>
      <c r="O18" s="304"/>
      <c r="P18" s="304"/>
      <c r="Q18" s="5"/>
      <c r="R18" s="1"/>
      <c r="S18" s="1"/>
      <c r="T18" s="1"/>
      <c r="U18" s="1"/>
      <c r="V18" s="1"/>
    </row>
    <row r="19" spans="2:22" ht="17" thickBot="1" x14ac:dyDescent="0.25">
      <c r="B19" s="62"/>
      <c r="C19" s="116"/>
      <c r="D19" s="107"/>
      <c r="E19" s="107"/>
      <c r="F19" s="107"/>
      <c r="G19" s="107"/>
      <c r="H19" s="107"/>
      <c r="I19" s="108"/>
      <c r="J19" s="107"/>
      <c r="K19" s="107"/>
      <c r="L19" s="107"/>
      <c r="M19" s="107"/>
      <c r="N19" s="119"/>
      <c r="O19" s="19"/>
      <c r="P19" s="19"/>
      <c r="Q19" s="14"/>
      <c r="R19" s="1"/>
      <c r="S19" s="1"/>
      <c r="T19" s="1"/>
      <c r="U19" s="1"/>
      <c r="V19" s="1"/>
    </row>
    <row r="20" spans="2:22" ht="17" thickBot="1" x14ac:dyDescent="0.25">
      <c r="B20" s="126"/>
      <c r="C20" s="127" t="s">
        <v>49</v>
      </c>
      <c r="D20" s="125" t="s">
        <v>50</v>
      </c>
      <c r="E20" s="112"/>
      <c r="F20" s="112"/>
      <c r="G20" s="112"/>
      <c r="H20" s="112"/>
      <c r="I20" s="113"/>
      <c r="J20" s="112"/>
      <c r="K20" s="112"/>
      <c r="L20" s="112"/>
      <c r="M20" s="112"/>
      <c r="N20" s="122"/>
      <c r="O20" s="305"/>
      <c r="P20" s="305"/>
      <c r="Q20" s="5"/>
      <c r="R20" s="1"/>
      <c r="S20" s="1"/>
      <c r="T20" s="1"/>
      <c r="U20" s="1"/>
      <c r="V20" s="1"/>
    </row>
    <row r="21" spans="2:22" ht="20" thickBot="1" x14ac:dyDescent="0.25">
      <c r="B21" s="25" t="s">
        <v>21</v>
      </c>
      <c r="C21" s="115">
        <f>(L21/$Q$9)^(1/3)-1</f>
        <v>-5.6675008128968973E-2</v>
      </c>
      <c r="D21" s="115">
        <f>(N21/$Q$9)^(1/5)-1</f>
        <v>3.9968760739721443E-3</v>
      </c>
      <c r="E21" s="58"/>
      <c r="F21" s="6" t="s">
        <v>58</v>
      </c>
      <c r="G21" s="6"/>
      <c r="H21" s="6"/>
      <c r="I21" s="240">
        <f>IF(--I11&lt;0,(I17*$Q$21-I11),IF(--I11&gt;0,I17*$Q$21))/'1.Income statement'!I27</f>
        <v>44.360902255639097</v>
      </c>
      <c r="J21" s="241">
        <f>IF(J11&lt;0,J17*$Q$21-J11,IF(J11=0,J17*$Q$21,IF(J11&gt;0,J17*$Q$21)))/'1.Income statement'!J27</f>
        <v>49.882345864661644</v>
      </c>
      <c r="K21" s="241">
        <f>IF(K11&lt;0,K17*$Q$21-K11,IF(K11=0,K17*$Q$21,IF(K11&gt;0,K17*$Q$21)))/'1.Income statement'!K27</f>
        <v>55.383981954887211</v>
      </c>
      <c r="L21" s="241">
        <f>IF(L11&lt;0,L17*$Q$21-L11,IF(L11=0,L17*$Q$21,IF(L11&gt;0,L17*$Q$21)))/'1.Income statement'!L27</f>
        <v>60.438895338345858</v>
      </c>
      <c r="M21" s="241">
        <f>IF(M11&lt;0,M17*$Q$21-M11,IF(M11=0,M17*$Q$21,IF(M11&gt;0,M17*$Q$21)))/'1.Income statement'!M27</f>
        <v>66.859336345864648</v>
      </c>
      <c r="N21" s="241">
        <f>IF(N11&lt;0,N17*$Q$21-N11,IF(N11=0,N17*$Q$21,IF(N11&gt;0,N17*$Q$21)))/'1.Income statement'!N27</f>
        <v>73.450423463909758</v>
      </c>
      <c r="O21" s="248" t="s">
        <v>28</v>
      </c>
      <c r="P21" s="128"/>
      <c r="Q21" s="9">
        <v>20</v>
      </c>
      <c r="R21" s="1"/>
      <c r="S21" s="1"/>
      <c r="T21" s="1"/>
      <c r="U21" s="1"/>
      <c r="V21" s="1"/>
    </row>
    <row r="22" spans="2:22" ht="20" thickBot="1" x14ac:dyDescent="0.25">
      <c r="B22" s="25" t="s">
        <v>22</v>
      </c>
      <c r="C22" s="105">
        <f t="shared" ref="C22:C24" si="1">(L22/$Q$9)^(1/3)-1</f>
        <v>0.17062172346838222</v>
      </c>
      <c r="D22" s="105">
        <f t="shared" ref="D22:D24" si="2">(N22/$Q$9)^(1/5)-1</f>
        <v>0.13254406742164559</v>
      </c>
      <c r="E22" s="58"/>
      <c r="F22" s="7" t="s">
        <v>57</v>
      </c>
      <c r="G22" s="58"/>
      <c r="H22" s="58"/>
      <c r="I22" s="240">
        <f>IF(--I11&lt;0,(I18*$Q$22-I11),IF(--I11&gt;0,I18*$Q$22))/'1.Income statement'!I27</f>
        <v>91.924812030075188</v>
      </c>
      <c r="J22" s="241">
        <f>IF(J11&lt;0,J18*$Q$22-J11,IF(J11=0,J18*$Q$22,IF(J11&gt;0,J18*$Q$22)))/'1.Income statement'!J27</f>
        <v>99.824451127819529</v>
      </c>
      <c r="K22" s="241">
        <f>IF(K11&lt;0,K18*$Q$22-K11,IF(K11=0,K18*$Q$22,IF(K11&gt;0,K18*$Q$22)))/'1.Income statement'!K27</f>
        <v>107.82319248120299</v>
      </c>
      <c r="L22" s="241">
        <f>IF(L11&lt;0,L18*$Q$22-L11,IF(L11=0,L18*$Q$22,IF(L11&gt;0,L18*$Q$22)))/'1.Income statement'!L27</f>
        <v>115.50006639097745</v>
      </c>
      <c r="M22" s="241">
        <f>IF(M11&lt;0,M18*$Q$22-M11,IF(M11=0,M18*$Q$22,IF(M11&gt;0,M18*$Q$22)))/'1.Income statement'!M27</f>
        <v>124.67356595112781</v>
      </c>
      <c r="N22" s="241">
        <f>IF(N11&lt;0,N18*$Q$22-N11,IF(N11=0,N18*$Q$22,IF(N11&gt;0,N18*$Q$22)))/'1.Income statement'!N27</f>
        <v>134.15536454943609</v>
      </c>
      <c r="O22" s="309" t="s">
        <v>29</v>
      </c>
      <c r="P22" s="310"/>
      <c r="Q22" s="9">
        <v>20</v>
      </c>
      <c r="R22" s="1"/>
      <c r="S22" s="1"/>
      <c r="T22" s="1"/>
      <c r="U22" s="1"/>
      <c r="V22" s="1"/>
    </row>
    <row r="23" spans="2:22" ht="20" thickBot="1" x14ac:dyDescent="0.25">
      <c r="B23" s="25" t="s">
        <v>23</v>
      </c>
      <c r="C23" s="105">
        <f t="shared" si="1"/>
        <v>0.11926472700689272</v>
      </c>
      <c r="D23" s="105">
        <f t="shared" si="2"/>
        <v>0.10752664894246844</v>
      </c>
      <c r="E23" s="58"/>
      <c r="F23" s="7" t="s">
        <v>19</v>
      </c>
      <c r="G23" s="58"/>
      <c r="H23" s="58"/>
      <c r="I23" s="242">
        <f>((I15*$Q$23)-I11)/'1.Income statement'!I27</f>
        <v>74.045112781954884</v>
      </c>
      <c r="J23" s="243">
        <f>((J15*$Q$23)-J11)/'1.Income statement'!J27</f>
        <v>83.00248120300752</v>
      </c>
      <c r="K23" s="243">
        <f>((K15*$Q$23)-K11)/'1.Income statement'!K27</f>
        <v>91.851853383458632</v>
      </c>
      <c r="L23" s="243">
        <f>((L15*$Q$23)-L11)/'1.Income statement'!L27</f>
        <v>100.9557242481203</v>
      </c>
      <c r="M23" s="243">
        <f>((M15*$Q$23)-M11)/'1.Income statement'!M27</f>
        <v>110.32681873120301</v>
      </c>
      <c r="N23" s="244">
        <f>((N15*$Q$23)-N11)/'1.Income statement'!N27</f>
        <v>119.9784980136278</v>
      </c>
      <c r="O23" s="294" t="s">
        <v>30</v>
      </c>
      <c r="P23" s="294"/>
      <c r="Q23" s="9">
        <v>15</v>
      </c>
      <c r="R23" s="1"/>
      <c r="S23" s="1"/>
      <c r="T23" s="1"/>
      <c r="U23" s="1"/>
      <c r="V23" s="1"/>
    </row>
    <row r="24" spans="2:22" ht="20" thickBot="1" x14ac:dyDescent="0.25">
      <c r="B24" s="26" t="s">
        <v>24</v>
      </c>
      <c r="C24" s="105">
        <f t="shared" si="1"/>
        <v>9.3787082475225159E-3</v>
      </c>
      <c r="D24" s="105">
        <f t="shared" si="2"/>
        <v>4.6357199888559686E-2</v>
      </c>
      <c r="E24" s="123"/>
      <c r="F24" s="124" t="s">
        <v>20</v>
      </c>
      <c r="G24" s="123"/>
      <c r="H24" s="123"/>
      <c r="I24" s="245">
        <f>((I16*$Q$24)-I11)/'1.Income statement'!I27</f>
        <v>50.906015037593988</v>
      </c>
      <c r="J24" s="246">
        <f>((J16*$Q$24)-J11)/'1.Income statement'!J27</f>
        <v>58.593533834586459</v>
      </c>
      <c r="K24" s="246">
        <f>((K16*$Q$24)-K11)/'1.Income statement'!K27</f>
        <v>66.222458646616545</v>
      </c>
      <c r="L24" s="246">
        <f>((L16*$Q$24)-L11)/'1.Income statement'!L27</f>
        <v>74.044859774436077</v>
      </c>
      <c r="M24" s="246">
        <f>((M16*$Q$24)-M11)/'1.Income statement'!M27</f>
        <v>82.070411033834574</v>
      </c>
      <c r="N24" s="247">
        <f>((N16*$Q$24)-N11)/'1.Income statement'!N27</f>
        <v>90.309269931390958</v>
      </c>
      <c r="O24" s="294" t="s">
        <v>31</v>
      </c>
      <c r="P24" s="294"/>
      <c r="Q24" s="9">
        <v>20</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7" t="s">
        <v>71</v>
      </c>
      <c r="C3" s="164"/>
      <c r="D3" s="164"/>
      <c r="E3" s="164"/>
      <c r="F3" s="164"/>
      <c r="G3" s="164"/>
    </row>
    <row r="4" spans="2:9" ht="46.5" customHeight="1" x14ac:dyDescent="0.2">
      <c r="B4" s="166" t="s">
        <v>59</v>
      </c>
      <c r="C4" s="161"/>
      <c r="D4" s="161"/>
      <c r="E4" s="150"/>
      <c r="F4" s="161"/>
      <c r="G4" s="161"/>
      <c r="H4" s="161"/>
      <c r="I4" s="165"/>
    </row>
    <row r="5" spans="2:9" ht="21" customHeight="1" x14ac:dyDescent="0.2">
      <c r="B5" s="162"/>
      <c r="C5" s="161"/>
      <c r="D5" s="161"/>
      <c r="E5" s="161"/>
      <c r="F5" s="161"/>
      <c r="G5" s="161"/>
      <c r="H5" s="161"/>
      <c r="I5" s="165"/>
    </row>
    <row r="6" spans="2:9" ht="21" customHeight="1" x14ac:dyDescent="0.2">
      <c r="B6" s="311" t="s">
        <v>72</v>
      </c>
      <c r="C6" s="311"/>
      <c r="D6" s="311"/>
      <c r="E6" s="311"/>
      <c r="F6" s="311"/>
      <c r="G6" s="311"/>
      <c r="H6" s="311"/>
      <c r="I6" s="311"/>
    </row>
    <row r="7" spans="2:9" ht="21" customHeight="1" thickBot="1" x14ac:dyDescent="0.3">
      <c r="B7" s="153"/>
      <c r="C7" s="153"/>
      <c r="D7" s="153"/>
      <c r="E7" s="153"/>
      <c r="F7" s="153"/>
      <c r="G7" s="153"/>
      <c r="H7" s="153"/>
      <c r="I7" s="153"/>
    </row>
    <row r="8" spans="2:9" ht="57" customHeight="1" thickBot="1" x14ac:dyDescent="0.3">
      <c r="B8" s="170" t="s">
        <v>73</v>
      </c>
      <c r="C8" s="153"/>
      <c r="D8" s="153"/>
      <c r="E8" s="153"/>
      <c r="F8" s="153"/>
      <c r="G8" s="153"/>
      <c r="H8" s="153"/>
      <c r="I8" s="153"/>
    </row>
    <row r="9" spans="2:9" s="150" customFormat="1" ht="21" customHeight="1" x14ac:dyDescent="0.2">
      <c r="B9" s="158" t="s">
        <v>61</v>
      </c>
      <c r="C9" s="155"/>
      <c r="D9" s="155"/>
      <c r="E9" s="155"/>
      <c r="F9" s="155"/>
      <c r="G9" s="155"/>
      <c r="H9" s="155"/>
      <c r="I9" s="155"/>
    </row>
    <row r="10" spans="2:9" s="150" customFormat="1" ht="21" customHeight="1" x14ac:dyDescent="0.2">
      <c r="B10" s="156" t="s">
        <v>66</v>
      </c>
      <c r="C10" s="155"/>
      <c r="D10" s="155"/>
      <c r="E10" s="155"/>
      <c r="F10" s="155"/>
      <c r="G10" s="155"/>
      <c r="H10" s="155"/>
      <c r="I10" s="155"/>
    </row>
    <row r="11" spans="2:9" s="150" customFormat="1" ht="21" customHeight="1" x14ac:dyDescent="0.2">
      <c r="B11" s="156" t="s">
        <v>62</v>
      </c>
      <c r="C11" s="155"/>
      <c r="D11" s="155"/>
      <c r="E11" s="155"/>
      <c r="F11" s="155"/>
      <c r="G11" s="155"/>
      <c r="H11" s="155"/>
      <c r="I11" s="155"/>
    </row>
    <row r="12" spans="2:9" s="150" customFormat="1" ht="21" customHeight="1" x14ac:dyDescent="0.2">
      <c r="B12" s="156" t="s">
        <v>63</v>
      </c>
      <c r="C12" s="155"/>
      <c r="D12" s="155"/>
      <c r="E12" s="155"/>
      <c r="F12" s="155"/>
      <c r="G12" s="155"/>
      <c r="H12" s="155"/>
      <c r="I12" s="155"/>
    </row>
    <row r="13" spans="2:9" s="150" customFormat="1" ht="21" customHeight="1" x14ac:dyDescent="0.2">
      <c r="B13" s="156" t="s">
        <v>65</v>
      </c>
      <c r="C13" s="155"/>
      <c r="D13" s="155"/>
      <c r="E13" s="155"/>
      <c r="F13" s="155"/>
      <c r="G13" s="155"/>
      <c r="H13" s="155"/>
      <c r="I13" s="155"/>
    </row>
    <row r="14" spans="2:9" s="150" customFormat="1" ht="21" customHeight="1" x14ac:dyDescent="0.2">
      <c r="B14" s="156" t="s">
        <v>79</v>
      </c>
      <c r="C14" s="155"/>
      <c r="D14" s="155"/>
      <c r="E14" s="155"/>
      <c r="F14" s="155"/>
      <c r="G14" s="155"/>
      <c r="H14" s="155"/>
      <c r="I14" s="155"/>
    </row>
    <row r="15" spans="2:9" s="150" customFormat="1" ht="18" customHeight="1" x14ac:dyDescent="0.2">
      <c r="B15" s="312" t="s">
        <v>64</v>
      </c>
      <c r="C15" s="155"/>
      <c r="D15" s="155"/>
      <c r="E15" s="155"/>
      <c r="F15" s="155"/>
      <c r="G15" s="155"/>
      <c r="H15" s="155"/>
      <c r="I15" s="155"/>
    </row>
    <row r="16" spans="2:9" s="150" customFormat="1" ht="39" customHeight="1" thickBot="1" x14ac:dyDescent="0.25">
      <c r="B16" s="313"/>
      <c r="C16" s="155"/>
      <c r="D16" s="155"/>
      <c r="E16" s="155"/>
      <c r="F16" s="155"/>
      <c r="G16" s="155"/>
      <c r="H16" s="155"/>
      <c r="I16" s="155"/>
    </row>
    <row r="17" spans="2:9" s="150" customFormat="1" ht="57" customHeight="1" thickBot="1" x14ac:dyDescent="0.25">
      <c r="B17" s="171" t="s">
        <v>74</v>
      </c>
      <c r="C17" s="151"/>
      <c r="D17" s="151"/>
      <c r="E17" s="151"/>
      <c r="F17" s="151"/>
      <c r="G17" s="151"/>
      <c r="H17" s="151"/>
      <c r="I17" s="151"/>
    </row>
    <row r="18" spans="2:9" s="150" customFormat="1" ht="23.25" customHeight="1" thickBot="1" x14ac:dyDescent="0.25">
      <c r="B18" s="168" t="s">
        <v>77</v>
      </c>
      <c r="C18" s="154"/>
      <c r="D18" s="154"/>
      <c r="E18" s="154"/>
      <c r="F18" s="154"/>
      <c r="G18" s="154"/>
      <c r="H18" s="154"/>
      <c r="I18" s="154"/>
    </row>
    <row r="19" spans="2:9" ht="57" customHeight="1" thickBot="1" x14ac:dyDescent="0.25">
      <c r="B19" s="171" t="s">
        <v>75</v>
      </c>
      <c r="C19" s="154"/>
      <c r="D19" s="154"/>
      <c r="E19" s="154"/>
      <c r="F19" s="154"/>
      <c r="G19" s="154"/>
      <c r="H19" s="154"/>
      <c r="I19" s="154"/>
    </row>
    <row r="20" spans="2:9" ht="21" customHeight="1" x14ac:dyDescent="0.2">
      <c r="B20" s="314" t="s">
        <v>67</v>
      </c>
      <c r="C20" s="150"/>
      <c r="D20" s="150"/>
      <c r="E20" s="150"/>
      <c r="F20" s="150"/>
      <c r="G20" s="150"/>
      <c r="H20" s="150"/>
      <c r="I20" s="150"/>
    </row>
    <row r="21" spans="2:9" ht="21" customHeight="1" x14ac:dyDescent="0.2">
      <c r="B21" s="312"/>
      <c r="C21" s="154"/>
      <c r="D21" s="154"/>
      <c r="E21" s="154"/>
      <c r="F21" s="154"/>
      <c r="G21" s="154"/>
      <c r="H21" s="154"/>
      <c r="I21" s="154"/>
    </row>
    <row r="22" spans="2:9" ht="33" customHeight="1" thickBot="1" x14ac:dyDescent="0.25">
      <c r="B22" s="313"/>
      <c r="C22" s="154"/>
      <c r="D22" s="154"/>
      <c r="E22" s="154"/>
      <c r="F22" s="154"/>
      <c r="G22" s="154"/>
      <c r="H22" s="154"/>
      <c r="I22" s="154"/>
    </row>
    <row r="23" spans="2:9" ht="57" customHeight="1" thickBot="1" x14ac:dyDescent="0.25">
      <c r="B23" s="171" t="s">
        <v>76</v>
      </c>
      <c r="C23" s="154"/>
      <c r="D23" s="154"/>
      <c r="E23" s="154"/>
      <c r="F23" s="154"/>
      <c r="G23" s="154"/>
      <c r="H23" s="154"/>
      <c r="I23" s="154"/>
    </row>
    <row r="24" spans="2:9" ht="35.25" customHeight="1" x14ac:dyDescent="0.2">
      <c r="B24" s="158" t="s">
        <v>78</v>
      </c>
      <c r="C24" s="154"/>
      <c r="D24" s="154"/>
      <c r="E24" s="154"/>
      <c r="F24" s="154"/>
      <c r="G24" s="154"/>
      <c r="H24" s="154"/>
      <c r="I24" s="154"/>
    </row>
    <row r="25" spans="2:9" ht="72" customHeight="1" thickBot="1" x14ac:dyDescent="0.25">
      <c r="B25" s="157" t="s">
        <v>68</v>
      </c>
      <c r="C25" s="154"/>
      <c r="D25" s="154"/>
      <c r="E25" s="154"/>
      <c r="F25" s="154"/>
      <c r="G25" s="154"/>
      <c r="H25" s="154"/>
      <c r="I25" s="154"/>
    </row>
    <row r="26" spans="2:9" ht="26.25" customHeight="1" x14ac:dyDescent="0.2">
      <c r="B26" s="160"/>
      <c r="C26" s="154"/>
      <c r="D26" s="154"/>
      <c r="E26" s="154"/>
      <c r="F26" s="154"/>
      <c r="G26" s="154"/>
      <c r="H26" s="154"/>
      <c r="I26" s="154"/>
    </row>
    <row r="27" spans="2:9" ht="21" x14ac:dyDescent="0.25">
      <c r="B27" s="169" t="s">
        <v>70</v>
      </c>
      <c r="C27" s="159"/>
      <c r="D27" s="159"/>
      <c r="E27" s="159"/>
    </row>
    <row r="28" spans="2:9" ht="61.5" customHeight="1" x14ac:dyDescent="0.2">
      <c r="B28" s="163" t="s">
        <v>69</v>
      </c>
      <c r="C28" s="161"/>
      <c r="D28" s="161"/>
      <c r="E28" s="161"/>
      <c r="F28" s="161"/>
      <c r="G28" s="161"/>
      <c r="H28" s="161"/>
      <c r="I28" s="161"/>
    </row>
    <row r="29" spans="2:9" ht="28.5" customHeight="1" x14ac:dyDescent="0.2">
      <c r="B29" s="315"/>
      <c r="C29" s="315"/>
      <c r="D29" s="315"/>
      <c r="E29" s="315"/>
      <c r="F29" s="31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2021-04-20T01:24:06Z</dcterms:modified>
</cp:coreProperties>
</file>