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253E745A-3E1C-6A4B-96FB-F2757E218AEF}" xr6:coauthVersionLast="46" xr6:coauthVersionMax="46" xr10:uidLastSave="{00000000-0000-0000-0000-000000000000}"/>
  <bookViews>
    <workbookView xWindow="22200" yWindow="620" windowWidth="20640" windowHeight="1576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3" l="1"/>
  <c r="G15" i="3"/>
  <c r="H15" i="3"/>
  <c r="I15" i="3"/>
  <c r="H19" i="1" l="1"/>
  <c r="H21" i="1" s="1"/>
  <c r="G19" i="1"/>
  <c r="G21" i="1" s="1"/>
  <c r="F19" i="1"/>
  <c r="F21" i="1" s="1"/>
  <c r="E19" i="1"/>
  <c r="E21" i="1" s="1"/>
  <c r="D19" i="1"/>
  <c r="D21" i="1" s="1"/>
  <c r="C19" i="1"/>
  <c r="C22" i="1" s="1"/>
  <c r="C24" i="1" s="1"/>
  <c r="H16" i="1"/>
  <c r="G16" i="1"/>
  <c r="F16" i="1"/>
  <c r="E16" i="1"/>
  <c r="D16" i="1"/>
  <c r="C16" i="1"/>
  <c r="C13" i="1"/>
  <c r="H12" i="1"/>
  <c r="H13" i="1" s="1"/>
  <c r="G12" i="1"/>
  <c r="G13" i="1" s="1"/>
  <c r="F12" i="1"/>
  <c r="F13" i="1" s="1"/>
  <c r="E12" i="1"/>
  <c r="E13" i="1" s="1"/>
  <c r="D12" i="1"/>
  <c r="D13" i="1" s="1"/>
  <c r="C12" i="1"/>
  <c r="H11" i="1"/>
  <c r="G11" i="1"/>
  <c r="F11" i="1"/>
  <c r="E11" i="1"/>
  <c r="D11" i="1"/>
  <c r="C11" i="1"/>
  <c r="C21" i="1" l="1"/>
  <c r="D22" i="1"/>
  <c r="D24" i="1" s="1"/>
  <c r="D25" i="1" s="1"/>
  <c r="E22" i="1"/>
  <c r="E24" i="1" s="1"/>
  <c r="E25" i="1" s="1"/>
  <c r="C25" i="1"/>
  <c r="C26" i="1"/>
  <c r="F22" i="1"/>
  <c r="F24" i="1" s="1"/>
  <c r="G22" i="1"/>
  <c r="G24" i="1" s="1"/>
  <c r="H22" i="1"/>
  <c r="H24" i="1" s="1"/>
  <c r="E26" i="1" l="1"/>
  <c r="D26" i="1"/>
  <c r="H26" i="1"/>
  <c r="H25" i="1"/>
  <c r="G26" i="1"/>
  <c r="G25" i="1"/>
  <c r="F25" i="1"/>
  <c r="F26" i="1"/>
  <c r="I18" i="3"/>
  <c r="D18" i="3"/>
  <c r="E18" i="3"/>
  <c r="F18" i="3"/>
  <c r="G18" i="3"/>
  <c r="H18" i="3"/>
  <c r="C18" i="3"/>
  <c r="I12" i="1" l="1"/>
  <c r="J10" i="1" l="1"/>
  <c r="J11" i="1"/>
  <c r="E14" i="2" l="1"/>
  <c r="F14" i="2"/>
  <c r="G14" i="2"/>
  <c r="H14" i="2"/>
  <c r="I14" i="2"/>
  <c r="D14" i="2"/>
  <c r="C14" i="2"/>
  <c r="J11" i="2" l="1"/>
  <c r="H11" i="5" l="1"/>
  <c r="I10" i="5"/>
  <c r="I11" i="5"/>
  <c r="I13" i="5" s="1"/>
  <c r="I16" i="5"/>
  <c r="I19" i="3"/>
  <c r="I10" i="3"/>
  <c r="I11" i="3"/>
  <c r="I12" i="3"/>
  <c r="J14" i="1"/>
  <c r="K14" i="1" s="1"/>
  <c r="L14" i="1" s="1"/>
  <c r="M14" i="1" s="1"/>
  <c r="N14"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J15" i="1"/>
  <c r="K11" i="1"/>
  <c r="L11" i="1"/>
  <c r="M11" i="1"/>
  <c r="N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L22" i="1"/>
  <c r="L24" i="1" s="1"/>
  <c r="L12" i="3"/>
  <c r="K17" i="5"/>
  <c r="K21" i="5" s="1"/>
  <c r="K13" i="3"/>
  <c r="K21" i="3" s="1"/>
  <c r="M22" i="1"/>
  <c r="M24" i="1" s="1"/>
  <c r="M12" i="3"/>
  <c r="J22" i="1"/>
  <c r="J24" i="1" s="1"/>
  <c r="J12" i="3"/>
  <c r="K26" i="1"/>
  <c r="K25" i="1"/>
  <c r="N24" i="1"/>
  <c r="J13" i="2"/>
  <c r="J15" i="2" s="1"/>
  <c r="M13" i="2"/>
  <c r="M15" i="2" s="1"/>
  <c r="L13" i="2"/>
  <c r="L15" i="2" s="1"/>
  <c r="N22" i="5" l="1"/>
  <c r="D22" i="5" s="1"/>
  <c r="K16" i="2"/>
  <c r="N16"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6" i="2"/>
  <c r="M16" i="2"/>
  <c r="L16"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9CD004A6-D3A0-429D-A576-534D558B5DF1}">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DC7CC4-66EB-46C5-AFC8-D24D55CF612D}">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rgb="FF000000"/>
            <rFont val="Tahoma"/>
            <family val="2"/>
          </rPr>
          <t>Author:</t>
        </r>
        <r>
          <rPr>
            <sz val="9"/>
            <color rgb="FF000000"/>
            <rFont val="Tahoma"/>
            <family val="2"/>
          </rPr>
          <t xml:space="preserve">
</t>
        </r>
        <r>
          <rPr>
            <sz val="9"/>
            <color rgb="FF000000"/>
            <rFont val="Tahoma"/>
            <family val="2"/>
          </rPr>
          <t xml:space="preserve">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<sst xmlns="http://schemas.openxmlformats.org/spreadsheetml/2006/main" count="89" uniqueCount="83">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</sst>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809]* #,##0_-;\-[$$-2809]* #,##0_-;_-[$$-2809]*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1">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16">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8" fillId="4" borderId="0" xfId="0" applyNumberFormat="1" applyFont="1" applyFill="1" applyBorder="1" applyAlignment="1">
      <alignment horizontal="center" vertical="center" wrapText="1"/>
    </xf>
    <xf numFmtId="166" fontId="8" fillId="4" borderId="12" xfId="0" applyNumberFormat="1" applyFon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5" xfId="0" applyFont="1" applyFill="1" applyBorder="1" applyAlignment="1">
      <alignment horizontal="center" vertical="center" wrapText="1"/>
    </xf>
    <xf numFmtId="40" fontId="17" fillId="4" borderId="17"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165" fontId="17" fillId="5" borderId="31"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5" fontId="15" fillId="4" borderId="30"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8" xfId="0" applyNumberFormat="1" applyFont="1" applyFill="1" applyBorder="1" applyAlignment="1" applyProtection="1">
      <alignment horizontal="left" vertical="center"/>
    </xf>
    <xf numFmtId="2" fontId="19" fillId="4" borderId="38" xfId="0" applyNumberFormat="1" applyFont="1" applyFill="1" applyBorder="1" applyAlignment="1" applyProtection="1">
      <alignment horizontal="left" vertical="center"/>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0" xfId="0" applyNumberFormat="1" applyFont="1" applyFill="1" applyBorder="1" applyAlignment="1" applyProtection="1">
      <alignment horizontal="center" vertical="center"/>
    </xf>
    <xf numFmtId="38" fontId="17" fillId="5" borderId="36" xfId="0"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37" xfId="0" applyNumberFormat="1" applyFont="1" applyFill="1" applyBorder="1" applyAlignment="1">
      <alignment horizontal="center" vertical="center"/>
    </xf>
    <xf numFmtId="165" fontId="17" fillId="5" borderId="30"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165"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2" applyNumberFormat="1" applyFont="1" applyFill="1" applyBorder="1" applyAlignment="1">
      <alignment horizontal="center" vertical="center" wrapText="1"/>
    </xf>
    <xf numFmtId="168" fontId="13" fillId="4" borderId="0" xfId="2" applyNumberFormat="1" applyFont="1" applyFill="1" applyBorder="1" applyAlignment="1">
      <alignment horizontal="center" vertical="center" wrapText="1"/>
    </xf>
    <xf numFmtId="168" fontId="13" fillId="4" borderId="9" xfId="2" applyNumberFormat="1" applyFont="1" applyFill="1" applyBorder="1" applyAlignment="1">
      <alignment horizontal="left"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39"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0" fontId="8" fillId="4" borderId="6" xfId="0" applyFont="1" applyFill="1" applyBorder="1" applyAlignment="1">
      <alignment vertical="center"/>
    </xf>
    <xf numFmtId="9" fontId="23" fillId="4" borderId="8" xfId="1" applyFont="1" applyFill="1" applyBorder="1" applyAlignment="1">
      <alignment horizontal="center" vertical="center"/>
    </xf>
    <xf numFmtId="165" fontId="15" fillId="4" borderId="0" xfId="0" applyNumberFormat="1" applyFont="1" applyFill="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0" xfId="1" applyFont="1" applyFill="1" applyAlignment="1">
      <alignment horizontal="center" vertical="center"/>
    </xf>
    <xf numFmtId="40" fontId="15" fillId="4" borderId="0" xfId="0" applyNumberFormat="1" applyFont="1" applyFill="1" applyAlignment="1">
      <alignment horizontal="center" vertical="center"/>
    </xf>
    <xf numFmtId="165" fontId="15" fillId="4" borderId="30" xfId="0" applyNumberFormat="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19"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2" fontId="4" fillId="4" borderId="15" xfId="0" applyNumberFormat="1" applyFont="1" applyFill="1" applyBorder="1" applyAlignment="1" applyProtection="1">
      <alignment vertical="center"/>
    </xf>
    <xf numFmtId="166" fontId="0" fillId="5" borderId="31" xfId="0" applyNumberFormat="1" applyFill="1" applyBorder="1" applyAlignment="1">
      <alignment horizontal="center" vertical="center" wrapText="1"/>
    </xf>
    <xf numFmtId="40" fontId="0" fillId="5" borderId="23" xfId="0" applyNumberFormat="1" applyFont="1" applyFill="1" applyBorder="1" applyAlignment="1">
      <alignment horizontal="center" vertical="center" wrapText="1"/>
    </xf>
    <xf numFmtId="166" fontId="8" fillId="4" borderId="31" xfId="0" applyNumberFormat="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91.940074906367045</c:v>
                </c:pt>
                <c:pt idx="1">
                  <c:v>90.969938628158857</c:v>
                </c:pt>
                <c:pt idx="2">
                  <c:v>103.14922051724139</c:v>
                </c:pt>
                <c:pt idx="3">
                  <c:v>116.89021680833335</c:v>
                </c:pt>
                <c:pt idx="4">
                  <c:v>191.17267348313959</c:v>
                </c:pt>
                <c:pt idx="5">
                  <c:v>146.28013187486741</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330201</xdr:colOff>
      <xdr:row>1</xdr:row>
      <xdr:rowOff>162030</xdr:rowOff>
    </xdr:from>
    <xdr:to>
      <xdr:col>8</xdr:col>
      <xdr:colOff>672720</xdr:colOff>
      <xdr:row>6</xdr:row>
      <xdr:rowOff>13419</xdr:rowOff>
    </xdr:to>
    <xdr:pic>
      <xdr:nvPicPr>
        <xdr:cNvPr id="2" name="Imagen 1" descr="Resultado de imagen de ss&amp;c logo png">
          <a:extLst>
            <a:ext uri="{FF2B5EF4-FFF2-40B4-BE49-F238E27FC236}">
              <a16:creationId xmlns:a16="http://schemas.microsoft.com/office/drawing/2014/main" id="{E0D53EF6-2446-411D-B3AD-EED261D91F2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477001" y="365230"/>
          <a:ext cx="1849586" cy="1011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289560</xdr:colOff>
      <xdr:row>1</xdr:row>
      <xdr:rowOff>175260</xdr:rowOff>
    </xdr:from>
    <xdr:to>
      <xdr:col>9</xdr:col>
      <xdr:colOff>263779</xdr:colOff>
      <xdr:row>6</xdr:row>
      <xdr:rowOff>396112</xdr:rowOff>
    </xdr:to>
    <xdr:pic>
      <xdr:nvPicPr>
        <xdr:cNvPr id="2" name="Imagen 1" descr="Resultado de imagen de ss&amp;c logo png">
          <a:extLst>
            <a:ext uri="{FF2B5EF4-FFF2-40B4-BE49-F238E27FC236}">
              <a16:creationId xmlns:a16="http://schemas.microsoft.com/office/drawing/2014/main" id="{8596C0EC-8A22-4B1F-BC10-5247DC3D08B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545580" y="38100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289560</xdr:colOff>
      <xdr:row>1</xdr:row>
      <xdr:rowOff>76200</xdr:rowOff>
    </xdr:from>
    <xdr:to>
      <xdr:col>9</xdr:col>
      <xdr:colOff>560959</xdr:colOff>
      <xdr:row>6</xdr:row>
      <xdr:rowOff>297052</xdr:rowOff>
    </xdr:to>
    <xdr:pic>
      <xdr:nvPicPr>
        <xdr:cNvPr id="2" name="Imagen 1" descr="Resultado de imagen de ss&amp;c logo png">
          <a:extLst>
            <a:ext uri="{FF2B5EF4-FFF2-40B4-BE49-F238E27FC236}">
              <a16:creationId xmlns:a16="http://schemas.microsoft.com/office/drawing/2014/main" id="{211976C8-5234-4964-9087-0066AD787E6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156960" y="26670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144780</xdr:colOff>
      <xdr:row>1</xdr:row>
      <xdr:rowOff>121920</xdr:rowOff>
    </xdr:from>
    <xdr:to>
      <xdr:col>9</xdr:col>
      <xdr:colOff>667639</xdr:colOff>
      <xdr:row>6</xdr:row>
      <xdr:rowOff>342772</xdr:rowOff>
    </xdr:to>
    <xdr:pic>
      <xdr:nvPicPr>
        <xdr:cNvPr id="4" name="Imagen 3" descr="Resultado de imagen de ss&amp;c logo png">
          <a:extLst>
            <a:ext uri="{FF2B5EF4-FFF2-40B4-BE49-F238E27FC236}">
              <a16:creationId xmlns:a16="http://schemas.microsoft.com/office/drawing/2014/main" id="{5B16168F-C6D0-4FD8-9187-025F3AEB9494}"/>
            </a:ext>
          </a:extLst>
        </xdr:cNvPr>
        <xdr:cNvPicPr>
          <a:picLocks noChangeAspect="1" noChangeArrowheads="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149340" y="31242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B1" zoomScale="80" zoomScaleNormal="80" workbookViewId="0">
      <selection activeCell="P12" sqref="P12"/>
    </sheetView>
  </sheetViews>
  <sheetFormatPr baseColWidth="10" defaultColWidth="11.5" defaultRowHeight="16" outlineLevelRow="1" x14ac:dyDescent="0.2"/>
  <cols>
    <col min="1" max="1" width="3.33203125" style="40" customWidth="1"/>
    <col min="2" max="2" width="42.33203125" style="31" customWidth="1"/>
    <col min="3" max="14" width="11" style="71" customWidth="1"/>
    <col min="15" max="15" width="14.5" style="40" customWidth="1"/>
    <col min="16" max="16384" width="11.5" style="40"/>
  </cols>
  <sheetData>
    <row r="1" spans="2:19" ht="17" thickBot="1" x14ac:dyDescent="0.25"/>
    <row r="2" spans="2:19" ht="30" customHeight="1" x14ac:dyDescent="0.2">
      <c r="B2" s="271"/>
      <c r="C2" s="274"/>
      <c r="D2" s="275"/>
      <c r="E2" s="275"/>
      <c r="F2" s="275"/>
      <c r="G2" s="275"/>
      <c r="H2" s="275"/>
      <c r="I2" s="275"/>
      <c r="J2" s="275"/>
      <c r="K2" s="275"/>
      <c r="L2" s="275"/>
      <c r="M2" s="275"/>
      <c r="N2" s="276"/>
      <c r="O2" s="24"/>
      <c r="P2" s="24"/>
      <c r="Q2" s="14"/>
      <c r="R2" s="14"/>
    </row>
    <row r="3" spans="2:19" ht="16" customHeight="1" x14ac:dyDescent="0.2">
      <c r="B3" s="272"/>
      <c r="C3" s="277"/>
      <c r="D3" s="278"/>
      <c r="E3" s="278"/>
      <c r="F3" s="278"/>
      <c r="G3" s="278"/>
      <c r="H3" s="278"/>
      <c r="I3" s="278"/>
      <c r="J3" s="278"/>
      <c r="K3" s="278"/>
      <c r="L3" s="278"/>
      <c r="M3" s="278"/>
      <c r="N3" s="279"/>
      <c r="O3" s="24"/>
      <c r="P3" s="24"/>
      <c r="Q3" s="14"/>
      <c r="R3" s="14"/>
    </row>
    <row r="4" spans="2:19" ht="16" customHeight="1" x14ac:dyDescent="0.2">
      <c r="B4" s="272"/>
      <c r="C4" s="277"/>
      <c r="D4" s="278"/>
      <c r="E4" s="278"/>
      <c r="F4" s="278"/>
      <c r="G4" s="278"/>
      <c r="H4" s="278"/>
      <c r="I4" s="278"/>
      <c r="J4" s="278"/>
      <c r="K4" s="278"/>
      <c r="L4" s="278"/>
      <c r="M4" s="278"/>
      <c r="N4" s="279"/>
      <c r="O4" s="24"/>
      <c r="P4" s="24"/>
      <c r="Q4" s="14"/>
      <c r="R4" s="14"/>
    </row>
    <row r="5" spans="2:19" ht="16" customHeight="1" x14ac:dyDescent="0.2">
      <c r="B5" s="272"/>
      <c r="C5" s="277"/>
      <c r="D5" s="278"/>
      <c r="E5" s="278"/>
      <c r="F5" s="278"/>
      <c r="G5" s="278"/>
      <c r="H5" s="278"/>
      <c r="I5" s="278"/>
      <c r="J5" s="278"/>
      <c r="K5" s="278"/>
      <c r="L5" s="278"/>
      <c r="M5" s="278"/>
      <c r="N5" s="279"/>
      <c r="O5" s="24"/>
      <c r="P5" s="24"/>
      <c r="Q5" s="14"/>
      <c r="R5" s="14"/>
    </row>
    <row r="6" spans="2:19" ht="16" customHeight="1" x14ac:dyDescent="0.2">
      <c r="B6" s="272"/>
      <c r="C6" s="277"/>
      <c r="D6" s="278"/>
      <c r="E6" s="278"/>
      <c r="F6" s="278"/>
      <c r="G6" s="278"/>
      <c r="H6" s="278"/>
      <c r="I6" s="278"/>
      <c r="J6" s="278"/>
      <c r="K6" s="278"/>
      <c r="L6" s="278"/>
      <c r="M6" s="278"/>
      <c r="N6" s="279"/>
      <c r="O6" s="24"/>
      <c r="P6" s="24"/>
      <c r="Q6" s="14"/>
    </row>
    <row r="7" spans="2:19" ht="16" customHeight="1" thickBot="1" x14ac:dyDescent="0.25">
      <c r="B7" s="272"/>
      <c r="C7" s="280"/>
      <c r="D7" s="281"/>
      <c r="E7" s="281"/>
      <c r="F7" s="281"/>
      <c r="G7" s="281"/>
      <c r="H7" s="281"/>
      <c r="I7" s="281"/>
      <c r="J7" s="281"/>
      <c r="K7" s="281"/>
      <c r="L7" s="281"/>
      <c r="M7" s="281"/>
      <c r="N7" s="282"/>
      <c r="O7" s="24"/>
      <c r="P7" s="24"/>
      <c r="Q7" s="14"/>
    </row>
    <row r="8" spans="2:19" ht="16" customHeight="1" thickBot="1" x14ac:dyDescent="0.25">
      <c r="B8" s="273"/>
      <c r="C8" s="32">
        <v>2014</v>
      </c>
      <c r="D8" s="33">
        <v>2015</v>
      </c>
      <c r="E8" s="33">
        <v>2016</v>
      </c>
      <c r="F8" s="33">
        <v>2017</v>
      </c>
      <c r="G8" s="33">
        <v>2018</v>
      </c>
      <c r="H8" s="33">
        <v>2019</v>
      </c>
      <c r="I8" s="172">
        <v>2020</v>
      </c>
      <c r="J8" s="103">
        <v>2021</v>
      </c>
      <c r="K8" s="103">
        <v>2022</v>
      </c>
      <c r="L8" s="103">
        <v>2023</v>
      </c>
      <c r="M8" s="103">
        <v>2024</v>
      </c>
      <c r="N8" s="104">
        <v>2025</v>
      </c>
      <c r="O8" s="14"/>
      <c r="P8" s="14"/>
      <c r="Q8" s="14"/>
    </row>
    <row r="9" spans="2:19" ht="16" customHeight="1" x14ac:dyDescent="0.2">
      <c r="B9" s="67" t="s">
        <v>36</v>
      </c>
      <c r="C9" s="72"/>
      <c r="D9" s="73"/>
      <c r="E9" s="73"/>
      <c r="F9" s="73"/>
      <c r="G9" s="73"/>
      <c r="H9" s="73"/>
      <c r="I9" s="174"/>
      <c r="J9" s="73"/>
      <c r="K9" s="73"/>
      <c r="L9" s="73"/>
      <c r="M9" s="74"/>
      <c r="N9" s="75"/>
      <c r="O9" s="14"/>
      <c r="P9" s="14"/>
      <c r="Q9" s="14"/>
    </row>
    <row r="10" spans="2:19" ht="16" customHeight="1" thickBot="1" x14ac:dyDescent="0.25">
      <c r="B10" s="62" t="s">
        <v>15</v>
      </c>
      <c r="C10" s="228"/>
      <c r="D10" s="228"/>
      <c r="E10" s="228">
        <v>1481</v>
      </c>
      <c r="F10" s="228">
        <v>1675</v>
      </c>
      <c r="G10" s="228">
        <v>3421</v>
      </c>
      <c r="H10" s="233">
        <v>4632</v>
      </c>
      <c r="I10" s="175">
        <v>4667</v>
      </c>
      <c r="J10" s="76">
        <f t="shared" ref="J10:N10" si="0">(I10*$P$11)+I10</f>
        <v>5367.05</v>
      </c>
      <c r="K10" s="76">
        <f t="shared" si="0"/>
        <v>6172.1075000000001</v>
      </c>
      <c r="L10" s="76">
        <f t="shared" si="0"/>
        <v>7097.9236250000004</v>
      </c>
      <c r="M10" s="76">
        <f t="shared" si="0"/>
        <v>8162.6121687499999</v>
      </c>
      <c r="N10" s="77">
        <f t="shared" si="0"/>
        <v>9387.0039940624993</v>
      </c>
      <c r="O10" s="14"/>
      <c r="P10" s="14"/>
      <c r="Q10" s="14"/>
    </row>
    <row r="11" spans="2:19" ht="15.75" customHeight="1" thickBot="1" x14ac:dyDescent="0.25">
      <c r="B11" s="198" t="s">
        <v>35</v>
      </c>
      <c r="C11" s="249" t="e">
        <f t="shared" ref="C11:H11" si="1">(C10-B10)/B10</f>
        <v>#VALUE!</v>
      </c>
      <c r="D11" s="249" t="e">
        <f t="shared" si="1"/>
        <v>#DIV/0!</v>
      </c>
      <c r="E11" s="249" t="e">
        <f t="shared" si="1"/>
        <v>#DIV/0!</v>
      </c>
      <c r="F11" s="249">
        <f t="shared" si="1"/>
        <v>0.13099257258609048</v>
      </c>
      <c r="G11" s="249">
        <f t="shared" si="1"/>
        <v>1.0423880597014925</v>
      </c>
      <c r="H11" s="249">
        <f t="shared" si="1"/>
        <v>0.35399006138555977</v>
      </c>
      <c r="I11" s="79">
        <f t="shared" ref="I11" si="2">(I10-H10)/H10</f>
        <v>7.5561312607944735E-3</v>
      </c>
      <c r="J11" s="180">
        <f t="shared" ref="J11:N11" si="3">$P$11</f>
        <v>0.15</v>
      </c>
      <c r="K11" s="79">
        <f t="shared" si="3"/>
        <v>0.15</v>
      </c>
      <c r="L11" s="79">
        <f t="shared" si="3"/>
        <v>0.15</v>
      </c>
      <c r="M11" s="79">
        <f t="shared" si="3"/>
        <v>0.15</v>
      </c>
      <c r="N11" s="80">
        <f t="shared" si="3"/>
        <v>0.15</v>
      </c>
      <c r="O11" s="41" t="s">
        <v>33</v>
      </c>
      <c r="P11" s="10">
        <v>0.15</v>
      </c>
      <c r="Q11" s="14"/>
      <c r="S11"/>
    </row>
    <row r="12" spans="2:19" ht="16" customHeight="1" x14ac:dyDescent="0.2">
      <c r="B12" s="200" t="s">
        <v>6</v>
      </c>
      <c r="C12" s="250">
        <f t="shared" ref="C12:E12" si="4">C15+C14</f>
        <v>0</v>
      </c>
      <c r="D12" s="250">
        <f t="shared" si="4"/>
        <v>0</v>
      </c>
      <c r="E12" s="250">
        <f t="shared" si="4"/>
        <v>516</v>
      </c>
      <c r="F12" s="250">
        <f>F15+F14</f>
        <v>633</v>
      </c>
      <c r="G12" s="250">
        <f>G15+G14</f>
        <v>947</v>
      </c>
      <c r="H12" s="260">
        <f>H15+H14</f>
        <v>1689</v>
      </c>
      <c r="I12" s="195">
        <f t="shared" ref="I12" si="5">I15+I14</f>
        <v>1710</v>
      </c>
      <c r="J12" s="237">
        <f t="shared" ref="J12:N12" si="6">J15+J14</f>
        <v>1746.1485000000002</v>
      </c>
      <c r="K12" s="83">
        <f t="shared" si="6"/>
        <v>2008.0707750000001</v>
      </c>
      <c r="L12" s="83">
        <f t="shared" si="6"/>
        <v>2309.2813912500005</v>
      </c>
      <c r="M12" s="83">
        <f t="shared" si="6"/>
        <v>2655.6735999375005</v>
      </c>
      <c r="N12" s="84">
        <f t="shared" si="6"/>
        <v>3054.024639928125</v>
      </c>
      <c r="O12" s="14"/>
      <c r="P12" s="18"/>
      <c r="Q12" s="14"/>
    </row>
    <row r="13" spans="2:19" ht="16" customHeight="1" x14ac:dyDescent="0.2">
      <c r="B13" s="198" t="s">
        <v>16</v>
      </c>
      <c r="C13" s="249" t="e">
        <f t="shared" ref="C13:H13" si="7">(C12/C10)</f>
        <v>#DIV/0!</v>
      </c>
      <c r="D13" s="249" t="e">
        <f t="shared" si="7"/>
        <v>#DIV/0!</v>
      </c>
      <c r="E13" s="249">
        <f t="shared" si="7"/>
        <v>0.3484132343011479</v>
      </c>
      <c r="F13" s="249">
        <f t="shared" si="7"/>
        <v>0.37791044776119403</v>
      </c>
      <c r="G13" s="249">
        <f t="shared" si="7"/>
        <v>0.2768196433791289</v>
      </c>
      <c r="H13" s="249">
        <f t="shared" si="7"/>
        <v>0.36463730569948188</v>
      </c>
      <c r="I13" s="80">
        <f t="shared" ref="I13" si="8">(I12/I10)</f>
        <v>0.36640239982858369</v>
      </c>
      <c r="J13" s="180">
        <f>J12/J10</f>
        <v>0.32534604671094924</v>
      </c>
      <c r="K13" s="79">
        <f>K12/K10</f>
        <v>0.32534604671094924</v>
      </c>
      <c r="L13" s="79">
        <f>L12/L10</f>
        <v>0.3253460467109493</v>
      </c>
      <c r="M13" s="79">
        <f>M12/M10</f>
        <v>0.3253460467109493</v>
      </c>
      <c r="N13" s="80">
        <f>N12/N10</f>
        <v>0.32534604671094924</v>
      </c>
      <c r="O13" s="14"/>
      <c r="P13" s="14"/>
      <c r="Q13" s="14"/>
    </row>
    <row r="14" spans="2:19" ht="16" customHeight="1" thickBot="1" x14ac:dyDescent="0.25">
      <c r="B14" s="197" t="s">
        <v>0</v>
      </c>
      <c r="C14" s="228"/>
      <c r="D14" s="228"/>
      <c r="E14" s="228">
        <v>228</v>
      </c>
      <c r="F14" s="228">
        <v>237</v>
      </c>
      <c r="G14" s="228">
        <v>518</v>
      </c>
      <c r="H14" s="234">
        <v>775</v>
      </c>
      <c r="I14" s="224">
        <v>725</v>
      </c>
      <c r="J14" s="222">
        <f>(I14*$P$11)+I14</f>
        <v>833.75</v>
      </c>
      <c r="K14" s="220">
        <f t="shared" ref="K14:N14" si="9">(J14*$P$11)+J14</f>
        <v>958.8125</v>
      </c>
      <c r="L14" s="222">
        <f t="shared" si="9"/>
        <v>1102.6343750000001</v>
      </c>
      <c r="M14" s="202">
        <f t="shared" si="9"/>
        <v>1268.0295312500002</v>
      </c>
      <c r="N14" s="222">
        <f t="shared" si="9"/>
        <v>1458.2339609375003</v>
      </c>
      <c r="O14" s="203"/>
      <c r="P14" s="14"/>
      <c r="Q14" s="14"/>
    </row>
    <row r="15" spans="2:19" ht="16" customHeight="1" outlineLevel="1" thickBot="1" x14ac:dyDescent="0.25">
      <c r="B15" s="62" t="s">
        <v>7</v>
      </c>
      <c r="C15" s="145"/>
      <c r="D15" s="145"/>
      <c r="E15" s="145">
        <v>288</v>
      </c>
      <c r="F15" s="145">
        <v>396</v>
      </c>
      <c r="G15" s="145">
        <v>429</v>
      </c>
      <c r="H15" s="145">
        <v>914</v>
      </c>
      <c r="I15" s="176">
        <v>985</v>
      </c>
      <c r="J15" s="76">
        <f>J10*$P$16</f>
        <v>912.39850000000013</v>
      </c>
      <c r="K15" s="76">
        <f>K10*$P$16</f>
        <v>1049.2582750000001</v>
      </c>
      <c r="L15" s="76">
        <f>L10*$P$16</f>
        <v>1206.6470162500002</v>
      </c>
      <c r="M15" s="76">
        <f>M10*$P$16</f>
        <v>1387.6440686875001</v>
      </c>
      <c r="N15" s="77">
        <f>N10*$P$16</f>
        <v>1595.7906789906249</v>
      </c>
      <c r="O15" s="14"/>
      <c r="P15" s="14"/>
      <c r="Q15" s="14"/>
    </row>
    <row r="16" spans="2:19" ht="16" customHeight="1" outlineLevel="1" thickBot="1" x14ac:dyDescent="0.25">
      <c r="B16" s="198" t="s">
        <v>17</v>
      </c>
      <c r="C16" s="249" t="e">
        <f t="shared" ref="C16:E16" si="10">(C15/C10)</f>
        <v>#DIV/0!</v>
      </c>
      <c r="D16" s="249" t="e">
        <f t="shared" si="10"/>
        <v>#DIV/0!</v>
      </c>
      <c r="E16" s="249">
        <f t="shared" si="10"/>
        <v>0.19446320054017555</v>
      </c>
      <c r="F16" s="249">
        <f>(F15/F10)</f>
        <v>0.2364179104477612</v>
      </c>
      <c r="G16" s="249">
        <f>(G15/G10)</f>
        <v>0.12540192926045016</v>
      </c>
      <c r="H16" s="249">
        <f>(H15/H10)</f>
        <v>0.19732297063903281</v>
      </c>
      <c r="I16" s="225">
        <f t="shared" ref="I16" si="11">(I15/I10)</f>
        <v>0.21105635311763446</v>
      </c>
      <c r="J16" s="226">
        <f t="shared" ref="J16:N16" si="12">(J15/J10)</f>
        <v>0.17</v>
      </c>
      <c r="K16" s="226">
        <f t="shared" si="12"/>
        <v>0.17</v>
      </c>
      <c r="L16" s="226">
        <f t="shared" si="12"/>
        <v>0.17</v>
      </c>
      <c r="M16" s="226">
        <f t="shared" si="12"/>
        <v>0.17</v>
      </c>
      <c r="N16" s="227">
        <f t="shared" si="12"/>
        <v>0.17</v>
      </c>
      <c r="O16" s="41" t="s">
        <v>32</v>
      </c>
      <c r="P16" s="17">
        <v>0.17</v>
      </c>
      <c r="Q16" s="14"/>
    </row>
    <row r="17" spans="2:17" ht="16" customHeight="1" outlineLevel="1" x14ac:dyDescent="0.2">
      <c r="B17" s="283" t="s">
        <v>55</v>
      </c>
      <c r="C17" s="229"/>
      <c r="D17" s="229"/>
      <c r="E17" s="229">
        <v>130</v>
      </c>
      <c r="F17" s="229">
        <v>108</v>
      </c>
      <c r="G17" s="229">
        <v>280</v>
      </c>
      <c r="H17" s="235">
        <v>409</v>
      </c>
      <c r="I17" s="181">
        <v>250</v>
      </c>
      <c r="J17" s="136">
        <v>200</v>
      </c>
      <c r="K17" s="136">
        <v>160</v>
      </c>
      <c r="L17" s="136">
        <v>130</v>
      </c>
      <c r="M17" s="136">
        <v>80</v>
      </c>
      <c r="N17" s="137">
        <v>30</v>
      </c>
      <c r="O17" s="14"/>
      <c r="P17" s="14"/>
      <c r="Q17" s="14"/>
    </row>
    <row r="18" spans="2:17" ht="16" customHeight="1" outlineLevel="1" thickBot="1" x14ac:dyDescent="0.25">
      <c r="B18" s="284"/>
      <c r="C18" s="251"/>
      <c r="D18" s="251"/>
      <c r="E18" s="251"/>
      <c r="F18" s="251"/>
      <c r="G18" s="252"/>
      <c r="H18" s="252"/>
      <c r="I18" s="177"/>
      <c r="J18" s="82"/>
      <c r="K18" s="82"/>
      <c r="L18" s="82"/>
      <c r="M18" s="82"/>
      <c r="N18" s="88"/>
      <c r="O18" s="14"/>
      <c r="P18" s="14"/>
      <c r="Q18" s="14"/>
    </row>
    <row r="19" spans="2:17" ht="16" customHeight="1" thickBot="1" x14ac:dyDescent="0.25">
      <c r="B19" s="196" t="s">
        <v>1</v>
      </c>
      <c r="C19" s="253">
        <f t="shared" ref="C19:E19" si="13">C15-C17</f>
        <v>0</v>
      </c>
      <c r="D19" s="253">
        <f t="shared" si="13"/>
        <v>0</v>
      </c>
      <c r="E19" s="253">
        <f t="shared" si="13"/>
        <v>158</v>
      </c>
      <c r="F19" s="253">
        <f>F15-F17</f>
        <v>288</v>
      </c>
      <c r="G19" s="253">
        <f>G15-G17</f>
        <v>149</v>
      </c>
      <c r="H19" s="253">
        <f>H15-H17</f>
        <v>505</v>
      </c>
      <c r="I19" s="173">
        <f t="shared" ref="I19" si="14">I15-I17</f>
        <v>735</v>
      </c>
      <c r="J19" s="89">
        <f t="shared" ref="J19:N19" si="15">J15-J17-J18</f>
        <v>712.39850000000013</v>
      </c>
      <c r="K19" s="89">
        <f t="shared" si="15"/>
        <v>889.25827500000014</v>
      </c>
      <c r="L19" s="89">
        <f t="shared" si="15"/>
        <v>1076.6470162500002</v>
      </c>
      <c r="M19" s="89">
        <f t="shared" si="15"/>
        <v>1307.6440686875001</v>
      </c>
      <c r="N19" s="90">
        <f t="shared" si="15"/>
        <v>1565.7906789906249</v>
      </c>
      <c r="O19" s="14"/>
      <c r="P19" s="14"/>
      <c r="Q19" s="14"/>
    </row>
    <row r="20" spans="2:17" ht="16" customHeight="1" collapsed="1" thickBot="1" x14ac:dyDescent="0.25">
      <c r="B20" s="197" t="s">
        <v>2</v>
      </c>
      <c r="C20" s="229"/>
      <c r="D20" s="229"/>
      <c r="E20" s="229">
        <v>32</v>
      </c>
      <c r="F20" s="229">
        <v>-46</v>
      </c>
      <c r="G20" s="229">
        <v>22</v>
      </c>
      <c r="H20" s="236">
        <v>93</v>
      </c>
      <c r="I20" s="182">
        <v>150</v>
      </c>
      <c r="J20" s="86">
        <f>J19*J21</f>
        <v>142.47970000000004</v>
      </c>
      <c r="K20" s="86">
        <f t="shared" ref="K20:N20" si="16">K19*K21</f>
        <v>177.85165500000005</v>
      </c>
      <c r="L20" s="86">
        <f t="shared" si="16"/>
        <v>215.32940325000004</v>
      </c>
      <c r="M20" s="86">
        <f t="shared" si="16"/>
        <v>261.5288137375</v>
      </c>
      <c r="N20" s="87">
        <f t="shared" si="16"/>
        <v>313.15813579812499</v>
      </c>
      <c r="O20" s="14"/>
      <c r="P20" s="14"/>
      <c r="Q20" s="14"/>
    </row>
    <row r="21" spans="2:17" ht="16" customHeight="1" thickBot="1" x14ac:dyDescent="0.25">
      <c r="B21" s="198" t="s">
        <v>10</v>
      </c>
      <c r="C21" s="254" t="e">
        <f t="shared" ref="C21:H21" si="17">(C20/C19)</f>
        <v>#DIV/0!</v>
      </c>
      <c r="D21" s="254" t="e">
        <f t="shared" si="17"/>
        <v>#DIV/0!</v>
      </c>
      <c r="E21" s="254">
        <f t="shared" si="17"/>
        <v>0.20253164556962025</v>
      </c>
      <c r="F21" s="254">
        <f t="shared" si="17"/>
        <v>-0.15972222222222221</v>
      </c>
      <c r="G21" s="254">
        <f t="shared" si="17"/>
        <v>0.1476510067114094</v>
      </c>
      <c r="H21" s="254">
        <f t="shared" si="17"/>
        <v>0.18415841584158416</v>
      </c>
      <c r="I21" s="179">
        <f t="shared" ref="I21" si="18">(I20/I19)</f>
        <v>0.20408163265306123</v>
      </c>
      <c r="J21" s="78">
        <f>$P$21</f>
        <v>0.2</v>
      </c>
      <c r="K21" s="78">
        <f t="shared" ref="K21:N21" si="19">$P$21</f>
        <v>0.2</v>
      </c>
      <c r="L21" s="78">
        <f t="shared" si="19"/>
        <v>0.2</v>
      </c>
      <c r="M21" s="78">
        <f t="shared" si="19"/>
        <v>0.2</v>
      </c>
      <c r="N21" s="85">
        <f t="shared" si="19"/>
        <v>0.2</v>
      </c>
      <c r="O21" s="41" t="s">
        <v>34</v>
      </c>
      <c r="P21" s="11">
        <v>0.2</v>
      </c>
      <c r="Q21" s="14"/>
    </row>
    <row r="22" spans="2:17" ht="16" customHeight="1" thickBot="1" x14ac:dyDescent="0.25">
      <c r="B22" s="199" t="s">
        <v>3</v>
      </c>
      <c r="C22" s="255">
        <f t="shared" ref="C22:H22" si="20">C19-C20</f>
        <v>0</v>
      </c>
      <c r="D22" s="255">
        <f t="shared" si="20"/>
        <v>0</v>
      </c>
      <c r="E22" s="255">
        <f t="shared" si="20"/>
        <v>126</v>
      </c>
      <c r="F22" s="255">
        <f t="shared" si="20"/>
        <v>334</v>
      </c>
      <c r="G22" s="255">
        <f t="shared" si="20"/>
        <v>127</v>
      </c>
      <c r="H22" s="261">
        <f t="shared" si="20"/>
        <v>412</v>
      </c>
      <c r="I22" s="183">
        <f t="shared" ref="I22" si="21">I19-I20</f>
        <v>585</v>
      </c>
      <c r="J22" s="91">
        <f t="shared" ref="J22:N22" si="22">J19-J20</f>
        <v>569.91880000000015</v>
      </c>
      <c r="K22" s="91">
        <f t="shared" si="22"/>
        <v>711.40662000000009</v>
      </c>
      <c r="L22" s="91">
        <f t="shared" si="22"/>
        <v>861.31761300000016</v>
      </c>
      <c r="M22" s="91">
        <f t="shared" si="22"/>
        <v>1046.11525495</v>
      </c>
      <c r="N22" s="92">
        <f t="shared" si="22"/>
        <v>1252.6325431925</v>
      </c>
      <c r="O22" s="14"/>
      <c r="P22" s="14"/>
      <c r="Q22" s="14"/>
    </row>
    <row r="23" spans="2:17" ht="16" customHeight="1" thickBot="1" x14ac:dyDescent="0.25">
      <c r="B23" s="197" t="s">
        <v>4</v>
      </c>
      <c r="C23" s="256"/>
      <c r="D23" s="256"/>
      <c r="E23" s="256"/>
      <c r="F23" s="256"/>
      <c r="G23" s="256"/>
      <c r="H23" s="262"/>
      <c r="I23" s="152"/>
      <c r="J23" s="223">
        <f>I23*(1+$P$11)</f>
        <v>0</v>
      </c>
      <c r="K23" s="81">
        <f t="shared" ref="K23:N23" si="23">J23*(1+$P$11)</f>
        <v>0</v>
      </c>
      <c r="L23" s="81">
        <f t="shared" si="23"/>
        <v>0</v>
      </c>
      <c r="M23" s="81">
        <f t="shared" si="23"/>
        <v>0</v>
      </c>
      <c r="N23" s="193">
        <f t="shared" si="23"/>
        <v>0</v>
      </c>
      <c r="O23" s="14"/>
      <c r="P23" s="14"/>
      <c r="Q23" s="14"/>
    </row>
    <row r="24" spans="2:17" ht="16" customHeight="1" x14ac:dyDescent="0.2">
      <c r="B24" s="200" t="s">
        <v>5</v>
      </c>
      <c r="C24" s="257">
        <f t="shared" ref="C24:H24" si="24">C22-C23</f>
        <v>0</v>
      </c>
      <c r="D24" s="257">
        <f t="shared" si="24"/>
        <v>0</v>
      </c>
      <c r="E24" s="257">
        <f t="shared" si="24"/>
        <v>126</v>
      </c>
      <c r="F24" s="257">
        <f t="shared" si="24"/>
        <v>334</v>
      </c>
      <c r="G24" s="257">
        <f t="shared" si="24"/>
        <v>127</v>
      </c>
      <c r="H24" s="257">
        <f t="shared" si="24"/>
        <v>412</v>
      </c>
      <c r="I24" s="178">
        <f t="shared" ref="I24" si="25">I22-I23</f>
        <v>585</v>
      </c>
      <c r="J24" s="93">
        <f t="shared" ref="J24:N24" si="26">J22-J23</f>
        <v>569.91880000000015</v>
      </c>
      <c r="K24" s="93">
        <f t="shared" si="26"/>
        <v>711.40662000000009</v>
      </c>
      <c r="L24" s="93">
        <f t="shared" si="26"/>
        <v>861.31761300000016</v>
      </c>
      <c r="M24" s="93">
        <f t="shared" si="26"/>
        <v>1046.11525495</v>
      </c>
      <c r="N24" s="94">
        <f t="shared" si="26"/>
        <v>1252.6325431925</v>
      </c>
      <c r="O24" s="14"/>
      <c r="P24" s="14"/>
      <c r="Q24" s="14"/>
    </row>
    <row r="25" spans="2:17" ht="16" customHeight="1" x14ac:dyDescent="0.2">
      <c r="B25" s="198" t="s">
        <v>37</v>
      </c>
      <c r="C25" s="258" t="e">
        <f t="shared" ref="C25:H25" si="27">C24/C10</f>
        <v>#DIV/0!</v>
      </c>
      <c r="D25" s="258" t="e">
        <f t="shared" si="27"/>
        <v>#DIV/0!</v>
      </c>
      <c r="E25" s="258">
        <f t="shared" si="27"/>
        <v>8.507765023632681E-2</v>
      </c>
      <c r="F25" s="258">
        <f t="shared" si="27"/>
        <v>0.19940298507462687</v>
      </c>
      <c r="G25" s="258">
        <f t="shared" si="27"/>
        <v>3.7123648056123941E-2</v>
      </c>
      <c r="H25" s="263">
        <f t="shared" si="27"/>
        <v>8.8946459412780662E-2</v>
      </c>
      <c r="I25" s="85">
        <f t="shared" ref="I25" si="28">I24/I10</f>
        <v>0.12534818941504178</v>
      </c>
      <c r="J25" s="78">
        <f t="shared" ref="J25:N25" si="29">J24/J10</f>
        <v>0.10618846479909823</v>
      </c>
      <c r="K25" s="78">
        <f t="shared" si="29"/>
        <v>0.11526154072980746</v>
      </c>
      <c r="L25" s="78">
        <f t="shared" si="29"/>
        <v>0.12134782768953789</v>
      </c>
      <c r="M25" s="78">
        <f t="shared" si="29"/>
        <v>0.12815937267667579</v>
      </c>
      <c r="N25" s="85">
        <f t="shared" si="29"/>
        <v>0.13344327369891601</v>
      </c>
      <c r="O25" s="14"/>
      <c r="P25" s="14"/>
      <c r="Q25" s="14"/>
    </row>
    <row r="26" spans="2:17" ht="16" customHeight="1" x14ac:dyDescent="0.2">
      <c r="B26" s="62" t="s">
        <v>18</v>
      </c>
      <c r="C26" s="259" t="e">
        <f t="shared" ref="C26:H26" si="30">C24/C27</f>
        <v>#DIV/0!</v>
      </c>
      <c r="D26" s="259" t="e">
        <f t="shared" si="30"/>
        <v>#DIV/0!</v>
      </c>
      <c r="E26" s="259">
        <f t="shared" si="30"/>
        <v>0.61463414634146341</v>
      </c>
      <c r="F26" s="259">
        <f t="shared" si="30"/>
        <v>1.5829383886255923</v>
      </c>
      <c r="G26" s="259">
        <f t="shared" si="30"/>
        <v>0.52263374485596703</v>
      </c>
      <c r="H26" s="264">
        <f t="shared" si="30"/>
        <v>1.6349206349206349</v>
      </c>
      <c r="I26" s="96">
        <f t="shared" ref="I26" si="31">I24/I27</f>
        <v>2.191011235955056</v>
      </c>
      <c r="J26" s="95">
        <f>J24/J27</f>
        <v>2.0574685920577624</v>
      </c>
      <c r="K26" s="95">
        <f t="shared" ref="K26:N26" si="32">K24/K27</f>
        <v>2.4531262758620693</v>
      </c>
      <c r="L26" s="95">
        <f>L24/L27</f>
        <v>2.8710587100000007</v>
      </c>
      <c r="M26" s="95">
        <f t="shared" si="32"/>
        <v>4.8656523486046508</v>
      </c>
      <c r="N26" s="96">
        <f t="shared" si="32"/>
        <v>3.7958561914924243</v>
      </c>
      <c r="O26" s="14"/>
      <c r="P26" s="14"/>
      <c r="Q26" s="14"/>
    </row>
    <row r="27" spans="2:17" ht="16" customHeight="1" thickBot="1" x14ac:dyDescent="0.25">
      <c r="B27" s="68" t="s">
        <v>56</v>
      </c>
      <c r="C27" s="230"/>
      <c r="D27" s="230"/>
      <c r="E27" s="230">
        <v>205</v>
      </c>
      <c r="F27" s="230">
        <v>211</v>
      </c>
      <c r="G27" s="230">
        <v>243</v>
      </c>
      <c r="H27" s="230">
        <v>252</v>
      </c>
      <c r="I27" s="98">
        <v>267</v>
      </c>
      <c r="J27" s="97">
        <v>277</v>
      </c>
      <c r="K27" s="97">
        <v>290</v>
      </c>
      <c r="L27" s="97">
        <v>300</v>
      </c>
      <c r="M27" s="97">
        <v>215</v>
      </c>
      <c r="N27" s="97">
        <v>330</v>
      </c>
      <c r="O27" s="203"/>
      <c r="P27" s="14"/>
      <c r="Q27" s="14">
        <v>0</v>
      </c>
    </row>
    <row r="28" spans="2:17" ht="16" customHeight="1" x14ac:dyDescent="0.2">
      <c r="B28" s="69"/>
      <c r="C28" s="81"/>
      <c r="D28" s="81"/>
      <c r="E28" s="81"/>
      <c r="F28" s="81"/>
      <c r="G28" s="81"/>
      <c r="H28" s="81"/>
      <c r="I28" s="81"/>
      <c r="J28" s="81"/>
      <c r="K28" s="81"/>
      <c r="L28" s="82"/>
      <c r="M28" s="99"/>
      <c r="N28" s="99"/>
      <c r="O28" s="14"/>
      <c r="P28" s="14"/>
      <c r="Q28" s="14"/>
    </row>
    <row r="29" spans="2:17" ht="16" customHeight="1" x14ac:dyDescent="0.2">
      <c r="B29" s="69"/>
      <c r="C29" s="82"/>
      <c r="D29" s="82"/>
      <c r="E29" s="82"/>
      <c r="F29" s="82"/>
      <c r="G29" s="82"/>
      <c r="H29" s="82"/>
      <c r="I29" s="82"/>
      <c r="J29" s="81"/>
      <c r="K29" s="81"/>
      <c r="L29" s="82"/>
      <c r="M29" s="99"/>
      <c r="N29" s="99"/>
      <c r="O29" s="14"/>
      <c r="P29" s="14"/>
      <c r="Q29" s="14"/>
    </row>
    <row r="30" spans="2:17" ht="16" customHeight="1" x14ac:dyDescent="0.2">
      <c r="B30" s="69"/>
      <c r="C30" s="81"/>
      <c r="D30" s="81"/>
      <c r="E30" s="81"/>
      <c r="F30" s="81"/>
      <c r="G30" s="81"/>
      <c r="H30" s="81"/>
      <c r="I30" s="81"/>
      <c r="J30" s="81"/>
      <c r="K30" s="81"/>
      <c r="L30" s="81"/>
      <c r="M30" s="99"/>
      <c r="N30" s="99"/>
      <c r="O30" s="14"/>
      <c r="P30" s="14"/>
      <c r="Q30" s="14"/>
    </row>
    <row r="31" spans="2:17" ht="16" customHeight="1" x14ac:dyDescent="0.2">
      <c r="B31" s="269"/>
      <c r="C31" s="269"/>
      <c r="D31" s="269"/>
      <c r="E31" s="269"/>
      <c r="F31" s="269"/>
      <c r="G31" s="269"/>
      <c r="H31" s="269"/>
      <c r="I31" s="269"/>
      <c r="J31" s="269"/>
      <c r="K31" s="269"/>
      <c r="L31" s="269"/>
      <c r="M31" s="100"/>
      <c r="N31" s="99"/>
      <c r="O31" s="14"/>
      <c r="P31" s="14"/>
      <c r="Q31" s="14"/>
    </row>
    <row r="32" spans="2:17" ht="16" customHeight="1" x14ac:dyDescent="0.2">
      <c r="B32" s="69"/>
      <c r="C32" s="81"/>
      <c r="D32" s="81"/>
      <c r="E32" s="81"/>
      <c r="F32" s="81"/>
      <c r="G32" s="81"/>
      <c r="H32" s="81"/>
      <c r="I32" s="81"/>
      <c r="J32" s="81"/>
      <c r="K32" s="81"/>
      <c r="L32" s="81"/>
      <c r="M32" s="100"/>
      <c r="N32" s="99"/>
    </row>
    <row r="33" spans="2:14" ht="16" customHeight="1" x14ac:dyDescent="0.2">
      <c r="B33" s="69"/>
      <c r="C33" s="76"/>
      <c r="D33" s="76"/>
      <c r="E33" s="76"/>
      <c r="F33" s="76"/>
      <c r="G33" s="76"/>
      <c r="H33" s="76"/>
      <c r="I33" s="76"/>
      <c r="J33" s="81"/>
      <c r="K33" s="81"/>
      <c r="L33" s="81"/>
      <c r="M33" s="100"/>
      <c r="N33" s="99"/>
    </row>
    <row r="34" spans="2:14" ht="16" customHeight="1" x14ac:dyDescent="0.2">
      <c r="B34" s="70"/>
      <c r="C34" s="95"/>
      <c r="D34" s="95"/>
      <c r="E34" s="95"/>
      <c r="F34" s="95"/>
      <c r="G34" s="95"/>
      <c r="H34" s="95"/>
      <c r="I34" s="95"/>
      <c r="J34" s="95"/>
      <c r="K34" s="95"/>
      <c r="L34" s="95"/>
      <c r="M34" s="100"/>
      <c r="N34" s="99"/>
    </row>
    <row r="35" spans="2:14" ht="16" customHeight="1" x14ac:dyDescent="0.2">
      <c r="B35" s="69"/>
      <c r="C35" s="81"/>
      <c r="D35" s="81"/>
      <c r="E35" s="81"/>
      <c r="F35" s="81"/>
      <c r="G35" s="81"/>
      <c r="H35" s="82"/>
      <c r="I35" s="81"/>
      <c r="J35" s="81"/>
      <c r="K35" s="81"/>
      <c r="L35" s="81"/>
      <c r="M35" s="100"/>
      <c r="N35" s="99"/>
    </row>
    <row r="36" spans="2:14" ht="16" customHeight="1" x14ac:dyDescent="0.2">
      <c r="B36" s="69"/>
      <c r="C36" s="81"/>
      <c r="D36" s="82"/>
      <c r="E36" s="82"/>
      <c r="F36" s="81"/>
      <c r="G36" s="81"/>
      <c r="H36" s="81"/>
      <c r="I36" s="81"/>
      <c r="J36" s="81"/>
      <c r="K36" s="81"/>
      <c r="L36" s="81"/>
      <c r="M36" s="100"/>
      <c r="N36" s="99"/>
    </row>
    <row r="37" spans="2:14" ht="16" customHeight="1" x14ac:dyDescent="0.2">
      <c r="B37" s="70"/>
      <c r="C37" s="95"/>
      <c r="D37" s="95"/>
      <c r="E37" s="95"/>
      <c r="F37" s="95"/>
      <c r="G37" s="95"/>
      <c r="H37" s="95"/>
      <c r="I37" s="95"/>
      <c r="J37" s="95"/>
      <c r="K37" s="95"/>
      <c r="L37" s="95"/>
      <c r="M37" s="100"/>
      <c r="N37" s="99"/>
    </row>
    <row r="38" spans="2:14" ht="16" customHeight="1" x14ac:dyDescent="0.2">
      <c r="B38" s="69"/>
      <c r="C38" s="81"/>
      <c r="D38" s="81"/>
      <c r="E38" s="81"/>
      <c r="F38" s="81"/>
      <c r="G38" s="81"/>
      <c r="H38" s="81"/>
      <c r="I38" s="81"/>
      <c r="J38" s="81"/>
      <c r="K38" s="81"/>
      <c r="L38" s="81"/>
      <c r="M38" s="100"/>
      <c r="N38" s="99"/>
    </row>
    <row r="39" spans="2:14" ht="16" customHeight="1" x14ac:dyDescent="0.2">
      <c r="B39" s="69"/>
      <c r="C39" s="82"/>
      <c r="D39" s="81"/>
      <c r="E39" s="81"/>
      <c r="F39" s="81"/>
      <c r="G39" s="81"/>
      <c r="H39" s="81"/>
      <c r="I39" s="81"/>
      <c r="J39" s="81"/>
      <c r="K39" s="81"/>
      <c r="L39" s="81"/>
      <c r="M39" s="100"/>
      <c r="N39" s="99"/>
    </row>
    <row r="40" spans="2:14" ht="16" customHeight="1" x14ac:dyDescent="0.2">
      <c r="B40" s="69"/>
      <c r="C40" s="81"/>
      <c r="D40" s="81"/>
      <c r="E40" s="81"/>
      <c r="F40" s="81"/>
      <c r="G40" s="82"/>
      <c r="H40" s="81"/>
      <c r="I40" s="81"/>
      <c r="J40" s="81"/>
      <c r="K40" s="81"/>
      <c r="L40" s="81"/>
      <c r="M40" s="100"/>
      <c r="N40" s="99"/>
    </row>
    <row r="41" spans="2:14" ht="16" customHeight="1" x14ac:dyDescent="0.2">
      <c r="B41" s="69"/>
      <c r="C41" s="82"/>
      <c r="D41" s="82"/>
      <c r="E41" s="81"/>
      <c r="F41" s="81"/>
      <c r="G41" s="81"/>
      <c r="H41" s="81"/>
      <c r="I41" s="81"/>
      <c r="J41" s="81"/>
      <c r="K41" s="81"/>
      <c r="L41" s="81"/>
      <c r="M41" s="100"/>
      <c r="N41" s="99"/>
    </row>
    <row r="42" spans="2:14" ht="16" customHeight="1" x14ac:dyDescent="0.2">
      <c r="B42" s="70"/>
      <c r="C42" s="95"/>
      <c r="D42" s="95"/>
      <c r="E42" s="95"/>
      <c r="F42" s="95"/>
      <c r="G42" s="101"/>
      <c r="H42" s="95"/>
      <c r="I42" s="95"/>
      <c r="J42" s="95"/>
      <c r="K42" s="95"/>
      <c r="L42" s="95"/>
      <c r="M42" s="100"/>
      <c r="N42" s="99"/>
    </row>
    <row r="43" spans="2:14" ht="16" customHeight="1" x14ac:dyDescent="0.2">
      <c r="B43" s="270"/>
      <c r="C43" s="270"/>
      <c r="D43" s="270"/>
      <c r="E43" s="270"/>
      <c r="F43" s="270"/>
      <c r="G43" s="270"/>
      <c r="H43" s="270"/>
      <c r="I43" s="270"/>
      <c r="J43" s="270"/>
      <c r="K43" s="270"/>
      <c r="L43" s="270"/>
      <c r="M43" s="99"/>
      <c r="N43" s="99"/>
    </row>
    <row r="44" spans="2:14" ht="16" customHeight="1" x14ac:dyDescent="0.2">
      <c r="B44" s="69"/>
      <c r="C44" s="81"/>
      <c r="D44" s="81"/>
      <c r="E44" s="81"/>
      <c r="F44" s="81"/>
      <c r="G44" s="81"/>
      <c r="H44" s="81"/>
      <c r="I44" s="81"/>
      <c r="J44" s="81"/>
      <c r="K44" s="81"/>
      <c r="L44" s="81"/>
      <c r="M44" s="99"/>
      <c r="N44" s="99"/>
    </row>
    <row r="45" spans="2:14" ht="16" customHeight="1" x14ac:dyDescent="0.2">
      <c r="B45" s="69"/>
      <c r="C45" s="81"/>
      <c r="D45" s="81"/>
      <c r="E45" s="81"/>
      <c r="F45" s="81"/>
      <c r="G45" s="82"/>
      <c r="H45" s="81"/>
      <c r="I45" s="81"/>
      <c r="J45" s="81"/>
      <c r="K45" s="81"/>
      <c r="L45" s="81"/>
      <c r="M45" s="99"/>
      <c r="N45" s="99"/>
    </row>
    <row r="46" spans="2:14" ht="16" customHeight="1" x14ac:dyDescent="0.2">
      <c r="B46" s="69"/>
      <c r="C46" s="81"/>
      <c r="D46" s="81"/>
      <c r="E46" s="81"/>
      <c r="F46" s="81"/>
      <c r="G46" s="81"/>
      <c r="H46" s="81"/>
      <c r="I46" s="81"/>
      <c r="J46" s="81"/>
      <c r="K46" s="81"/>
      <c r="L46" s="81"/>
      <c r="M46" s="99"/>
      <c r="N46" s="99"/>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topLeftCell="C1" workbookViewId="0">
      <selection activeCell="D12" sqref="D12"/>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71"/>
      <c r="C2" s="286"/>
      <c r="D2" s="287"/>
      <c r="E2" s="287"/>
      <c r="F2" s="287"/>
      <c r="G2" s="287"/>
      <c r="H2" s="287"/>
      <c r="I2" s="287"/>
      <c r="J2" s="287"/>
      <c r="K2" s="287"/>
      <c r="L2" s="287"/>
      <c r="M2" s="287"/>
      <c r="N2" s="288"/>
    </row>
    <row r="3" spans="2:15" ht="15" customHeight="1" x14ac:dyDescent="0.2">
      <c r="B3" s="272"/>
      <c r="C3" s="289"/>
      <c r="D3" s="290"/>
      <c r="E3" s="290"/>
      <c r="F3" s="290"/>
      <c r="G3" s="290"/>
      <c r="H3" s="290"/>
      <c r="I3" s="290"/>
      <c r="J3" s="290"/>
      <c r="K3" s="290"/>
      <c r="L3" s="290"/>
      <c r="M3" s="290"/>
      <c r="N3" s="291"/>
    </row>
    <row r="4" spans="2:15" ht="15" customHeight="1" x14ac:dyDescent="0.2">
      <c r="B4" s="272"/>
      <c r="C4" s="289"/>
      <c r="D4" s="290"/>
      <c r="E4" s="290"/>
      <c r="F4" s="290"/>
      <c r="G4" s="290"/>
      <c r="H4" s="290"/>
      <c r="I4" s="290"/>
      <c r="J4" s="290"/>
      <c r="K4" s="290"/>
      <c r="L4" s="290"/>
      <c r="M4" s="290"/>
      <c r="N4" s="291"/>
    </row>
    <row r="5" spans="2:15" ht="15" customHeight="1" x14ac:dyDescent="0.2">
      <c r="B5" s="272"/>
      <c r="C5" s="289"/>
      <c r="D5" s="290"/>
      <c r="E5" s="290"/>
      <c r="F5" s="290"/>
      <c r="G5" s="290"/>
      <c r="H5" s="290"/>
      <c r="I5" s="290"/>
      <c r="J5" s="290"/>
      <c r="K5" s="290"/>
      <c r="L5" s="290"/>
      <c r="M5" s="290"/>
      <c r="N5" s="291"/>
    </row>
    <row r="6" spans="2:15" ht="15" customHeight="1" x14ac:dyDescent="0.2">
      <c r="B6" s="272"/>
      <c r="C6" s="289"/>
      <c r="D6" s="290"/>
      <c r="E6" s="290"/>
      <c r="F6" s="290"/>
      <c r="G6" s="290"/>
      <c r="H6" s="290"/>
      <c r="I6" s="290"/>
      <c r="J6" s="290"/>
      <c r="K6" s="290"/>
      <c r="L6" s="290"/>
      <c r="M6" s="290"/>
      <c r="N6" s="291"/>
    </row>
    <row r="7" spans="2:15" ht="48.75" customHeight="1" thickBot="1" x14ac:dyDescent="0.25">
      <c r="B7" s="272"/>
      <c r="C7" s="289"/>
      <c r="D7" s="290"/>
      <c r="E7" s="290"/>
      <c r="F7" s="290"/>
      <c r="G7" s="290"/>
      <c r="H7" s="290"/>
      <c r="I7" s="290"/>
      <c r="J7" s="290"/>
      <c r="K7" s="290"/>
      <c r="L7" s="290"/>
      <c r="M7" s="290"/>
      <c r="N7" s="291"/>
    </row>
    <row r="8" spans="2:15" ht="18.75" customHeight="1" thickBot="1" x14ac:dyDescent="0.25">
      <c r="B8" s="285"/>
      <c r="C8" s="33">
        <v>2014</v>
      </c>
      <c r="D8" s="33">
        <v>2015</v>
      </c>
      <c r="E8" s="33">
        <v>2016</v>
      </c>
      <c r="F8" s="33">
        <v>2017</v>
      </c>
      <c r="G8" s="33">
        <v>2018</v>
      </c>
      <c r="H8" s="33">
        <v>2019</v>
      </c>
      <c r="I8" s="172">
        <v>2020</v>
      </c>
      <c r="J8" s="103">
        <v>2021</v>
      </c>
      <c r="K8" s="103">
        <v>2022</v>
      </c>
      <c r="L8" s="103">
        <v>2023</v>
      </c>
      <c r="M8" s="103">
        <v>2024</v>
      </c>
      <c r="N8" s="104">
        <v>2025</v>
      </c>
    </row>
    <row r="9" spans="2:15" x14ac:dyDescent="0.2">
      <c r="B9" s="61" t="s">
        <v>38</v>
      </c>
      <c r="C9" s="34"/>
      <c r="D9" s="35"/>
      <c r="E9" s="35"/>
      <c r="F9" s="35"/>
      <c r="G9" s="35"/>
      <c r="H9" s="35"/>
      <c r="I9" s="265"/>
      <c r="J9" s="35"/>
      <c r="K9" s="35"/>
      <c r="L9" s="35"/>
      <c r="M9" s="36"/>
      <c r="N9" s="37"/>
    </row>
    <row r="10" spans="2:15" x14ac:dyDescent="0.2">
      <c r="B10" s="62" t="s">
        <v>6</v>
      </c>
      <c r="C10" s="138">
        <f>'1.Income statement'!C12</f>
        <v>0</v>
      </c>
      <c r="D10" s="138">
        <f>'1.Income statement'!D12</f>
        <v>0</v>
      </c>
      <c r="E10" s="138">
        <f>'1.Income statement'!E12</f>
        <v>516</v>
      </c>
      <c r="F10" s="138">
        <f>'1.Income statement'!F12</f>
        <v>633</v>
      </c>
      <c r="G10" s="138">
        <f>'1.Income statement'!G12</f>
        <v>947</v>
      </c>
      <c r="H10" s="138">
        <f>'1.Income statement'!H12</f>
        <v>1689</v>
      </c>
      <c r="I10" s="139">
        <f>'1.Income statement'!I12</f>
        <v>1710</v>
      </c>
      <c r="J10" s="138">
        <f>'1.Income statement'!J12</f>
        <v>1746.1485000000002</v>
      </c>
      <c r="K10" s="138">
        <f>'1.Income statement'!K12</f>
        <v>2008.0707750000001</v>
      </c>
      <c r="L10" s="138">
        <f>'1.Income statement'!L12</f>
        <v>2309.2813912500005</v>
      </c>
      <c r="M10" s="138">
        <f>'1.Income statement'!M12</f>
        <v>2655.6735999375005</v>
      </c>
      <c r="N10" s="139">
        <f>'1.Income statement'!N12</f>
        <v>3054.024639928125</v>
      </c>
    </row>
    <row r="11" spans="2:15" x14ac:dyDescent="0.2">
      <c r="B11" s="185" t="s">
        <v>40</v>
      </c>
      <c r="C11" s="149"/>
      <c r="D11" s="149"/>
      <c r="E11" s="149">
        <v>28</v>
      </c>
      <c r="F11" s="149">
        <v>52</v>
      </c>
      <c r="G11" s="149">
        <v>8000</v>
      </c>
      <c r="H11" s="149">
        <v>157</v>
      </c>
      <c r="I11" s="266">
        <v>150.1</v>
      </c>
      <c r="J11" s="140">
        <f>(I11*'1.Income statement'!$P$11)+'2.Flujos de caja'!I11</f>
        <v>172.61499999999998</v>
      </c>
      <c r="K11" s="140">
        <f>(J11*'1.Income statement'!$P$11)+'2.Flujos de caja'!J11</f>
        <v>198.50724999999997</v>
      </c>
      <c r="L11" s="140">
        <f>(K11*'1.Income statement'!$P$11)+'2.Flujos de caja'!K11</f>
        <v>228.28333749999996</v>
      </c>
      <c r="M11" s="140">
        <f>(L11*'1.Income statement'!$P$11)+'2.Flujos de caja'!L11</f>
        <v>262.52583812499995</v>
      </c>
      <c r="N11" s="141">
        <f>(M11*'1.Income statement'!$P$11)+'2.Flujos de caja'!M11</f>
        <v>301.90471384374996</v>
      </c>
    </row>
    <row r="12" spans="2:15" x14ac:dyDescent="0.2">
      <c r="B12" s="186" t="s">
        <v>39</v>
      </c>
      <c r="C12" s="142">
        <f>'1.Income statement'!C17</f>
        <v>0</v>
      </c>
      <c r="D12" s="142">
        <f>'1.Income statement'!D17</f>
        <v>0</v>
      </c>
      <c r="E12" s="142">
        <f>'1.Income statement'!E17</f>
        <v>130</v>
      </c>
      <c r="F12" s="142">
        <f>'1.Income statement'!F17</f>
        <v>108</v>
      </c>
      <c r="G12" s="142">
        <f>'1.Income statement'!G17</f>
        <v>280</v>
      </c>
      <c r="H12" s="142">
        <f>'1.Income statement'!H17</f>
        <v>409</v>
      </c>
      <c r="I12" s="143">
        <f>'1.Income statement'!I17</f>
        <v>250</v>
      </c>
      <c r="J12" s="142">
        <f>'1.Income statement'!J17</f>
        <v>200</v>
      </c>
      <c r="K12" s="142">
        <f>'1.Income statement'!K17</f>
        <v>160</v>
      </c>
      <c r="L12" s="142">
        <f>'1.Income statement'!L17</f>
        <v>130</v>
      </c>
      <c r="M12" s="142">
        <f>'1.Income statement'!M17</f>
        <v>80</v>
      </c>
      <c r="N12" s="143">
        <f>'1.Income statement'!N17</f>
        <v>30</v>
      </c>
    </row>
    <row r="13" spans="2:15" x14ac:dyDescent="0.2">
      <c r="B13" s="186" t="s">
        <v>41</v>
      </c>
      <c r="C13" s="142">
        <f>'1.Income statement'!C20</f>
        <v>0</v>
      </c>
      <c r="D13" s="142">
        <f>'1.Income statement'!D20</f>
        <v>0</v>
      </c>
      <c r="E13" s="142">
        <f>'1.Income statement'!E20</f>
        <v>32</v>
      </c>
      <c r="F13" s="142">
        <f>'1.Income statement'!F20</f>
        <v>-46</v>
      </c>
      <c r="G13" s="142">
        <f>'1.Income statement'!G20</f>
        <v>22</v>
      </c>
      <c r="H13" s="142">
        <f>'1.Income statement'!H20</f>
        <v>93</v>
      </c>
      <c r="I13" s="143">
        <f>'1.Income statement'!I20</f>
        <v>150</v>
      </c>
      <c r="J13" s="142">
        <f>'1.Income statement'!J20</f>
        <v>142.47970000000004</v>
      </c>
      <c r="K13" s="142">
        <f>'1.Income statement'!K20</f>
        <v>177.85165500000005</v>
      </c>
      <c r="L13" s="142">
        <f>'1.Income statement'!L20</f>
        <v>215.32940325000004</v>
      </c>
      <c r="M13" s="142">
        <f>'1.Income statement'!M20</f>
        <v>261.5288137375</v>
      </c>
      <c r="N13" s="143">
        <f>'1.Income statement'!N20</f>
        <v>313.15813579812499</v>
      </c>
    </row>
    <row r="14" spans="2:15" x14ac:dyDescent="0.2">
      <c r="B14" s="187" t="s">
        <v>80</v>
      </c>
      <c r="C14" s="184">
        <f>'1.Income statement'!C23</f>
        <v>0</v>
      </c>
      <c r="D14" s="184">
        <f>'1.Income statement'!D23</f>
        <v>0</v>
      </c>
      <c r="E14" s="184">
        <f>'1.Income statement'!E23</f>
        <v>0</v>
      </c>
      <c r="F14" s="184">
        <f>'1.Income statement'!F23</f>
        <v>0</v>
      </c>
      <c r="G14" s="184">
        <f>'1.Income statement'!G23</f>
        <v>0</v>
      </c>
      <c r="H14" s="184">
        <f>'1.Income statement'!H23</f>
        <v>0</v>
      </c>
      <c r="I14" s="267">
        <f>'1.Income statement'!I23</f>
        <v>0</v>
      </c>
      <c r="J14" s="191">
        <f>'1.Income statement'!J23</f>
        <v>0</v>
      </c>
      <c r="K14" s="191">
        <f>'1.Income statement'!K23</f>
        <v>0</v>
      </c>
      <c r="L14" s="191">
        <f>'1.Income statement'!L23</f>
        <v>0</v>
      </c>
      <c r="M14" s="191">
        <f>'1.Income statement'!M23</f>
        <v>0</v>
      </c>
      <c r="N14" s="192">
        <f>'1.Income statement'!N23</f>
        <v>0</v>
      </c>
    </row>
    <row r="15" spans="2:15" x14ac:dyDescent="0.2">
      <c r="B15" s="63" t="s">
        <v>8</v>
      </c>
      <c r="C15" s="144">
        <f t="shared" ref="C15:J15" si="0">C10-C11-C12-C13-C14</f>
        <v>0</v>
      </c>
      <c r="D15" s="144">
        <f t="shared" si="0"/>
        <v>0</v>
      </c>
      <c r="E15" s="144">
        <f t="shared" si="0"/>
        <v>326</v>
      </c>
      <c r="F15" s="144">
        <f t="shared" si="0"/>
        <v>519</v>
      </c>
      <c r="G15" s="144">
        <f t="shared" si="0"/>
        <v>-7355</v>
      </c>
      <c r="H15" s="144">
        <f t="shared" si="0"/>
        <v>1030</v>
      </c>
      <c r="I15" s="268">
        <f t="shared" si="0"/>
        <v>1159.9000000000001</v>
      </c>
      <c r="J15" s="144">
        <f t="shared" si="0"/>
        <v>1231.0538000000001</v>
      </c>
      <c r="K15" s="144">
        <f t="shared" ref="K15:M15" si="1">K10-K11-K12-K13-K14</f>
        <v>1471.7118700000001</v>
      </c>
      <c r="L15" s="144">
        <f t="shared" si="1"/>
        <v>1735.6686505000005</v>
      </c>
      <c r="M15" s="144">
        <f t="shared" si="1"/>
        <v>2051.6189480750004</v>
      </c>
      <c r="N15" s="144">
        <f>N10-N11-N12-N13-N14</f>
        <v>2408.9617902862501</v>
      </c>
      <c r="O15" s="214"/>
    </row>
    <row r="16" spans="2:15" ht="17" thickBot="1" x14ac:dyDescent="0.25">
      <c r="B16" s="64" t="s">
        <v>9</v>
      </c>
      <c r="C16" s="38" t="e">
        <f>C15/'1.Income statement'!C27</f>
        <v>#DIV/0!</v>
      </c>
      <c r="D16" s="38" t="e">
        <f>D15/'1.Income statement'!D27</f>
        <v>#DIV/0!</v>
      </c>
      <c r="E16" s="38">
        <f>E15/'1.Income statement'!E27</f>
        <v>1.5902439024390245</v>
      </c>
      <c r="F16" s="38">
        <f>F15/'1.Income statement'!F27</f>
        <v>2.4597156398104265</v>
      </c>
      <c r="G16" s="38">
        <f>G15/'1.Income statement'!G27</f>
        <v>-30.267489711934157</v>
      </c>
      <c r="H16" s="38">
        <f>H15/'1.Income statement'!H27</f>
        <v>4.087301587301587</v>
      </c>
      <c r="I16" s="39">
        <f>I15/'1.Income statement'!I27</f>
        <v>4.3441947565543071</v>
      </c>
      <c r="J16" s="38">
        <f>J15/'1.Income statement'!J27</f>
        <v>4.444237545126354</v>
      </c>
      <c r="K16" s="38">
        <f>K15/'1.Income statement'!K27</f>
        <v>5.0748685172413799</v>
      </c>
      <c r="L16" s="38">
        <f>L15/'1.Income statement'!L27</f>
        <v>5.7855621683333345</v>
      </c>
      <c r="M16" s="38">
        <f>M15/'1.Income statement'!M27</f>
        <v>9.5424137119767458</v>
      </c>
      <c r="N16" s="39">
        <f>N15/'1.Income statement'!N27</f>
        <v>7.299884212988637</v>
      </c>
      <c r="O16" s="204"/>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01"/>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B5" workbookViewId="0">
      <selection activeCell="H16" sqref="H16"/>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92"/>
      <c r="C2" s="286"/>
      <c r="D2" s="287"/>
      <c r="E2" s="287"/>
      <c r="F2" s="287"/>
      <c r="G2" s="287"/>
      <c r="H2" s="287"/>
      <c r="I2" s="287"/>
      <c r="J2" s="287"/>
      <c r="K2" s="287"/>
      <c r="L2" s="287"/>
      <c r="M2" s="287"/>
      <c r="N2" s="288"/>
    </row>
    <row r="3" spans="2:16" ht="15" customHeight="1" x14ac:dyDescent="0.2">
      <c r="B3" s="293"/>
      <c r="C3" s="289"/>
      <c r="D3" s="290"/>
      <c r="E3" s="290"/>
      <c r="F3" s="290"/>
      <c r="G3" s="290"/>
      <c r="H3" s="290"/>
      <c r="I3" s="290"/>
      <c r="J3" s="290"/>
      <c r="K3" s="290"/>
      <c r="L3" s="290"/>
      <c r="M3" s="290"/>
      <c r="N3" s="291"/>
    </row>
    <row r="4" spans="2:16" ht="15" customHeight="1" x14ac:dyDescent="0.2">
      <c r="B4" s="293"/>
      <c r="C4" s="289"/>
      <c r="D4" s="290"/>
      <c r="E4" s="290"/>
      <c r="F4" s="290"/>
      <c r="G4" s="290"/>
      <c r="H4" s="290"/>
      <c r="I4" s="290"/>
      <c r="J4" s="290"/>
      <c r="K4" s="290"/>
      <c r="L4" s="290"/>
      <c r="M4" s="290"/>
      <c r="N4" s="291"/>
    </row>
    <row r="5" spans="2:16" ht="15" customHeight="1" x14ac:dyDescent="0.2">
      <c r="B5" s="293"/>
      <c r="C5" s="289"/>
      <c r="D5" s="290"/>
      <c r="E5" s="290"/>
      <c r="F5" s="290"/>
      <c r="G5" s="290"/>
      <c r="H5" s="290"/>
      <c r="I5" s="290"/>
      <c r="J5" s="290"/>
      <c r="K5" s="290"/>
      <c r="L5" s="290"/>
      <c r="M5" s="290"/>
      <c r="N5" s="291"/>
    </row>
    <row r="6" spans="2:16" ht="15" customHeight="1" x14ac:dyDescent="0.2">
      <c r="B6" s="293"/>
      <c r="C6" s="289"/>
      <c r="D6" s="290"/>
      <c r="E6" s="290"/>
      <c r="F6" s="290"/>
      <c r="G6" s="290"/>
      <c r="H6" s="290"/>
      <c r="I6" s="290"/>
      <c r="J6" s="290"/>
      <c r="K6" s="290"/>
      <c r="L6" s="290"/>
      <c r="M6" s="290"/>
      <c r="N6" s="291"/>
    </row>
    <row r="7" spans="2:16" ht="48.75" customHeight="1" thickBot="1" x14ac:dyDescent="0.25">
      <c r="B7" s="293"/>
      <c r="C7" s="289"/>
      <c r="D7" s="290"/>
      <c r="E7" s="290"/>
      <c r="F7" s="290"/>
      <c r="G7" s="290"/>
      <c r="H7" s="290"/>
      <c r="I7" s="290"/>
      <c r="J7" s="290"/>
      <c r="K7" s="290"/>
      <c r="L7" s="290"/>
      <c r="M7" s="290"/>
      <c r="N7" s="291"/>
    </row>
    <row r="8" spans="2:16" ht="18.75" customHeight="1" thickBot="1" x14ac:dyDescent="0.25">
      <c r="B8" s="293"/>
      <c r="C8" s="33">
        <v>2014</v>
      </c>
      <c r="D8" s="33">
        <v>2015</v>
      </c>
      <c r="E8" s="33">
        <v>2016</v>
      </c>
      <c r="F8" s="33">
        <v>2017</v>
      </c>
      <c r="G8" s="33">
        <v>2018</v>
      </c>
      <c r="H8" s="33">
        <v>2019</v>
      </c>
      <c r="I8" s="172">
        <v>2020</v>
      </c>
      <c r="J8" s="103">
        <v>2021</v>
      </c>
      <c r="K8" s="103">
        <v>2022</v>
      </c>
      <c r="L8" s="103">
        <v>2023</v>
      </c>
      <c r="M8" s="103">
        <v>2024</v>
      </c>
      <c r="N8" s="104">
        <v>2025</v>
      </c>
    </row>
    <row r="9" spans="2:16" ht="17" thickBot="1" x14ac:dyDescent="0.25">
      <c r="B9" s="42" t="s">
        <v>42</v>
      </c>
      <c r="C9" s="65"/>
      <c r="D9" s="66"/>
      <c r="E9" s="66"/>
      <c r="F9" s="66"/>
      <c r="G9" s="66"/>
      <c r="H9" s="66"/>
      <c r="I9" s="146"/>
      <c r="J9" s="65"/>
      <c r="K9" s="66"/>
      <c r="L9" s="66"/>
      <c r="M9" s="48"/>
      <c r="N9" s="49"/>
    </row>
    <row r="10" spans="2:16" ht="16" thickBot="1" x14ac:dyDescent="0.25">
      <c r="B10" s="205" t="s">
        <v>11</v>
      </c>
      <c r="C10" s="44">
        <f>'1.Income statement'!C15</f>
        <v>0</v>
      </c>
      <c r="D10" s="44">
        <f>'1.Income statement'!D15</f>
        <v>0</v>
      </c>
      <c r="E10" s="44">
        <f>'1.Income statement'!E15</f>
        <v>288</v>
      </c>
      <c r="F10" s="44">
        <f>'1.Income statement'!F15</f>
        <v>396</v>
      </c>
      <c r="G10" s="44">
        <f>'1.Income statement'!G15</f>
        <v>429</v>
      </c>
      <c r="H10" s="44">
        <f>'1.Income statement'!H15</f>
        <v>914</v>
      </c>
      <c r="I10" s="44">
        <f>'1.Income statement'!I15</f>
        <v>985</v>
      </c>
      <c r="J10" s="43">
        <f>'1.Income statement'!J15</f>
        <v>912.39850000000013</v>
      </c>
      <c r="K10" s="44">
        <f>'1.Income statement'!K15</f>
        <v>1049.2582750000001</v>
      </c>
      <c r="L10" s="44">
        <f>'1.Income statement'!L15</f>
        <v>1206.6470162500002</v>
      </c>
      <c r="M10" s="44">
        <f>'1.Income statement'!M15</f>
        <v>1387.6440686875001</v>
      </c>
      <c r="N10" s="45">
        <f>'1.Income statement'!N15</f>
        <v>1595.7906789906249</v>
      </c>
      <c r="O10" s="16" t="s">
        <v>33</v>
      </c>
      <c r="P10" s="10">
        <f>'1.Income statement'!$P$11</f>
        <v>0.15</v>
      </c>
    </row>
    <row r="11" spans="2:16" x14ac:dyDescent="0.2">
      <c r="B11" s="206" t="s">
        <v>43</v>
      </c>
      <c r="C11" s="51">
        <f>'1.Income statement'!C17</f>
        <v>0</v>
      </c>
      <c r="D11" s="51">
        <f>'1.Income statement'!D17</f>
        <v>0</v>
      </c>
      <c r="E11" s="51">
        <f>'1.Income statement'!E17</f>
        <v>130</v>
      </c>
      <c r="F11" s="51">
        <f>'1.Income statement'!F17</f>
        <v>108</v>
      </c>
      <c r="G11" s="51">
        <f>'1.Income statement'!G17</f>
        <v>280</v>
      </c>
      <c r="H11" s="51">
        <f>'1.Income statement'!H17</f>
        <v>409</v>
      </c>
      <c r="I11" s="51">
        <f>'1.Income statement'!I17</f>
        <v>250</v>
      </c>
      <c r="J11" s="50">
        <f>'1.Income statement'!J17</f>
        <v>200</v>
      </c>
      <c r="K11" s="51">
        <f>'1.Income statement'!K17</f>
        <v>160</v>
      </c>
      <c r="L11" s="51">
        <f>'1.Income statement'!L17</f>
        <v>130</v>
      </c>
      <c r="M11" s="51">
        <f>'1.Income statement'!M17</f>
        <v>80</v>
      </c>
      <c r="N11" s="52">
        <f>'1.Income statement'!N17</f>
        <v>30</v>
      </c>
    </row>
    <row r="12" spans="2:16" x14ac:dyDescent="0.2">
      <c r="B12" s="207" t="s">
        <v>41</v>
      </c>
      <c r="C12" s="53">
        <f>'1.Income statement'!C20</f>
        <v>0</v>
      </c>
      <c r="D12" s="53">
        <f>'1.Income statement'!D20</f>
        <v>0</v>
      </c>
      <c r="E12" s="53">
        <f>'1.Income statement'!E20</f>
        <v>32</v>
      </c>
      <c r="F12" s="53">
        <f>'1.Income statement'!F20</f>
        <v>-46</v>
      </c>
      <c r="G12" s="53">
        <f>'1.Income statement'!G20</f>
        <v>22</v>
      </c>
      <c r="H12" s="53">
        <f>'1.Income statement'!H20</f>
        <v>93</v>
      </c>
      <c r="I12" s="54">
        <f>'1.Income statement'!I20</f>
        <v>150</v>
      </c>
      <c r="J12" s="53">
        <f>'1.Income statement'!J20</f>
        <v>142.47970000000004</v>
      </c>
      <c r="K12" s="53">
        <f>'1.Income statement'!K20</f>
        <v>177.85165500000005</v>
      </c>
      <c r="L12" s="53">
        <f>'1.Income statement'!L20</f>
        <v>215.32940325000004</v>
      </c>
      <c r="M12" s="53">
        <f>'1.Income statement'!M20</f>
        <v>261.5288137375</v>
      </c>
      <c r="N12" s="54">
        <f>'1.Income statement'!N20</f>
        <v>313.15813579812499</v>
      </c>
    </row>
    <row r="13" spans="2:16" x14ac:dyDescent="0.2">
      <c r="B13" s="208" t="s">
        <v>12</v>
      </c>
      <c r="C13" s="44">
        <f>'1.Income statement'!C24</f>
        <v>0</v>
      </c>
      <c r="D13" s="44">
        <f>'1.Income statement'!D24</f>
        <v>0</v>
      </c>
      <c r="E13" s="44">
        <f>'1.Income statement'!E24</f>
        <v>126</v>
      </c>
      <c r="F13" s="44">
        <f>'1.Income statement'!F24</f>
        <v>334</v>
      </c>
      <c r="G13" s="44">
        <f>'1.Income statement'!G24</f>
        <v>127</v>
      </c>
      <c r="H13" s="44">
        <f>'1.Income statement'!H24</f>
        <v>412</v>
      </c>
      <c r="I13" s="44">
        <f>'1.Income statement'!I24</f>
        <v>585</v>
      </c>
      <c r="J13" s="43">
        <f>'1.Income statement'!J24</f>
        <v>569.91880000000015</v>
      </c>
      <c r="K13" s="44">
        <f>'1.Income statement'!K24</f>
        <v>711.40662000000009</v>
      </c>
      <c r="L13" s="44">
        <f>'1.Income statement'!L24</f>
        <v>861.31761300000016</v>
      </c>
      <c r="M13" s="44">
        <f>'1.Income statement'!M24</f>
        <v>1046.11525495</v>
      </c>
      <c r="N13" s="45">
        <f>'1.Income statement'!N24</f>
        <v>1252.6325431925</v>
      </c>
    </row>
    <row r="14" spans="2:16" x14ac:dyDescent="0.2">
      <c r="B14" s="209" t="s">
        <v>47</v>
      </c>
      <c r="C14" s="231"/>
      <c r="D14" s="231"/>
      <c r="E14" s="231"/>
      <c r="F14" s="231">
        <v>64</v>
      </c>
      <c r="G14" s="231">
        <v>166</v>
      </c>
      <c r="H14" s="238">
        <v>152</v>
      </c>
      <c r="I14" s="188">
        <v>209</v>
      </c>
      <c r="J14" s="53">
        <f>I14*$P$10+I14</f>
        <v>240.35</v>
      </c>
      <c r="K14" s="53">
        <f t="shared" ref="K14:N14" si="0">J14*$P$10+J14</f>
        <v>276.40249999999997</v>
      </c>
      <c r="L14" s="53">
        <f t="shared" si="0"/>
        <v>317.86287499999997</v>
      </c>
      <c r="M14" s="53">
        <f t="shared" si="0"/>
        <v>365.54230624999997</v>
      </c>
      <c r="N14" s="53">
        <f t="shared" si="0"/>
        <v>420.37365218749994</v>
      </c>
      <c r="O14" s="214"/>
    </row>
    <row r="15" spans="2:16" x14ac:dyDescent="0.2">
      <c r="B15" s="210" t="s">
        <v>44</v>
      </c>
      <c r="C15" s="231"/>
      <c r="D15" s="231"/>
      <c r="E15" s="231"/>
      <c r="F15" s="231">
        <f>38+118+2007</f>
        <v>2163</v>
      </c>
      <c r="G15" s="231">
        <f>87+8168</f>
        <v>8255</v>
      </c>
      <c r="H15" s="239">
        <f>76+7078</f>
        <v>7154</v>
      </c>
      <c r="I15" s="147">
        <f>53+6388</f>
        <v>6441</v>
      </c>
      <c r="J15" s="53">
        <f t="shared" ref="J15:J17" si="1">I15*$P$10+I15</f>
        <v>7407.15</v>
      </c>
      <c r="K15" s="53">
        <f t="shared" ref="K15:N15" si="2">J15*$P$10+J15</f>
        <v>8518.2224999999999</v>
      </c>
      <c r="L15" s="53">
        <f t="shared" si="2"/>
        <v>9795.9558749999997</v>
      </c>
      <c r="M15" s="53">
        <f t="shared" si="2"/>
        <v>11265.34925625</v>
      </c>
      <c r="N15" s="54">
        <f t="shared" si="2"/>
        <v>12955.151644687499</v>
      </c>
    </row>
    <row r="16" spans="2:16" x14ac:dyDescent="0.2">
      <c r="B16" s="209" t="s">
        <v>45</v>
      </c>
      <c r="C16" s="231"/>
      <c r="D16" s="231"/>
      <c r="E16" s="231"/>
      <c r="F16" s="231">
        <v>3707</v>
      </c>
      <c r="G16" s="231">
        <v>7858</v>
      </c>
      <c r="H16" s="239">
        <v>7960</v>
      </c>
      <c r="I16" s="147">
        <v>8078.7</v>
      </c>
      <c r="J16" s="53">
        <f t="shared" si="1"/>
        <v>9290.5049999999992</v>
      </c>
      <c r="K16" s="53">
        <f t="shared" ref="K16:N16" si="3">J16*$P$10+J16</f>
        <v>10684.080749999999</v>
      </c>
      <c r="L16" s="53">
        <f t="shared" si="3"/>
        <v>12286.692862499998</v>
      </c>
      <c r="M16" s="53">
        <f t="shared" si="3"/>
        <v>14129.696791874998</v>
      </c>
      <c r="N16" s="54">
        <f t="shared" si="3"/>
        <v>16249.151310656247</v>
      </c>
    </row>
    <row r="17" spans="2:14" x14ac:dyDescent="0.2">
      <c r="B17" s="209" t="s">
        <v>46</v>
      </c>
      <c r="C17" s="232"/>
      <c r="D17" s="232"/>
      <c r="E17" s="232"/>
      <c r="F17" s="232">
        <v>2686</v>
      </c>
      <c r="G17" s="231">
        <v>4580</v>
      </c>
      <c r="H17" s="232">
        <v>5116</v>
      </c>
      <c r="I17" s="189">
        <v>5716</v>
      </c>
      <c r="J17" s="53">
        <f t="shared" si="1"/>
        <v>6573.4</v>
      </c>
      <c r="K17" s="148">
        <f t="shared" ref="K17:N17" si="4">J17*$P$10+J17</f>
        <v>7559.41</v>
      </c>
      <c r="L17" s="148">
        <f t="shared" si="4"/>
        <v>8693.3215</v>
      </c>
      <c r="M17" s="148">
        <f t="shared" si="4"/>
        <v>9997.3197249999994</v>
      </c>
      <c r="N17" s="54">
        <f t="shared" si="4"/>
        <v>11496.91768375</v>
      </c>
    </row>
    <row r="18" spans="2:14" x14ac:dyDescent="0.2">
      <c r="B18" s="211" t="s">
        <v>51</v>
      </c>
      <c r="C18" s="59">
        <f>C17+C15-C14</f>
        <v>0</v>
      </c>
      <c r="D18" s="59">
        <f t="shared" ref="D18:I18" si="5">D17+D15-D14</f>
        <v>0</v>
      </c>
      <c r="E18" s="59">
        <f t="shared" si="5"/>
        <v>0</v>
      </c>
      <c r="F18" s="59">
        <f t="shared" si="5"/>
        <v>4785</v>
      </c>
      <c r="G18" s="190">
        <f t="shared" si="5"/>
        <v>12669</v>
      </c>
      <c r="H18" s="59">
        <f t="shared" si="5"/>
        <v>12118</v>
      </c>
      <c r="I18" s="59">
        <f t="shared" si="5"/>
        <v>11948</v>
      </c>
      <c r="J18" s="129">
        <f t="shared" ref="J18:N18" si="6">J17+J15-J14</f>
        <v>13740.199999999999</v>
      </c>
      <c r="K18" s="59">
        <f t="shared" si="6"/>
        <v>15801.23</v>
      </c>
      <c r="L18" s="59">
        <f t="shared" si="6"/>
        <v>18171.414499999999</v>
      </c>
      <c r="M18" s="59">
        <f t="shared" si="6"/>
        <v>20897.126674999996</v>
      </c>
      <c r="N18" s="55">
        <f t="shared" si="6"/>
        <v>24031.695676250001</v>
      </c>
    </row>
    <row r="19" spans="2:14" x14ac:dyDescent="0.2">
      <c r="B19" s="212" t="s">
        <v>52</v>
      </c>
      <c r="C19" s="56">
        <f t="shared" ref="C19:I19" si="7">C15-C14+C17-C16</f>
        <v>0</v>
      </c>
      <c r="D19" s="56">
        <f t="shared" si="7"/>
        <v>0</v>
      </c>
      <c r="E19" s="56">
        <f t="shared" si="7"/>
        <v>0</v>
      </c>
      <c r="F19" s="56">
        <f t="shared" si="7"/>
        <v>1078</v>
      </c>
      <c r="G19" s="56">
        <f t="shared" si="7"/>
        <v>4811</v>
      </c>
      <c r="H19" s="56">
        <f t="shared" si="7"/>
        <v>4158</v>
      </c>
      <c r="I19" s="56">
        <f t="shared" si="7"/>
        <v>3869.3</v>
      </c>
      <c r="J19" s="130">
        <f t="shared" ref="J19:N19" si="8">J15-J14+J17-J16</f>
        <v>4449.6949999999997</v>
      </c>
      <c r="K19" s="56">
        <f t="shared" si="8"/>
        <v>5117.1492500000004</v>
      </c>
      <c r="L19" s="56">
        <f t="shared" si="8"/>
        <v>5884.7216375000007</v>
      </c>
      <c r="M19" s="56">
        <f t="shared" si="8"/>
        <v>6767.4298831250017</v>
      </c>
      <c r="N19" s="57">
        <f t="shared" si="8"/>
        <v>7782.5443655937506</v>
      </c>
    </row>
    <row r="20" spans="2:14" x14ac:dyDescent="0.2">
      <c r="B20" s="210"/>
      <c r="C20" s="58"/>
      <c r="D20" s="58"/>
      <c r="E20" s="58"/>
      <c r="F20" s="58"/>
      <c r="G20" s="58"/>
      <c r="H20" s="112"/>
      <c r="J20" s="131"/>
      <c r="K20" s="59"/>
      <c r="L20" s="59"/>
      <c r="M20" s="59"/>
      <c r="N20" s="60"/>
    </row>
    <row r="21" spans="2:14" x14ac:dyDescent="0.2">
      <c r="B21" s="209" t="s">
        <v>48</v>
      </c>
      <c r="C21" s="46" t="e">
        <f t="shared" ref="C21:I21" si="9">C13/C17</f>
        <v>#DIV/0!</v>
      </c>
      <c r="D21" s="46" t="e">
        <f t="shared" si="9"/>
        <v>#DIV/0!</v>
      </c>
      <c r="E21" s="46" t="e">
        <f t="shared" si="9"/>
        <v>#DIV/0!</v>
      </c>
      <c r="F21" s="46">
        <f t="shared" si="9"/>
        <v>0.12434847356664185</v>
      </c>
      <c r="G21" s="46">
        <f t="shared" si="9"/>
        <v>2.7729257641921398E-2</v>
      </c>
      <c r="H21" s="46">
        <f t="shared" si="9"/>
        <v>8.0531665363565291E-2</v>
      </c>
      <c r="I21" s="46">
        <f t="shared" si="9"/>
        <v>0.1023442967109867</v>
      </c>
      <c r="J21" s="132">
        <f t="shared" ref="J21:N21" si="10">J13/J17</f>
        <v>8.6700763683938323E-2</v>
      </c>
      <c r="K21" s="46">
        <f t="shared" si="10"/>
        <v>9.4108749227783658E-2</v>
      </c>
      <c r="L21" s="46">
        <f t="shared" si="10"/>
        <v>9.9078081145394223E-2</v>
      </c>
      <c r="M21" s="46">
        <f t="shared" si="10"/>
        <v>0.10463957177782469</v>
      </c>
      <c r="N21" s="47">
        <f t="shared" si="10"/>
        <v>0.1089537715802731</v>
      </c>
    </row>
    <row r="22" spans="2:14" x14ac:dyDescent="0.2">
      <c r="B22" s="209" t="s">
        <v>54</v>
      </c>
      <c r="C22" s="20" t="e">
        <f t="shared" ref="C22:I22" si="11">C10/C19</f>
        <v>#DIV/0!</v>
      </c>
      <c r="D22" s="20" t="e">
        <f t="shared" si="11"/>
        <v>#DIV/0!</v>
      </c>
      <c r="E22" s="20" t="e">
        <f t="shared" si="11"/>
        <v>#DIV/0!</v>
      </c>
      <c r="F22" s="20">
        <f t="shared" si="11"/>
        <v>0.36734693877551022</v>
      </c>
      <c r="G22" s="20">
        <f t="shared" si="11"/>
        <v>8.9170650592392431E-2</v>
      </c>
      <c r="H22" s="20">
        <f t="shared" si="11"/>
        <v>0.21981721981721983</v>
      </c>
      <c r="I22" s="20">
        <f t="shared" si="11"/>
        <v>0.25456800971751997</v>
      </c>
      <c r="J22" s="133">
        <f t="shared" ref="J22:N22" si="12">J10/J19</f>
        <v>0.20504742459876468</v>
      </c>
      <c r="K22" s="20">
        <f t="shared" si="12"/>
        <v>0.20504742459876465</v>
      </c>
      <c r="L22" s="20">
        <f t="shared" si="12"/>
        <v>0.20504742459876465</v>
      </c>
      <c r="M22" s="20">
        <f t="shared" si="12"/>
        <v>0.2050474245987646</v>
      </c>
      <c r="N22" s="22">
        <f t="shared" si="12"/>
        <v>0.2050474245987646</v>
      </c>
    </row>
    <row r="23" spans="2:14" ht="16" thickBot="1" x14ac:dyDescent="0.25">
      <c r="B23" s="213" t="s">
        <v>53</v>
      </c>
      <c r="C23" s="21" t="e">
        <f t="shared" ref="C23:I23" si="13">C10/C18</f>
        <v>#DIV/0!</v>
      </c>
      <c r="D23" s="21" t="e">
        <f t="shared" si="13"/>
        <v>#DIV/0!</v>
      </c>
      <c r="E23" s="21" t="e">
        <f t="shared" si="13"/>
        <v>#DIV/0!</v>
      </c>
      <c r="F23" s="21">
        <f t="shared" si="13"/>
        <v>8.2758620689655171E-2</v>
      </c>
      <c r="G23" s="21">
        <f t="shared" si="13"/>
        <v>3.3862183282026996E-2</v>
      </c>
      <c r="H23" s="21">
        <f t="shared" si="13"/>
        <v>7.5424987621719758E-2</v>
      </c>
      <c r="I23" s="21">
        <f t="shared" si="13"/>
        <v>8.2440575828590559E-2</v>
      </c>
      <c r="J23" s="134">
        <f t="shared" ref="J23:N23" si="14">J10/J18</f>
        <v>6.6403582189487789E-2</v>
      </c>
      <c r="K23" s="21">
        <f t="shared" si="14"/>
        <v>6.6403582189487789E-2</v>
      </c>
      <c r="L23" s="21">
        <f t="shared" si="14"/>
        <v>6.6403582189487789E-2</v>
      </c>
      <c r="M23" s="21">
        <f t="shared" si="14"/>
        <v>6.6403582189487803E-2</v>
      </c>
      <c r="N23" s="23">
        <f t="shared" si="14"/>
        <v>6.6403582189487775E-2</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topLeftCell="D7" zoomScaleNormal="100" workbookViewId="0">
      <selection activeCell="P28" sqref="P28"/>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92"/>
      <c r="C2" s="301"/>
      <c r="D2" s="302"/>
      <c r="E2" s="302"/>
      <c r="F2" s="302"/>
      <c r="G2" s="302"/>
      <c r="H2" s="302"/>
      <c r="I2" s="302"/>
      <c r="J2" s="302"/>
      <c r="K2" s="302"/>
      <c r="L2" s="302"/>
      <c r="M2" s="302"/>
      <c r="N2" s="303"/>
      <c r="O2" s="1"/>
      <c r="P2" s="1"/>
      <c r="Q2" s="1"/>
      <c r="R2" s="1"/>
      <c r="S2" s="1"/>
      <c r="T2" s="1"/>
      <c r="U2" s="1"/>
      <c r="V2" s="1"/>
    </row>
    <row r="3" spans="2:22" ht="15" customHeight="1" x14ac:dyDescent="0.2">
      <c r="B3" s="293"/>
      <c r="C3" s="304"/>
      <c r="D3" s="305"/>
      <c r="E3" s="305"/>
      <c r="F3" s="305"/>
      <c r="G3" s="305"/>
      <c r="H3" s="305"/>
      <c r="I3" s="305"/>
      <c r="J3" s="305"/>
      <c r="K3" s="305"/>
      <c r="L3" s="305"/>
      <c r="M3" s="305"/>
      <c r="N3" s="306"/>
      <c r="O3" s="1"/>
      <c r="P3" s="1"/>
      <c r="Q3" s="1"/>
      <c r="R3" s="1"/>
      <c r="S3" s="1"/>
      <c r="T3" s="1"/>
      <c r="U3" s="1"/>
      <c r="V3" s="1"/>
    </row>
    <row r="4" spans="2:22" ht="15" customHeight="1" x14ac:dyDescent="0.2">
      <c r="B4" s="293"/>
      <c r="C4" s="304"/>
      <c r="D4" s="305"/>
      <c r="E4" s="305"/>
      <c r="F4" s="305"/>
      <c r="G4" s="305"/>
      <c r="H4" s="305"/>
      <c r="I4" s="305"/>
      <c r="J4" s="305"/>
      <c r="K4" s="305"/>
      <c r="L4" s="305"/>
      <c r="M4" s="305"/>
      <c r="N4" s="306"/>
      <c r="O4" s="1"/>
      <c r="P4" s="1"/>
      <c r="Q4" s="1"/>
      <c r="R4" s="1"/>
      <c r="S4" s="1"/>
      <c r="T4" s="1"/>
      <c r="U4" s="1"/>
      <c r="V4" s="1"/>
    </row>
    <row r="5" spans="2:22" ht="15" customHeight="1" x14ac:dyDescent="0.2">
      <c r="B5" s="293"/>
      <c r="C5" s="304"/>
      <c r="D5" s="305"/>
      <c r="E5" s="305"/>
      <c r="F5" s="305"/>
      <c r="G5" s="305"/>
      <c r="H5" s="305"/>
      <c r="I5" s="305"/>
      <c r="J5" s="305"/>
      <c r="K5" s="305"/>
      <c r="L5" s="305"/>
      <c r="M5" s="305"/>
      <c r="N5" s="306"/>
      <c r="O5" s="1"/>
      <c r="P5" s="1"/>
      <c r="Q5" s="1"/>
      <c r="R5" s="1"/>
      <c r="S5" s="1"/>
      <c r="T5" s="1"/>
      <c r="U5" s="1"/>
      <c r="V5" s="1"/>
    </row>
    <row r="6" spans="2:22" ht="15" customHeight="1" x14ac:dyDescent="0.2">
      <c r="B6" s="293"/>
      <c r="C6" s="304"/>
      <c r="D6" s="305"/>
      <c r="E6" s="305"/>
      <c r="F6" s="305"/>
      <c r="G6" s="305"/>
      <c r="H6" s="305"/>
      <c r="I6" s="305"/>
      <c r="J6" s="305"/>
      <c r="K6" s="305"/>
      <c r="L6" s="305"/>
      <c r="M6" s="305"/>
      <c r="N6" s="306"/>
      <c r="O6" s="1"/>
      <c r="P6" s="1"/>
      <c r="Q6" s="1"/>
      <c r="R6" s="1"/>
      <c r="S6" s="1"/>
      <c r="T6" s="1"/>
      <c r="U6" s="1"/>
      <c r="V6" s="1"/>
    </row>
    <row r="7" spans="2:22" ht="48.75" customHeight="1" thickBot="1" x14ac:dyDescent="0.25">
      <c r="B7" s="293"/>
      <c r="C7" s="304"/>
      <c r="D7" s="305"/>
      <c r="E7" s="305"/>
      <c r="F7" s="305"/>
      <c r="G7" s="305"/>
      <c r="H7" s="305"/>
      <c r="I7" s="305"/>
      <c r="J7" s="307"/>
      <c r="K7" s="307"/>
      <c r="L7" s="307"/>
      <c r="M7" s="307"/>
      <c r="N7" s="308"/>
      <c r="O7" s="1"/>
      <c r="P7" s="1"/>
      <c r="Q7" s="1"/>
      <c r="R7" s="1"/>
      <c r="S7" s="1"/>
      <c r="T7" s="1"/>
      <c r="U7" s="1"/>
      <c r="V7" s="1"/>
    </row>
    <row r="8" spans="2:22" ht="18.75" customHeight="1" thickBot="1" x14ac:dyDescent="0.25">
      <c r="B8" s="293"/>
      <c r="C8" s="33">
        <v>2014</v>
      </c>
      <c r="D8" s="33">
        <v>2015</v>
      </c>
      <c r="E8" s="33">
        <v>2016</v>
      </c>
      <c r="F8" s="33">
        <v>2017</v>
      </c>
      <c r="G8" s="33">
        <v>2018</v>
      </c>
      <c r="H8" s="33">
        <v>2019</v>
      </c>
      <c r="I8" s="33">
        <v>2020</v>
      </c>
      <c r="J8" s="102">
        <v>2021</v>
      </c>
      <c r="K8" s="103">
        <v>2022</v>
      </c>
      <c r="L8" s="103">
        <v>2023</v>
      </c>
      <c r="M8" s="103">
        <v>2024</v>
      </c>
      <c r="N8" s="104">
        <v>2025</v>
      </c>
      <c r="O8" s="217"/>
      <c r="P8" s="1"/>
      <c r="Q8" s="1"/>
      <c r="R8" s="1"/>
      <c r="S8" s="1"/>
      <c r="T8" s="1"/>
      <c r="U8" s="1"/>
      <c r="V8" s="1"/>
    </row>
    <row r="9" spans="2:22" ht="17" thickBot="1" x14ac:dyDescent="0.25">
      <c r="B9" s="114" t="s">
        <v>27</v>
      </c>
      <c r="C9" s="117"/>
      <c r="D9" s="30"/>
      <c r="E9" s="30"/>
      <c r="F9" s="30"/>
      <c r="G9" s="30"/>
      <c r="H9" s="30"/>
      <c r="I9" s="106"/>
      <c r="J9" s="30"/>
      <c r="K9" s="30"/>
      <c r="L9" s="30"/>
      <c r="M9" s="58"/>
      <c r="N9" s="118"/>
      <c r="O9" s="294" t="s">
        <v>14</v>
      </c>
      <c r="P9" s="295"/>
      <c r="Q9" s="15">
        <v>71.58</v>
      </c>
      <c r="R9" s="1"/>
      <c r="S9" s="1"/>
      <c r="T9" s="1"/>
      <c r="U9" s="1"/>
      <c r="V9" s="1"/>
    </row>
    <row r="10" spans="2:22" ht="16" x14ac:dyDescent="0.2">
      <c r="B10" s="62" t="s">
        <v>26</v>
      </c>
      <c r="C10" s="116"/>
      <c r="D10" s="107"/>
      <c r="E10" s="107"/>
      <c r="F10" s="107"/>
      <c r="G10" s="107"/>
      <c r="H10" s="107"/>
      <c r="I10" s="108">
        <f>$Q$9*'1.Income statement'!I27</f>
        <v>19111.86</v>
      </c>
      <c r="J10" s="107">
        <f>$Q$9*'1.Income statement'!J27</f>
        <v>19827.66</v>
      </c>
      <c r="K10" s="107">
        <f>$Q$9*'1.Income statement'!K27</f>
        <v>20758.2</v>
      </c>
      <c r="L10" s="107">
        <f>$Q$9*'1.Income statement'!L27</f>
        <v>21474</v>
      </c>
      <c r="M10" s="107">
        <f>$Q$9*'1.Income statement'!M27</f>
        <v>15389.699999999999</v>
      </c>
      <c r="N10" s="119">
        <f>$Q$9*'1.Income statement'!N27</f>
        <v>23621.399999999998</v>
      </c>
      <c r="O10" s="14"/>
      <c r="P10" s="14"/>
      <c r="Q10" s="14"/>
      <c r="R10" s="1"/>
      <c r="S10" s="1"/>
      <c r="T10" s="1"/>
      <c r="U10" s="1"/>
      <c r="V10" s="1"/>
    </row>
    <row r="11" spans="2:22" ht="16" x14ac:dyDescent="0.2">
      <c r="B11" s="62" t="s">
        <v>60</v>
      </c>
      <c r="C11" s="107">
        <f>'3.retornos capital'!C15-'3.retornos capital'!C14</f>
        <v>0</v>
      </c>
      <c r="D11" s="107">
        <f>'3.retornos capital'!D15-'3.retornos capital'!D14</f>
        <v>0</v>
      </c>
      <c r="E11" s="107">
        <f>'3.retornos capital'!E15-'3.retornos capital'!E14</f>
        <v>0</v>
      </c>
      <c r="F11" s="107">
        <f>'3.retornos capital'!F15-'3.retornos capital'!F14</f>
        <v>2099</v>
      </c>
      <c r="G11" s="107">
        <f>'3.retornos capital'!G15-'3.retornos capital'!G14</f>
        <v>8089</v>
      </c>
      <c r="H11" s="107">
        <f>'3.retornos capital'!H15-'3.retornos capital'!H14</f>
        <v>7002</v>
      </c>
      <c r="I11" s="108">
        <f>'3.retornos capital'!I15-'3.retornos capital'!I14</f>
        <v>6232</v>
      </c>
      <c r="J11" s="221">
        <v>6232</v>
      </c>
      <c r="K11" s="221">
        <v>6232</v>
      </c>
      <c r="L11" s="221">
        <v>6500</v>
      </c>
      <c r="M11" s="221">
        <v>6700</v>
      </c>
      <c r="N11" s="218">
        <v>6700</v>
      </c>
      <c r="O11" s="296"/>
      <c r="P11" s="296"/>
      <c r="Q11" s="14"/>
      <c r="R11" s="1"/>
      <c r="S11" s="1"/>
      <c r="T11" s="1"/>
      <c r="U11" s="1"/>
      <c r="V11" s="1"/>
    </row>
    <row r="12" spans="2:22" ht="16" x14ac:dyDescent="0.2">
      <c r="B12" s="110" t="s">
        <v>81</v>
      </c>
      <c r="C12" s="135" t="e">
        <f>C11/'1.Income statement'!C12</f>
        <v>#DIV/0!</v>
      </c>
      <c r="D12" s="135" t="e">
        <f>D11/'1.Income statement'!D12</f>
        <v>#DIV/0!</v>
      </c>
      <c r="E12" s="135">
        <f>E11/'1.Income statement'!E12</f>
        <v>0</v>
      </c>
      <c r="F12" s="135">
        <f>F11/'1.Income statement'!F12</f>
        <v>3.315955766192733</v>
      </c>
      <c r="G12" s="135">
        <f>G11/'1.Income statement'!G12</f>
        <v>8.5417106652587123</v>
      </c>
      <c r="H12" s="135">
        <f>H11/'1.Income statement'!H12</f>
        <v>4.1456483126110122</v>
      </c>
      <c r="I12" s="12">
        <f>I11/'1.Income statement'!I12</f>
        <v>3.6444444444444444</v>
      </c>
      <c r="J12" s="216">
        <f>J11/'1.Income statement'!J12</f>
        <v>3.5689977112484987</v>
      </c>
      <c r="K12" s="135">
        <f>K11/'1.Income statement'!K12</f>
        <v>3.1034762706508685</v>
      </c>
      <c r="L12" s="135">
        <f>L11/'1.Income statement'!L12</f>
        <v>2.8147284365728975</v>
      </c>
      <c r="M12" s="135">
        <f>M11/'1.Income statement'!M12</f>
        <v>2.5229004046874133</v>
      </c>
      <c r="N12" s="120">
        <f>N11/'1.Income statement'!N12</f>
        <v>2.1938264388586206</v>
      </c>
      <c r="O12" s="297"/>
      <c r="P12" s="297"/>
      <c r="Q12" s="14"/>
      <c r="R12" s="1"/>
      <c r="S12" s="1"/>
      <c r="T12" s="1"/>
      <c r="U12" s="1"/>
      <c r="V12" s="1"/>
    </row>
    <row r="13" spans="2:22" ht="16" x14ac:dyDescent="0.2">
      <c r="B13" s="110" t="s">
        <v>82</v>
      </c>
      <c r="C13" s="135" t="e">
        <f>C11/'3.retornos capital'!C17</f>
        <v>#DIV/0!</v>
      </c>
      <c r="D13" s="135" t="e">
        <f>D11/'3.retornos capital'!D17</f>
        <v>#DIV/0!</v>
      </c>
      <c r="E13" s="135" t="e">
        <f>E11/'3.retornos capital'!E17</f>
        <v>#DIV/0!</v>
      </c>
      <c r="F13" s="135">
        <f>F11/'3.retornos capital'!F17</f>
        <v>0.78145941921072226</v>
      </c>
      <c r="G13" s="135">
        <f>G11/'3.retornos capital'!G17</f>
        <v>1.7661572052401746</v>
      </c>
      <c r="H13" s="135">
        <f>H11/'3.retornos capital'!H17</f>
        <v>1.3686473807662236</v>
      </c>
      <c r="I13" s="135">
        <f>I11/'3.retornos capital'!I17</f>
        <v>1.0902729181245627</v>
      </c>
      <c r="J13" s="216">
        <f>J11/'3.retornos capital'!J17</f>
        <v>0.94806340706483716</v>
      </c>
      <c r="K13" s="135">
        <f>K11/'3.retornos capital'!K17</f>
        <v>0.82440296266507573</v>
      </c>
      <c r="L13" s="135">
        <f>L11/'3.retornos capital'!L17</f>
        <v>0.74770040427010553</v>
      </c>
      <c r="M13" s="135">
        <f>M11/'3.retornos capital'!M17</f>
        <v>0.67017962656986052</v>
      </c>
      <c r="N13" s="135">
        <f>N11/'3.retornos capital'!N17</f>
        <v>0.58276489266944387</v>
      </c>
      <c r="O13" s="219"/>
      <c r="P13" s="194"/>
      <c r="Q13" s="14"/>
      <c r="R13" s="1"/>
      <c r="S13" s="1"/>
      <c r="T13" s="1"/>
      <c r="U13" s="1"/>
      <c r="V13" s="1"/>
    </row>
    <row r="14" spans="2:22" ht="16" x14ac:dyDescent="0.2">
      <c r="B14" s="111" t="s">
        <v>25</v>
      </c>
      <c r="C14" s="44"/>
      <c r="D14" s="44"/>
      <c r="E14" s="44"/>
      <c r="F14" s="44"/>
      <c r="G14" s="44"/>
      <c r="H14" s="44"/>
      <c r="I14" s="13">
        <f>I10+I11</f>
        <v>25343.86</v>
      </c>
      <c r="J14" s="44">
        <f t="shared" ref="J14:N14" si="0">J10+J11</f>
        <v>26059.66</v>
      </c>
      <c r="K14" s="44">
        <f t="shared" si="0"/>
        <v>26990.2</v>
      </c>
      <c r="L14" s="44">
        <f t="shared" si="0"/>
        <v>27974</v>
      </c>
      <c r="M14" s="44">
        <f t="shared" si="0"/>
        <v>22089.699999999997</v>
      </c>
      <c r="N14" s="45">
        <f t="shared" si="0"/>
        <v>30321.399999999998</v>
      </c>
      <c r="O14" s="309"/>
      <c r="P14" s="309"/>
      <c r="Q14" s="14"/>
      <c r="R14" s="1"/>
      <c r="S14" s="1"/>
      <c r="T14" s="1"/>
      <c r="U14" s="1"/>
      <c r="V14" s="1"/>
    </row>
    <row r="15" spans="2:22" ht="16" x14ac:dyDescent="0.2">
      <c r="B15" s="62" t="s">
        <v>6</v>
      </c>
      <c r="C15" s="107">
        <f>'1.Income statement'!C12</f>
        <v>0</v>
      </c>
      <c r="D15" s="107">
        <f>'1.Income statement'!D12</f>
        <v>0</v>
      </c>
      <c r="E15" s="107">
        <f>'1.Income statement'!E12</f>
        <v>516</v>
      </c>
      <c r="F15" s="107">
        <f>'1.Income statement'!F12</f>
        <v>633</v>
      </c>
      <c r="G15" s="107">
        <f>'1.Income statement'!G12</f>
        <v>947</v>
      </c>
      <c r="H15" s="215">
        <f>'1.Income statement'!H12</f>
        <v>1689</v>
      </c>
      <c r="I15" s="109">
        <f>'1.Income statement'!I12</f>
        <v>1710</v>
      </c>
      <c r="J15" s="107">
        <f>'1.Income statement'!J12</f>
        <v>1746.1485000000002</v>
      </c>
      <c r="K15" s="107">
        <f>'1.Income statement'!K12</f>
        <v>2008.0707750000001</v>
      </c>
      <c r="L15" s="107">
        <f>'1.Income statement'!L12</f>
        <v>2309.2813912500005</v>
      </c>
      <c r="M15" s="107">
        <f>'1.Income statement'!M12</f>
        <v>2655.6735999375005</v>
      </c>
      <c r="N15" s="121">
        <f>'1.Income statement'!N12</f>
        <v>3054.024639928125</v>
      </c>
      <c r="O15" s="297"/>
      <c r="P15" s="297"/>
      <c r="Q15" s="14"/>
      <c r="R15" s="1"/>
      <c r="S15" s="1"/>
      <c r="T15" s="1"/>
      <c r="U15" s="1"/>
      <c r="V15" s="1"/>
    </row>
    <row r="16" spans="2:22" ht="16" x14ac:dyDescent="0.2">
      <c r="B16" s="62" t="s">
        <v>11</v>
      </c>
      <c r="C16" s="107">
        <f>'1.Income statement'!C15</f>
        <v>0</v>
      </c>
      <c r="D16" s="107">
        <f>'1.Income statement'!D15</f>
        <v>0</v>
      </c>
      <c r="E16" s="107">
        <f>'1.Income statement'!E15</f>
        <v>288</v>
      </c>
      <c r="F16" s="107">
        <f>'1.Income statement'!F15</f>
        <v>396</v>
      </c>
      <c r="G16" s="107">
        <f>'1.Income statement'!G15</f>
        <v>429</v>
      </c>
      <c r="H16" s="107">
        <f>'1.Income statement'!H15</f>
        <v>914</v>
      </c>
      <c r="I16" s="108">
        <f>'1.Income statement'!I15</f>
        <v>985</v>
      </c>
      <c r="J16" s="107">
        <f>'1.Income statement'!J15</f>
        <v>912.39850000000013</v>
      </c>
      <c r="K16" s="107">
        <f>'1.Income statement'!K15</f>
        <v>1049.2582750000001</v>
      </c>
      <c r="L16" s="107">
        <f>'1.Income statement'!L15</f>
        <v>1206.6470162500002</v>
      </c>
      <c r="M16" s="107">
        <f>'1.Income statement'!M15</f>
        <v>1387.6440686875001</v>
      </c>
      <c r="N16" s="119">
        <f>'1.Income statement'!N15</f>
        <v>1595.7906789906249</v>
      </c>
      <c r="O16" s="297"/>
      <c r="P16" s="297"/>
      <c r="Q16" s="14"/>
      <c r="R16" s="1"/>
      <c r="S16" s="1"/>
      <c r="T16" s="1"/>
      <c r="U16" s="1"/>
      <c r="V16" s="1"/>
    </row>
    <row r="17" spans="2:22" ht="16" x14ac:dyDescent="0.2">
      <c r="B17" s="62" t="s">
        <v>12</v>
      </c>
      <c r="C17" s="107">
        <f>'1.Income statement'!C24</f>
        <v>0</v>
      </c>
      <c r="D17" s="107">
        <f>'1.Income statement'!D24</f>
        <v>0</v>
      </c>
      <c r="E17" s="107">
        <f>'1.Income statement'!E24</f>
        <v>126</v>
      </c>
      <c r="F17" s="107">
        <f>'1.Income statement'!F24</f>
        <v>334</v>
      </c>
      <c r="G17" s="107">
        <f>'1.Income statement'!G24</f>
        <v>127</v>
      </c>
      <c r="H17" s="107">
        <f>'1.Income statement'!H24</f>
        <v>412</v>
      </c>
      <c r="I17" s="108">
        <f>'1.Income statement'!I24</f>
        <v>585</v>
      </c>
      <c r="J17" s="107">
        <f>'1.Income statement'!J24</f>
        <v>569.91880000000015</v>
      </c>
      <c r="K17" s="107">
        <f>'1.Income statement'!K24</f>
        <v>711.40662000000009</v>
      </c>
      <c r="L17" s="107">
        <f>'1.Income statement'!L24</f>
        <v>861.31761300000016</v>
      </c>
      <c r="M17" s="107">
        <f>'1.Income statement'!M24</f>
        <v>1046.11525495</v>
      </c>
      <c r="N17" s="119">
        <f>'1.Income statement'!N24</f>
        <v>1252.6325431925</v>
      </c>
      <c r="O17" s="297"/>
      <c r="P17" s="297"/>
      <c r="Q17" s="14"/>
      <c r="R17" s="1"/>
      <c r="S17" s="1"/>
      <c r="T17" s="1"/>
      <c r="U17" s="1"/>
      <c r="V17" s="1"/>
    </row>
    <row r="18" spans="2:22" ht="16" x14ac:dyDescent="0.2">
      <c r="B18" s="62" t="s">
        <v>13</v>
      </c>
      <c r="C18" s="107">
        <f>'2.Flujos de caja'!C15</f>
        <v>0</v>
      </c>
      <c r="D18" s="107">
        <f>'2.Flujos de caja'!D15</f>
        <v>0</v>
      </c>
      <c r="E18" s="107">
        <f>'2.Flujos de caja'!E15</f>
        <v>326</v>
      </c>
      <c r="F18" s="107">
        <f>'2.Flujos de caja'!F15</f>
        <v>519</v>
      </c>
      <c r="G18" s="107">
        <f>'2.Flujos de caja'!G15</f>
        <v>-7355</v>
      </c>
      <c r="H18" s="107">
        <f>'2.Flujos de caja'!H15</f>
        <v>1030</v>
      </c>
      <c r="I18" s="108">
        <f>'2.Flujos de caja'!I15</f>
        <v>1159.9000000000001</v>
      </c>
      <c r="J18" s="107">
        <f>'2.Flujos de caja'!J15</f>
        <v>1231.0538000000001</v>
      </c>
      <c r="K18" s="107">
        <f>'2.Flujos de caja'!K15</f>
        <v>1471.7118700000001</v>
      </c>
      <c r="L18" s="107">
        <f>'2.Flujos de caja'!L15</f>
        <v>1735.6686505000005</v>
      </c>
      <c r="M18" s="107">
        <f>'2.Flujos de caja'!M15</f>
        <v>2051.6189480750004</v>
      </c>
      <c r="N18" s="119">
        <f>'2.Flujos de caja'!N15</f>
        <v>2408.9617902862501</v>
      </c>
      <c r="O18" s="297"/>
      <c r="P18" s="297"/>
      <c r="Q18" s="5"/>
      <c r="R18" s="1"/>
      <c r="S18" s="1"/>
      <c r="T18" s="1"/>
      <c r="U18" s="1"/>
      <c r="V18" s="1"/>
    </row>
    <row r="19" spans="2:22" ht="17" thickBot="1" x14ac:dyDescent="0.25">
      <c r="B19" s="62"/>
      <c r="C19" s="116"/>
      <c r="D19" s="107"/>
      <c r="E19" s="107"/>
      <c r="F19" s="107"/>
      <c r="G19" s="107"/>
      <c r="H19" s="107"/>
      <c r="I19" s="108"/>
      <c r="J19" s="107"/>
      <c r="K19" s="107"/>
      <c r="L19" s="107"/>
      <c r="M19" s="107"/>
      <c r="N19" s="119"/>
      <c r="O19" s="19"/>
      <c r="P19" s="19"/>
      <c r="Q19" s="14"/>
      <c r="R19" s="1"/>
      <c r="S19" s="1"/>
      <c r="T19" s="1"/>
      <c r="U19" s="1"/>
      <c r="V19" s="1"/>
    </row>
    <row r="20" spans="2:22" ht="17" thickBot="1" x14ac:dyDescent="0.25">
      <c r="B20" s="126"/>
      <c r="C20" s="127" t="s">
        <v>49</v>
      </c>
      <c r="D20" s="125" t="s">
        <v>50</v>
      </c>
      <c r="E20" s="112"/>
      <c r="F20" s="112"/>
      <c r="G20" s="112"/>
      <c r="H20" s="112"/>
      <c r="I20" s="113"/>
      <c r="J20" s="112"/>
      <c r="K20" s="112"/>
      <c r="L20" s="112"/>
      <c r="M20" s="112"/>
      <c r="N20" s="122"/>
      <c r="O20" s="310"/>
      <c r="P20" s="310"/>
      <c r="Q20" s="5"/>
      <c r="R20" s="1"/>
      <c r="S20" s="1"/>
      <c r="T20" s="1"/>
      <c r="U20" s="1"/>
      <c r="V20" s="1"/>
    </row>
    <row r="21" spans="2:22" ht="20" thickBot="1" x14ac:dyDescent="0.25">
      <c r="B21" s="25" t="s">
        <v>21</v>
      </c>
      <c r="C21" s="115">
        <f>(L21/$Q$9)^(1/3)-1</f>
        <v>-7.0833682045687962E-2</v>
      </c>
      <c r="D21" s="115">
        <f>(N21/$Q$9)^(1/5)-1</f>
        <v>1.1834796328570762E-2</v>
      </c>
      <c r="E21" s="58"/>
      <c r="F21" s="6" t="s">
        <v>58</v>
      </c>
      <c r="G21" s="6"/>
      <c r="H21" s="6"/>
      <c r="I21" s="240">
        <f>IF(--I11&lt;0,(I17*$Q$21-I11),IF(--I11&gt;0,I17*$Q$21))/'1.Income statement'!I27</f>
        <v>43.820224719101127</v>
      </c>
      <c r="J21" s="241">
        <f>IF(J11&lt;0,J17*$Q$21-J11,IF(J11=0,J17*$Q$21,IF(J11&gt;0,J17*$Q$21)))/'1.Income statement'!J27</f>
        <v>41.149371841155251</v>
      </c>
      <c r="K21" s="241">
        <f>IF(K11&lt;0,K17*$Q$21-K11,IF(K11=0,K17*$Q$21,IF(K11&gt;0,K17*$Q$21)))/'1.Income statement'!K27</f>
        <v>49.06252551724139</v>
      </c>
      <c r="L21" s="241">
        <f>IF(L11&lt;0,L17*$Q$21-L11,IF(L11=0,L17*$Q$21,IF(L11&gt;0,L17*$Q$21)))/'1.Income statement'!L27</f>
        <v>57.42117420000001</v>
      </c>
      <c r="M21" s="241">
        <f>IF(M11&lt;0,M17*$Q$21-M11,IF(M11=0,M17*$Q$21,IF(M11&gt;0,M17*$Q$21)))/'1.Income statement'!M27</f>
        <v>97.313046972093034</v>
      </c>
      <c r="N21" s="241">
        <f>IF(N11&lt;0,N17*$Q$21-N11,IF(N11=0,N17*$Q$21,IF(N11&gt;0,N17*$Q$21)))/'1.Income statement'!N27</f>
        <v>75.917123829848478</v>
      </c>
      <c r="O21" s="248" t="s">
        <v>28</v>
      </c>
      <c r="P21" s="128"/>
      <c r="Q21" s="9">
        <v>20</v>
      </c>
      <c r="R21" s="1"/>
      <c r="S21" s="1"/>
      <c r="T21" s="1"/>
      <c r="U21" s="1"/>
      <c r="V21" s="1"/>
    </row>
    <row r="22" spans="2:22" ht="20" thickBot="1" x14ac:dyDescent="0.25">
      <c r="B22" s="25" t="s">
        <v>22</v>
      </c>
      <c r="C22" s="105">
        <f t="shared" ref="C22:C24" si="1">(L22/$Q$9)^(1/3)-1</f>
        <v>0.17362122572388605</v>
      </c>
      <c r="D22" s="105">
        <f t="shared" ref="D22:D24" si="2">(N22/$Q$9)^(1/5)-1</f>
        <v>0.15321651880873999</v>
      </c>
      <c r="E22" s="58"/>
      <c r="F22" s="7" t="s">
        <v>57</v>
      </c>
      <c r="G22" s="58"/>
      <c r="H22" s="58"/>
      <c r="I22" s="240">
        <f>IF(--I11&lt;0,(I18*$Q$22-I11),IF(--I11&gt;0,I18*$Q$22))/'1.Income statement'!I27</f>
        <v>86.883895131086149</v>
      </c>
      <c r="J22" s="241">
        <f>IF(J11&lt;0,J18*$Q$22-J11,IF(J11=0,J18*$Q$22,IF(J11&gt;0,J18*$Q$22)))/'1.Income statement'!J27</f>
        <v>88.884750902527074</v>
      </c>
      <c r="K22" s="241">
        <f>IF(K11&lt;0,K18*$Q$22-K11,IF(K11=0,K18*$Q$22,IF(K11&gt;0,K18*$Q$22)))/'1.Income statement'!K27</f>
        <v>101.49737034482759</v>
      </c>
      <c r="L22" s="241">
        <f>IF(L11&lt;0,L18*$Q$22-L11,IF(L11=0,L18*$Q$22,IF(L11&gt;0,L18*$Q$22)))/'1.Income statement'!L27</f>
        <v>115.71124336666671</v>
      </c>
      <c r="M22" s="241">
        <f>IF(M11&lt;0,M18*$Q$22-M11,IF(M11=0,M18*$Q$22,IF(M11&gt;0,M18*$Q$22)))/'1.Income statement'!M27</f>
        <v>190.8482742395349</v>
      </c>
      <c r="N22" s="241">
        <f>IF(N11&lt;0,N18*$Q$22-N11,IF(N11=0,N18*$Q$22,IF(N11&gt;0,N18*$Q$22)))/'1.Income statement'!N27</f>
        <v>145.99768425977274</v>
      </c>
      <c r="O22" s="298" t="s">
        <v>29</v>
      </c>
      <c r="P22" s="299"/>
      <c r="Q22" s="9">
        <v>20</v>
      </c>
      <c r="R22" s="1"/>
      <c r="S22" s="1"/>
      <c r="T22" s="1"/>
      <c r="U22" s="1"/>
      <c r="V22" s="1"/>
    </row>
    <row r="23" spans="2:22" ht="20" thickBot="1" x14ac:dyDescent="0.25">
      <c r="B23" s="25" t="s">
        <v>23</v>
      </c>
      <c r="C23" s="105">
        <f t="shared" si="1"/>
        <v>0.17759374464826627</v>
      </c>
      <c r="D23" s="105">
        <f t="shared" si="2"/>
        <v>0.15366237723606169</v>
      </c>
      <c r="E23" s="58"/>
      <c r="F23" s="7" t="s">
        <v>19</v>
      </c>
      <c r="G23" s="58"/>
      <c r="H23" s="58"/>
      <c r="I23" s="242">
        <f>((I15*$Q$23)-I11)/'1.Income statement'!I27</f>
        <v>91.940074906367045</v>
      </c>
      <c r="J23" s="243">
        <f>((J15*$Q$23)-J11)/'1.Income statement'!J27</f>
        <v>90.969938628158857</v>
      </c>
      <c r="K23" s="243">
        <f>((K15*$Q$23)-K11)/'1.Income statement'!K27</f>
        <v>103.14922051724139</v>
      </c>
      <c r="L23" s="243">
        <f>((L15*$Q$23)-L11)/'1.Income statement'!L27</f>
        <v>116.89021680833335</v>
      </c>
      <c r="M23" s="243">
        <f>((M15*$Q$23)-M11)/'1.Income statement'!M27</f>
        <v>191.17267348313959</v>
      </c>
      <c r="N23" s="244">
        <f>((N15*$Q$23)-N11)/'1.Income statement'!N27</f>
        <v>146.28013187486741</v>
      </c>
      <c r="O23" s="300" t="s">
        <v>30</v>
      </c>
      <c r="P23" s="300"/>
      <c r="Q23" s="9">
        <v>18</v>
      </c>
      <c r="R23" s="1"/>
      <c r="S23" s="1"/>
      <c r="T23" s="1"/>
      <c r="U23" s="1"/>
      <c r="V23" s="1"/>
    </row>
    <row r="24" spans="2:22" ht="20" thickBot="1" x14ac:dyDescent="0.25">
      <c r="B24" s="26" t="s">
        <v>24</v>
      </c>
      <c r="C24" s="105">
        <f t="shared" si="1"/>
        <v>-0.10841270701908612</v>
      </c>
      <c r="D24" s="105">
        <f t="shared" si="2"/>
        <v>-1.3904382371918156E-2</v>
      </c>
      <c r="E24" s="123"/>
      <c r="F24" s="124" t="s">
        <v>20</v>
      </c>
      <c r="G24" s="123"/>
      <c r="H24" s="123"/>
      <c r="I24" s="245">
        <f>((I16*$Q$24)-I11)/'1.Income statement'!I27</f>
        <v>43.063670411985022</v>
      </c>
      <c r="J24" s="246">
        <f>((J16*$Q$24)-J11)/'1.Income statement'!J27</f>
        <v>36.791238267148024</v>
      </c>
      <c r="K24" s="246">
        <f>((K16*$Q$24)-K11)/'1.Income statement'!K27</f>
        <v>43.636720517241386</v>
      </c>
      <c r="L24" s="246">
        <f>((L16*$Q$24)-L11)/'1.Income statement'!L27</f>
        <v>50.732154308333349</v>
      </c>
      <c r="M24" s="246">
        <f>((M16*$Q$24)-M11)/'1.Income statement'!M27</f>
        <v>85.012061564534889</v>
      </c>
      <c r="N24" s="247">
        <f>((N16*$Q$24)-N11)/'1.Income statement'!N27</f>
        <v>66.740097641912868</v>
      </c>
      <c r="O24" s="300" t="s">
        <v>31</v>
      </c>
      <c r="P24" s="300"/>
      <c r="Q24" s="9">
        <v>18</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67" t="s">
        <v>71</v>
      </c>
      <c r="C3" s="164"/>
      <c r="D3" s="164"/>
      <c r="E3" s="164"/>
      <c r="F3" s="164"/>
      <c r="G3" s="164"/>
    </row>
    <row r="4" spans="2:9" ht="46.5" customHeight="1" x14ac:dyDescent="0.2">
      <c r="B4" s="166" t="s">
        <v>59</v>
      </c>
      <c r="C4" s="161"/>
      <c r="D4" s="161"/>
      <c r="E4" s="150"/>
      <c r="F4" s="161"/>
      <c r="G4" s="161"/>
      <c r="H4" s="161"/>
      <c r="I4" s="165"/>
    </row>
    <row r="5" spans="2:9" ht="21" customHeight="1" x14ac:dyDescent="0.2">
      <c r="B5" s="162"/>
      <c r="C5" s="161"/>
      <c r="D5" s="161"/>
      <c r="E5" s="161"/>
      <c r="F5" s="161"/>
      <c r="G5" s="161"/>
      <c r="H5" s="161"/>
      <c r="I5" s="165"/>
    </row>
    <row r="6" spans="2:9" ht="21" customHeight="1" x14ac:dyDescent="0.2">
      <c r="B6" s="311" t="s">
        <v>72</v>
      </c>
      <c r="C6" s="311"/>
      <c r="D6" s="311"/>
      <c r="E6" s="311"/>
      <c r="F6" s="311"/>
      <c r="G6" s="311"/>
      <c r="H6" s="311"/>
      <c r="I6" s="311"/>
    </row>
    <row r="7" spans="2:9" ht="21" customHeight="1" thickBot="1" x14ac:dyDescent="0.3">
      <c r="B7" s="153"/>
      <c r="C7" s="153"/>
      <c r="D7" s="153"/>
      <c r="E7" s="153"/>
      <c r="F7" s="153"/>
      <c r="G7" s="153"/>
      <c r="H7" s="153"/>
      <c r="I7" s="153"/>
    </row>
    <row r="8" spans="2:9" ht="57" customHeight="1" thickBot="1" x14ac:dyDescent="0.3">
      <c r="B8" s="170" t="s">
        <v>73</v>
      </c>
      <c r="C8" s="153"/>
      <c r="D8" s="153"/>
      <c r="E8" s="153"/>
      <c r="F8" s="153"/>
      <c r="G8" s="153"/>
      <c r="H8" s="153"/>
      <c r="I8" s="153"/>
    </row>
    <row r="9" spans="2:9" s="150" customFormat="1" ht="21" customHeight="1" x14ac:dyDescent="0.2">
      <c r="B9" s="158" t="s">
        <v>61</v>
      </c>
      <c r="C9" s="155"/>
      <c r="D9" s="155"/>
      <c r="E9" s="155"/>
      <c r="F9" s="155"/>
      <c r="G9" s="155"/>
      <c r="H9" s="155"/>
      <c r="I9" s="155"/>
    </row>
    <row r="10" spans="2:9" s="150" customFormat="1" ht="21" customHeight="1" x14ac:dyDescent="0.2">
      <c r="B10" s="156" t="s">
        <v>66</v>
      </c>
      <c r="C10" s="155"/>
      <c r="D10" s="155"/>
      <c r="E10" s="155"/>
      <c r="F10" s="155"/>
      <c r="G10" s="155"/>
      <c r="H10" s="155"/>
      <c r="I10" s="155"/>
    </row>
    <row r="11" spans="2:9" s="150" customFormat="1" ht="21" customHeight="1" x14ac:dyDescent="0.2">
      <c r="B11" s="156" t="s">
        <v>62</v>
      </c>
      <c r="C11" s="155"/>
      <c r="D11" s="155"/>
      <c r="E11" s="155"/>
      <c r="F11" s="155"/>
      <c r="G11" s="155"/>
      <c r="H11" s="155"/>
      <c r="I11" s="155"/>
    </row>
    <row r="12" spans="2:9" s="150" customFormat="1" ht="21" customHeight="1" x14ac:dyDescent="0.2">
      <c r="B12" s="156" t="s">
        <v>63</v>
      </c>
      <c r="C12" s="155"/>
      <c r="D12" s="155"/>
      <c r="E12" s="155"/>
      <c r="F12" s="155"/>
      <c r="G12" s="155"/>
      <c r="H12" s="155"/>
      <c r="I12" s="155"/>
    </row>
    <row r="13" spans="2:9" s="150" customFormat="1" ht="21" customHeight="1" x14ac:dyDescent="0.2">
      <c r="B13" s="156" t="s">
        <v>65</v>
      </c>
      <c r="C13" s="155"/>
      <c r="D13" s="155"/>
      <c r="E13" s="155"/>
      <c r="F13" s="155"/>
      <c r="G13" s="155"/>
      <c r="H13" s="155"/>
      <c r="I13" s="155"/>
    </row>
    <row r="14" spans="2:9" s="150" customFormat="1" ht="21" customHeight="1" x14ac:dyDescent="0.2">
      <c r="B14" s="156" t="s">
        <v>79</v>
      </c>
      <c r="C14" s="155"/>
      <c r="D14" s="155"/>
      <c r="E14" s="155"/>
      <c r="F14" s="155"/>
      <c r="G14" s="155"/>
      <c r="H14" s="155"/>
      <c r="I14" s="155"/>
    </row>
    <row r="15" spans="2:9" s="150" customFormat="1" ht="18" customHeight="1" x14ac:dyDescent="0.2">
      <c r="B15" s="312" t="s">
        <v>64</v>
      </c>
      <c r="C15" s="155"/>
      <c r="D15" s="155"/>
      <c r="E15" s="155"/>
      <c r="F15" s="155"/>
      <c r="G15" s="155"/>
      <c r="H15" s="155"/>
      <c r="I15" s="155"/>
    </row>
    <row r="16" spans="2:9" s="150" customFormat="1" ht="39" customHeight="1" thickBot="1" x14ac:dyDescent="0.25">
      <c r="B16" s="313"/>
      <c r="C16" s="155"/>
      <c r="D16" s="155"/>
      <c r="E16" s="155"/>
      <c r="F16" s="155"/>
      <c r="G16" s="155"/>
      <c r="H16" s="155"/>
      <c r="I16" s="155"/>
    </row>
    <row r="17" spans="2:9" s="150" customFormat="1" ht="57" customHeight="1" thickBot="1" x14ac:dyDescent="0.25">
      <c r="B17" s="171" t="s">
        <v>74</v>
      </c>
      <c r="C17" s="151"/>
      <c r="D17" s="151"/>
      <c r="E17" s="151"/>
      <c r="F17" s="151"/>
      <c r="G17" s="151"/>
      <c r="H17" s="151"/>
      <c r="I17" s="151"/>
    </row>
    <row r="18" spans="2:9" s="150" customFormat="1" ht="23.25" customHeight="1" thickBot="1" x14ac:dyDescent="0.25">
      <c r="B18" s="168" t="s">
        <v>77</v>
      </c>
      <c r="C18" s="154"/>
      <c r="D18" s="154"/>
      <c r="E18" s="154"/>
      <c r="F18" s="154"/>
      <c r="G18" s="154"/>
      <c r="H18" s="154"/>
      <c r="I18" s="154"/>
    </row>
    <row r="19" spans="2:9" ht="57" customHeight="1" thickBot="1" x14ac:dyDescent="0.25">
      <c r="B19" s="171" t="s">
        <v>75</v>
      </c>
      <c r="C19" s="154"/>
      <c r="D19" s="154"/>
      <c r="E19" s="154"/>
      <c r="F19" s="154"/>
      <c r="G19" s="154"/>
      <c r="H19" s="154"/>
      <c r="I19" s="154"/>
    </row>
    <row r="20" spans="2:9" ht="21" customHeight="1" x14ac:dyDescent="0.2">
      <c r="B20" s="314" t="s">
        <v>67</v>
      </c>
      <c r="C20" s="150"/>
      <c r="D20" s="150"/>
      <c r="E20" s="150"/>
      <c r="F20" s="150"/>
      <c r="G20" s="150"/>
      <c r="H20" s="150"/>
      <c r="I20" s="150"/>
    </row>
    <row r="21" spans="2:9" ht="21" customHeight="1" x14ac:dyDescent="0.2">
      <c r="B21" s="312"/>
      <c r="C21" s="154"/>
      <c r="D21" s="154"/>
      <c r="E21" s="154"/>
      <c r="F21" s="154"/>
      <c r="G21" s="154"/>
      <c r="H21" s="154"/>
      <c r="I21" s="154"/>
    </row>
    <row r="22" spans="2:9" ht="33" customHeight="1" thickBot="1" x14ac:dyDescent="0.25">
      <c r="B22" s="313"/>
      <c r="C22" s="154"/>
      <c r="D22" s="154"/>
      <c r="E22" s="154"/>
      <c r="F22" s="154"/>
      <c r="G22" s="154"/>
      <c r="H22" s="154"/>
      <c r="I22" s="154"/>
    </row>
    <row r="23" spans="2:9" ht="57" customHeight="1" thickBot="1" x14ac:dyDescent="0.25">
      <c r="B23" s="171" t="s">
        <v>76</v>
      </c>
      <c r="C23" s="154"/>
      <c r="D23" s="154"/>
      <c r="E23" s="154"/>
      <c r="F23" s="154"/>
      <c r="G23" s="154"/>
      <c r="H23" s="154"/>
      <c r="I23" s="154"/>
    </row>
    <row r="24" spans="2:9" ht="35.25" customHeight="1" x14ac:dyDescent="0.2">
      <c r="B24" s="158" t="s">
        <v>78</v>
      </c>
      <c r="C24" s="154"/>
      <c r="D24" s="154"/>
      <c r="E24" s="154"/>
      <c r="F24" s="154"/>
      <c r="G24" s="154"/>
      <c r="H24" s="154"/>
      <c r="I24" s="154"/>
    </row>
    <row r="25" spans="2:9" ht="72" customHeight="1" thickBot="1" x14ac:dyDescent="0.25">
      <c r="B25" s="157" t="s">
        <v>68</v>
      </c>
      <c r="C25" s="154"/>
      <c r="D25" s="154"/>
      <c r="E25" s="154"/>
      <c r="F25" s="154"/>
      <c r="G25" s="154"/>
      <c r="H25" s="154"/>
      <c r="I25" s="154"/>
    </row>
    <row r="26" spans="2:9" ht="26.25" customHeight="1" x14ac:dyDescent="0.2">
      <c r="B26" s="160"/>
      <c r="C26" s="154"/>
      <c r="D26" s="154"/>
      <c r="E26" s="154"/>
      <c r="F26" s="154"/>
      <c r="G26" s="154"/>
      <c r="H26" s="154"/>
      <c r="I26" s="154"/>
    </row>
    <row r="27" spans="2:9" ht="21" x14ac:dyDescent="0.25">
      <c r="B27" s="169" t="s">
        <v>70</v>
      </c>
      <c r="C27" s="159"/>
      <c r="D27" s="159"/>
      <c r="E27" s="159"/>
    </row>
    <row r="28" spans="2:9" ht="61.5" customHeight="1" x14ac:dyDescent="0.2">
      <c r="B28" s="163" t="s">
        <v>69</v>
      </c>
      <c r="C28" s="161"/>
      <c r="D28" s="161"/>
      <c r="E28" s="161"/>
      <c r="F28" s="161"/>
      <c r="G28" s="161"/>
      <c r="H28" s="161"/>
      <c r="I28" s="161"/>
    </row>
    <row r="29" spans="2:9" ht="28.5" customHeight="1" x14ac:dyDescent="0.2">
      <c r="B29" s="315"/>
      <c r="C29" s="315"/>
      <c r="D29" s="315"/>
      <c r="E29" s="315"/>
      <c r="F29" s="315"/>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2021-04-20T20:30:27Z</dcterms:modified>
</cp:coreProperties>
</file>