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FA5DED9D-7423-3D43-A85D-4A064F468F99}" xr6:coauthVersionLast="46" xr6:coauthVersionMax="46" xr10:uidLastSave="{00000000-0000-0000-0000-000000000000}"/>
  <bookViews>
    <workbookView xWindow="33600" yWindow="-1020" windowWidth="35920" windowHeight="229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 i="5" l="1"/>
  <c r="R23" i="5"/>
  <c r="R22" i="5"/>
  <c r="N12" i="5"/>
  <c r="G14" i="3"/>
  <c r="H14" i="3"/>
  <c r="J11" i="2"/>
  <c r="M21" i="1"/>
  <c r="J22" i="1"/>
  <c r="J11" i="1"/>
  <c r="D15" i="1"/>
  <c r="E15" i="1"/>
  <c r="F15" i="1"/>
  <c r="G15" i="1"/>
  <c r="H15" i="1"/>
  <c r="I15" i="1"/>
  <c r="I14" i="2" l="1"/>
  <c r="I19" i="1" l="1"/>
  <c r="I21" i="1" s="1"/>
  <c r="F19" i="1"/>
  <c r="F22" i="1" s="1"/>
  <c r="F24" i="1" s="1"/>
  <c r="E19" i="1"/>
  <c r="E21" i="1" s="1"/>
  <c r="D19" i="1"/>
  <c r="D21" i="1" s="1"/>
  <c r="C19" i="1"/>
  <c r="C21" i="1" s="1"/>
  <c r="H16" i="1"/>
  <c r="F16" i="1"/>
  <c r="E16" i="1"/>
  <c r="D16" i="1"/>
  <c r="C16" i="1"/>
  <c r="I16" i="1"/>
  <c r="H19" i="1"/>
  <c r="G16" i="1"/>
  <c r="E12" i="1"/>
  <c r="E13" i="1" s="1"/>
  <c r="I12" i="1"/>
  <c r="I13" i="1" s="1"/>
  <c r="H12" i="1"/>
  <c r="H13" i="1" s="1"/>
  <c r="G12" i="1"/>
  <c r="G13" i="1" s="1"/>
  <c r="F12" i="1"/>
  <c r="F13" i="1" s="1"/>
  <c r="D12" i="1"/>
  <c r="D13" i="1" s="1"/>
  <c r="C12" i="1"/>
  <c r="C13" i="1" s="1"/>
  <c r="I11" i="1"/>
  <c r="H11" i="1"/>
  <c r="G11" i="1"/>
  <c r="F11" i="1"/>
  <c r="E11" i="1"/>
  <c r="D11" i="1"/>
  <c r="C11" i="1"/>
  <c r="I10" i="5"/>
  <c r="I11" i="5"/>
  <c r="I15" i="5"/>
  <c r="I16" i="5"/>
  <c r="I19" i="5"/>
  <c r="I24" i="5" s="1"/>
  <c r="I18" i="3"/>
  <c r="I19" i="3"/>
  <c r="I10" i="3"/>
  <c r="I11" i="3"/>
  <c r="I12" i="3"/>
  <c r="I10" i="2"/>
  <c r="I12" i="2"/>
  <c r="J17" i="1"/>
  <c r="J14" i="1"/>
  <c r="J10" i="1"/>
  <c r="I13" i="5" l="1"/>
  <c r="I22" i="3"/>
  <c r="I23" i="5"/>
  <c r="I12" i="5"/>
  <c r="I15" i="2"/>
  <c r="I14" i="5"/>
  <c r="F21" i="1"/>
  <c r="C22" i="1"/>
  <c r="C24" i="1" s="1"/>
  <c r="C26" i="1" s="1"/>
  <c r="H22" i="1"/>
  <c r="H24" i="1" s="1"/>
  <c r="H21" i="1"/>
  <c r="F26" i="1"/>
  <c r="F25" i="1"/>
  <c r="G19" i="1"/>
  <c r="I22" i="1"/>
  <c r="I24" i="1" s="1"/>
  <c r="I23" i="3"/>
  <c r="D22" i="1"/>
  <c r="D24" i="1" s="1"/>
  <c r="E22" i="1"/>
  <c r="E24" i="1" s="1"/>
  <c r="I18" i="5" l="1"/>
  <c r="I22" i="5" s="1"/>
  <c r="I16" i="2"/>
  <c r="C25" i="1"/>
  <c r="I26" i="1"/>
  <c r="I17" i="5"/>
  <c r="I13" i="3"/>
  <c r="I21" i="3" s="1"/>
  <c r="I25" i="1"/>
  <c r="E25" i="1"/>
  <c r="E26" i="1"/>
  <c r="D25" i="1"/>
  <c r="D26" i="1"/>
  <c r="G21" i="1"/>
  <c r="G22" i="1"/>
  <c r="G24" i="1" s="1"/>
  <c r="H25" i="1"/>
  <c r="H26" i="1"/>
  <c r="G25" i="1" l="1"/>
  <c r="G26" i="1"/>
  <c r="K11" i="1" l="1"/>
  <c r="K10" i="1"/>
  <c r="C19" i="5" l="1"/>
  <c r="D19" i="5"/>
  <c r="E19" i="5"/>
  <c r="F19" i="5"/>
  <c r="G19" i="5"/>
  <c r="H19" i="5"/>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P10" i="3"/>
  <c r="J16" i="3" l="1"/>
  <c r="K16" i="3" s="1"/>
  <c r="J14" i="3"/>
  <c r="J15" i="3"/>
  <c r="J17" i="3"/>
  <c r="H13" i="5"/>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0" i="5"/>
  <c r="H14" i="5" s="1"/>
  <c r="H12" i="3" l="1"/>
  <c r="H11" i="3"/>
  <c r="H10" i="3"/>
  <c r="H23" i="3" s="1"/>
  <c r="H22" i="3" l="1"/>
  <c r="K14" i="1" l="1"/>
  <c r="L14" i="1" s="1"/>
  <c r="M14" i="1" s="1"/>
  <c r="N14" i="1" s="1"/>
  <c r="C15" i="5"/>
  <c r="D15" i="5"/>
  <c r="E15" i="5"/>
  <c r="F15" i="5"/>
  <c r="G15" i="5"/>
  <c r="H15" i="5" l="1"/>
  <c r="H12" i="5"/>
  <c r="K15" i="3"/>
  <c r="K14" i="3"/>
  <c r="L14" i="3" s="1"/>
  <c r="M14" i="3" s="1"/>
  <c r="N14" i="3" s="1"/>
  <c r="L16" i="3"/>
  <c r="M16" i="3" s="1"/>
  <c r="N16" i="3" s="1"/>
  <c r="J19" i="5" l="1"/>
  <c r="J24" i="5" s="1"/>
  <c r="J13" i="5"/>
  <c r="J19" i="3"/>
  <c r="J18" i="3"/>
  <c r="K17" i="3"/>
  <c r="K13" i="5" s="1"/>
  <c r="L15" i="3"/>
  <c r="K11" i="2"/>
  <c r="L11" i="2" s="1"/>
  <c r="M11" i="2" s="1"/>
  <c r="N11" i="2" s="1"/>
  <c r="C12" i="2"/>
  <c r="D12" i="2"/>
  <c r="E12" i="2"/>
  <c r="F12" i="2"/>
  <c r="G12" i="2"/>
  <c r="H12" i="2"/>
  <c r="C10" i="2"/>
  <c r="D10" i="2"/>
  <c r="E10" i="2"/>
  <c r="F10" i="2"/>
  <c r="G10" i="2"/>
  <c r="H10" i="2"/>
  <c r="K21" i="1"/>
  <c r="L21" i="1"/>
  <c r="N21" i="1"/>
  <c r="J21" i="1"/>
  <c r="J15" i="1"/>
  <c r="L11" i="1"/>
  <c r="M11" i="1"/>
  <c r="N11" i="1"/>
  <c r="E15" i="2" l="1"/>
  <c r="C15" i="2"/>
  <c r="C18" i="5" s="1"/>
  <c r="H15" i="2"/>
  <c r="G15" i="2"/>
  <c r="G18" i="5" s="1"/>
  <c r="F15" i="2"/>
  <c r="F18" i="5" s="1"/>
  <c r="D15" i="2"/>
  <c r="D18" i="5" s="1"/>
  <c r="K18" i="3"/>
  <c r="K19" i="5"/>
  <c r="K24" i="5" s="1"/>
  <c r="K19" i="3"/>
  <c r="J16" i="5"/>
  <c r="J10" i="3"/>
  <c r="J23" i="3" s="1"/>
  <c r="J12" i="2"/>
  <c r="J11" i="3"/>
  <c r="L17" i="3"/>
  <c r="L13" i="5" s="1"/>
  <c r="M15" i="3"/>
  <c r="J12" i="1"/>
  <c r="J16" i="1"/>
  <c r="K17" i="1"/>
  <c r="K15" i="1"/>
  <c r="E18" i="5"/>
  <c r="H18" i="5"/>
  <c r="L18" i="3" l="1"/>
  <c r="L19" i="5"/>
  <c r="L24" i="5" s="1"/>
  <c r="C24" i="5" s="1"/>
  <c r="L19" i="3"/>
  <c r="J22" i="3"/>
  <c r="K16" i="5"/>
  <c r="K10" i="3"/>
  <c r="J12" i="5"/>
  <c r="J15" i="5"/>
  <c r="J23" i="5" s="1"/>
  <c r="J13" i="1"/>
  <c r="L17" i="1"/>
  <c r="L12" i="2" s="1"/>
  <c r="K11" i="3"/>
  <c r="M17" i="3"/>
  <c r="M13" i="5" s="1"/>
  <c r="N15" i="3"/>
  <c r="K12" i="2"/>
  <c r="K12" i="1"/>
  <c r="K16" i="1"/>
  <c r="L10" i="1"/>
  <c r="L15" i="1" s="1"/>
  <c r="D16" i="2"/>
  <c r="C16" i="2"/>
  <c r="H16" i="2"/>
  <c r="G16" i="2"/>
  <c r="F16" i="2"/>
  <c r="E16" i="2"/>
  <c r="M18" i="3" l="1"/>
  <c r="M19" i="5"/>
  <c r="M24" i="5" s="1"/>
  <c r="M19" i="3"/>
  <c r="C17" i="5"/>
  <c r="G17" i="5"/>
  <c r="F17" i="5"/>
  <c r="L16" i="5"/>
  <c r="L10" i="3"/>
  <c r="L23" i="3" s="1"/>
  <c r="M17" i="1"/>
  <c r="M12" i="2" s="1"/>
  <c r="L11" i="3"/>
  <c r="K15" i="5"/>
  <c r="K23" i="5" s="1"/>
  <c r="K12" i="5"/>
  <c r="K13" i="1"/>
  <c r="H17" i="5"/>
  <c r="H13" i="3"/>
  <c r="H21" i="3" s="1"/>
  <c r="K22" i="3"/>
  <c r="K23" i="3"/>
  <c r="N17" i="3"/>
  <c r="N13" i="5" s="1"/>
  <c r="M10" i="1"/>
  <c r="M15" i="1" s="1"/>
  <c r="L12" i="1"/>
  <c r="L16" i="1"/>
  <c r="N18" i="3" l="1"/>
  <c r="N19" i="5"/>
  <c r="N24" i="5" s="1"/>
  <c r="N19" i="3"/>
  <c r="L22" i="3"/>
  <c r="D17" i="5"/>
  <c r="N17" i="1"/>
  <c r="M11" i="3"/>
  <c r="L15" i="5"/>
  <c r="L23" i="5" s="1"/>
  <c r="C23" i="5" s="1"/>
  <c r="L12" i="5"/>
  <c r="L13" i="1"/>
  <c r="M16" i="5"/>
  <c r="M10" i="3"/>
  <c r="E17" i="5"/>
  <c r="N10" i="1"/>
  <c r="N15" i="1" s="1"/>
  <c r="M16" i="1"/>
  <c r="M12" i="1"/>
  <c r="N11" i="3" l="1"/>
  <c r="N12" i="2"/>
  <c r="N16" i="5"/>
  <c r="D24" i="5" s="1"/>
  <c r="N10" i="3"/>
  <c r="N22" i="3" s="1"/>
  <c r="M22" i="3"/>
  <c r="M23" i="3"/>
  <c r="M15" i="5"/>
  <c r="M23" i="5" s="1"/>
  <c r="M12" i="5"/>
  <c r="M13" i="1"/>
  <c r="N16" i="1"/>
  <c r="N12" i="1"/>
  <c r="N23" i="3" l="1"/>
  <c r="N15" i="5"/>
  <c r="N23" i="5" s="1"/>
  <c r="N13" i="1"/>
  <c r="J10" i="2"/>
  <c r="J15" i="2" s="1"/>
  <c r="K19" i="1"/>
  <c r="K20" i="1" s="1"/>
  <c r="K10" i="2"/>
  <c r="K15" i="2" s="1"/>
  <c r="L10" i="2"/>
  <c r="L15" i="2" s="1"/>
  <c r="N10" i="2"/>
  <c r="N15" i="2" s="1"/>
  <c r="M10" i="2"/>
  <c r="M15" i="2" s="1"/>
  <c r="D23" i="5" l="1"/>
  <c r="N19" i="1"/>
  <c r="N20" i="1" s="1"/>
  <c r="J19" i="1"/>
  <c r="J20" i="1" s="1"/>
  <c r="L19" i="1"/>
  <c r="L20" i="1" s="1"/>
  <c r="M19" i="1"/>
  <c r="M20" i="1" s="1"/>
  <c r="K22" i="1" l="1"/>
  <c r="K24" i="1" s="1"/>
  <c r="K12" i="3"/>
  <c r="N18" i="5"/>
  <c r="N22" i="5" s="1"/>
  <c r="N12" i="3"/>
  <c r="N22" i="1"/>
  <c r="K18" i="5"/>
  <c r="K22" i="5" s="1"/>
  <c r="D22" i="5" l="1"/>
  <c r="N16" i="2"/>
  <c r="L22" i="1"/>
  <c r="L24" i="1" s="1"/>
  <c r="L12" i="3"/>
  <c r="K17" i="5"/>
  <c r="K13" i="3"/>
  <c r="K21" i="3" s="1"/>
  <c r="M22" i="1"/>
  <c r="M24" i="1" s="1"/>
  <c r="M12" i="3"/>
  <c r="J24" i="1"/>
  <c r="J12" i="3"/>
  <c r="K26" i="1"/>
  <c r="K25" i="1"/>
  <c r="N24" i="1"/>
  <c r="K16" i="2"/>
  <c r="J18" i="5"/>
  <c r="J22" i="5" s="1"/>
  <c r="M18" i="5"/>
  <c r="M22" i="5" s="1"/>
  <c r="L18" i="5"/>
  <c r="L22" i="5" s="1"/>
  <c r="C22" i="5" s="1"/>
  <c r="M17" i="5" l="1"/>
  <c r="M13" i="3"/>
  <c r="M21" i="3" s="1"/>
  <c r="J17" i="5"/>
  <c r="J13" i="3"/>
  <c r="J21" i="3" s="1"/>
  <c r="L17" i="5"/>
  <c r="L13" i="3"/>
  <c r="L21" i="3" s="1"/>
  <c r="N17" i="5"/>
  <c r="N13" i="3"/>
  <c r="N21" i="3" s="1"/>
  <c r="N25" i="1"/>
  <c r="N26" i="1"/>
  <c r="L26" i="1"/>
  <c r="L25" i="1"/>
  <c r="J26" i="1"/>
  <c r="M26" i="1"/>
  <c r="M25" i="1"/>
  <c r="J25" i="1"/>
  <c r="M16" i="2"/>
  <c r="L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F3A5356E-4C5C-4E6D-B9EA-196D216EEF4A}">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5F34F31-F720-4747-B3EB-A2DE3DC4F942}">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En la empresas inmobiliarias el capex "real suele ser de 4% sobre ventas. No es necesario rellenar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 Incluir preferentes
</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5BD8AEE4-278C-48E4-9323-14FF1219C216}">
      <text>
        <r>
          <rPr>
            <sz val="11"/>
            <color rgb="FF000000"/>
            <rFont val="Calibri"/>
            <family val="2"/>
          </rPr>
          <t xml:space="preserve">[Comentario encadenado]
</t>
        </r>
        <r>
          <rPr>
            <sz val="11"/>
            <color rgb="FF000000"/>
            <rFont val="Calibri"/>
            <family val="2"/>
          </rPr>
          <t xml:space="preserve">
</t>
        </r>
        <r>
          <rPr>
            <sz val="11"/>
            <color rgb="FF000000"/>
            <rFont val="Calibri"/>
            <family val="2"/>
          </rPr>
          <t xml:space="preserve">Su versión de Excel le permite leer este comentario encadenado; sin embargo, las ediciones que se apliquen se quitarán si el archivo se abre en una versión más reciente de Excel. Más información: https://go.microsoft.com/fwlink/?linkid=870924
</t>
        </r>
        <r>
          <rPr>
            <sz val="11"/>
            <color rgb="FF000000"/>
            <rFont val="Calibri"/>
            <family val="2"/>
          </rPr>
          <t xml:space="preserve">
</t>
        </r>
        <r>
          <rPr>
            <sz val="11"/>
            <color rgb="FF000000"/>
            <rFont val="Calibri"/>
            <family val="2"/>
          </rPr>
          <t xml:space="preserve">Comentario:
</t>
        </r>
        <r>
          <rPr>
            <sz val="11"/>
            <color rgb="FF000000"/>
            <rFont val="Calibri"/>
            <family val="2"/>
          </rPr>
          <t xml:space="preserve">    Rellenar si procede o es una cantidad grande</t>
        </r>
      </text>
    </commen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<sst xmlns="http://schemas.openxmlformats.org/spreadsheetml/2006/main" count="89" uniqueCount="84">
  <si>
    <t>Depreciation &amp; Amortization Expense</t>
  </si>
  <si>
    <t>Pretax Income</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</si>
  <si>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</si>
  <si>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</si>
  <si>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</si>
  <si>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</si>
  <si>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</si>
  <si>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</si>
  <si>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</si>
  <si>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</si>
  <si>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</si>
  <si>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</si>
  <si>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</si>
  <si>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</si>
  <si>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</si>
  <si>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</si>
  <si>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</si>
  <si>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</si>
  <si>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</si>
  <si>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CAGR  by  P/FCF</t>
  </si>
  <si>
    <t>CAGR by EV/EBITDA</t>
  </si>
  <si>
    <t>Enterprise Value ( EV )</t>
  </si>
  <si>
    <t>Market cap</t>
  </si>
  <si>
    <t>Multiple P/FCF</t>
  </si>
  <si>
    <t>Multiple EV/EBITDA</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</si>
  <si>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</si>
  <si>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</si>
  <si>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</si>
  <si>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</si>
  <si>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</si>
  <si>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</si>
  <si>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</si>
  <si>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</si>
  <si>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</si>
  <si>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</si>
  <si>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</si>
  <si>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</si>
  <si>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</si>
  <si>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</si>
  <si>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</si>
  <si>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</si>
  <si>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</si>
  <si>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</si>
  <si>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</si>
  <si>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</si>
  <si>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</si>
  <si>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</si>
  <si>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</si>
  <si>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</si>
  <si>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</si>
  <si>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</si>
  <si>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</si>
  <si>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</si>
  <si>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</si>
  <si>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</si>
  <si>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</si>
  <si>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</si>
  <si>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</si>
  <si>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</si>
  <si>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</si>
  <si>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</si>
  <si>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</si>
  <si>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</si>
  <si>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</si>
  <si>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</si>
  <si>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</si>
  <si>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</si>
  <si>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</si>
  <si>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</si>
  <si>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</si>
  <si>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</si>
  <si>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Book value / share</t>
  </si>
  <si>
    <t>Price target  P/book</t>
  </si>
  <si>
    <t>Multiple P/BOOK</t>
  </si>
  <si>
    <t>Pagos preferentes</t>
  </si>
  <si>
    <t>CAGR  by P/Book</t>
  </si>
  <si>
    <t>15*</t>
  </si>
  <si>
    <t>Minoritarios (si procede)</t>
  </si>
  <si>
    <t>Deuda neta /Equity</t>
  </si>
  <si>
    <t>Deuda neta /EBITDA</t>
  </si>
  <si>
    <t>Tax</t>
  </si>
  <si>
    <t>Tasas</t>
  </si>
  <si>
    <t>VALORES ACTUALES</t>
  </si>
  <si>
    <t>Opinion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</si>
</sst>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sz val="11"/>
      <color rgb="FF000000"/>
      <name val="Calibri"/>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ACD8F"/>
        <bgColor indexed="64"/>
      </patternFill>
    </fill>
  </fills>
  <borders count="3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295">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9" xfId="1" applyFont="1" applyFill="1" applyBorder="1" applyAlignment="1">
      <alignment horizontal="center" vertical="center"/>
    </xf>
    <xf numFmtId="9" fontId="0" fillId="4" borderId="14"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0" fontId="14" fillId="0" borderId="0" xfId="0" applyFont="1" applyAlignment="1">
      <alignment vertical="center"/>
    </xf>
    <xf numFmtId="1" fontId="15" fillId="2" borderId="15" xfId="0" applyNumberFormat="1" applyFont="1" applyFill="1" applyBorder="1" applyAlignment="1" applyProtection="1">
      <alignment horizontal="center" vertical="center"/>
    </xf>
    <xf numFmtId="1" fontId="15" fillId="2" borderId="16" xfId="0" applyNumberFormat="1" applyFont="1" applyFill="1" applyBorder="1" applyAlignment="1" applyProtection="1">
      <alignment horizontal="center" vertical="center"/>
    </xf>
    <xf numFmtId="2" fontId="4" fillId="4" borderId="11" xfId="0" applyNumberFormat="1" applyFont="1" applyFill="1" applyBorder="1" applyAlignment="1" applyProtection="1">
      <alignment vertical="center"/>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4"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0"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9"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9" xfId="1" applyFont="1" applyFill="1" applyBorder="1" applyAlignment="1">
      <alignment horizontal="center" vertical="center" wrapText="1"/>
    </xf>
    <xf numFmtId="0" fontId="0" fillId="4" borderId="11" xfId="0" applyFont="1" applyFill="1" applyBorder="1" applyAlignment="1">
      <alignment horizontal="center" wrapText="1"/>
    </xf>
    <xf numFmtId="0" fontId="0" fillId="4" borderId="12" xfId="0" applyFont="1" applyFill="1" applyBorder="1" applyAlignment="1">
      <alignment horizontal="center" wrapText="1"/>
    </xf>
    <xf numFmtId="1" fontId="0" fillId="4" borderId="21" xfId="0" applyNumberFormat="1" applyFont="1" applyFill="1" applyBorder="1" applyAlignment="1">
      <alignment horizontal="center" vertical="center" wrapText="1"/>
    </xf>
    <xf numFmtId="1" fontId="0" fillId="4" borderId="26" xfId="0" applyNumberFormat="1" applyFont="1" applyFill="1" applyBorder="1" applyAlignment="1">
      <alignment horizontal="center" vertical="center" wrapText="1"/>
    </xf>
    <xf numFmtId="1" fontId="0" fillId="4" borderId="27"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9" xfId="0" applyNumberFormat="1" applyFont="1" applyFill="1" applyBorder="1" applyAlignment="1">
      <alignment horizontal="center" vertical="center" wrapText="1"/>
    </xf>
    <xf numFmtId="165" fontId="0" fillId="4" borderId="27"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19"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9"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0" xfId="0" applyNumberFormat="1" applyFont="1" applyFill="1" applyBorder="1" applyAlignment="1" applyProtection="1">
      <alignment horizontal="center"/>
    </xf>
    <xf numFmtId="2" fontId="10" fillId="4" borderId="11" xfId="0" applyNumberFormat="1" applyFont="1" applyFill="1" applyBorder="1" applyAlignment="1" applyProtection="1">
      <alignment horizontal="center"/>
    </xf>
    <xf numFmtId="2" fontId="19" fillId="4" borderId="10"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0" xfId="0" applyNumberFormat="1" applyFont="1" applyFill="1" applyBorder="1" applyAlignment="1" applyProtection="1">
      <alignment horizontal="center" vertical="center"/>
    </xf>
    <xf numFmtId="2" fontId="15" fillId="4" borderId="11" xfId="0" applyNumberFormat="1" applyFont="1" applyFill="1" applyBorder="1" applyAlignment="1" applyProtection="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9"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9" xfId="0" applyNumberFormat="1" applyFont="1" applyFill="1" applyBorder="1" applyAlignment="1" applyProtection="1">
      <alignment horizontal="center" vertical="center"/>
    </xf>
    <xf numFmtId="9" fontId="23" fillId="4" borderId="9"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9" xfId="0" applyNumberFormat="1" applyFont="1" applyFill="1" applyBorder="1" applyAlignment="1" applyProtection="1">
      <alignment horizontal="center" vertical="center"/>
    </xf>
    <xf numFmtId="2" fontId="17" fillId="4" borderId="23"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4"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4"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4"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9"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6" xfId="0" applyNumberFormat="1" applyFont="1" applyFill="1" applyBorder="1" applyAlignment="1" applyProtection="1">
      <alignment horizontal="center" vertical="center"/>
    </xf>
    <xf numFmtId="1" fontId="15" fillId="3" borderId="17"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0" fontId="14" fillId="0" borderId="4" xfId="0" applyFont="1" applyBorder="1"/>
    <xf numFmtId="2" fontId="19" fillId="4" borderId="22" xfId="0" applyNumberFormat="1" applyFont="1" applyFill="1" applyBorder="1" applyAlignment="1" applyProtection="1">
      <alignment horizontal="left" vertical="center"/>
    </xf>
    <xf numFmtId="0" fontId="0" fillId="4" borderId="26" xfId="0" applyFont="1" applyFill="1" applyBorder="1" applyAlignment="1">
      <alignment horizontal="center" vertical="center" wrapText="1"/>
    </xf>
    <xf numFmtId="2" fontId="19" fillId="4" borderId="25" xfId="0" applyNumberFormat="1" applyFont="1" applyFill="1" applyBorder="1" applyAlignment="1" applyProtection="1">
      <alignment vertical="center"/>
    </xf>
    <xf numFmtId="1" fontId="15" fillId="4" borderId="6" xfId="0" applyNumberFormat="1" applyFont="1" applyFill="1" applyBorder="1" applyAlignment="1" applyProtection="1">
      <alignment horizontal="center" vertical="center"/>
    </xf>
    <xf numFmtId="0" fontId="0" fillId="4" borderId="9" xfId="0" applyFont="1" applyFill="1" applyBorder="1" applyAlignment="1">
      <alignment horizontal="center" vertical="center" wrapText="1"/>
    </xf>
    <xf numFmtId="1" fontId="15" fillId="4" borderId="9" xfId="0" applyNumberFormat="1" applyFont="1" applyFill="1" applyBorder="1" applyAlignment="1" applyProtection="1">
      <alignment horizontal="center" vertical="center"/>
    </xf>
    <xf numFmtId="0" fontId="0" fillId="4" borderId="27" xfId="0" applyFont="1" applyFill="1" applyBorder="1" applyAlignment="1">
      <alignment horizontal="center" vertical="center" wrapText="1"/>
    </xf>
    <xf numFmtId="167" fontId="13" fillId="4" borderId="9"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14" xfId="0" applyNumberFormat="1" applyFont="1" applyFill="1" applyBorder="1" applyAlignment="1">
      <alignment horizontal="left" vertical="center" wrapText="1"/>
    </xf>
    <xf numFmtId="0" fontId="2" fillId="4" borderId="17" xfId="0" applyFont="1" applyFill="1" applyBorder="1" applyAlignment="1">
      <alignment horizontal="center" vertical="center" wrapText="1"/>
    </xf>
    <xf numFmtId="0" fontId="0" fillId="4" borderId="21"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3"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9"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5" fontId="0" fillId="4" borderId="26" xfId="0" applyNumberFormat="1" applyFill="1" applyBorder="1" applyAlignment="1">
      <alignment horizontal="center" vertical="center" wrapText="1"/>
    </xf>
    <xf numFmtId="165" fontId="0" fillId="4" borderId="27"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9" xfId="0" applyNumberForma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18"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2"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7" xfId="0" applyNumberFormat="1" applyFont="1" applyFill="1" applyBorder="1" applyAlignment="1" applyProtection="1">
      <alignment horizontal="center" vertical="center"/>
    </xf>
    <xf numFmtId="2" fontId="15" fillId="4" borderId="12" xfId="0" applyNumberFormat="1" applyFont="1" applyFill="1" applyBorder="1" applyAlignment="1" applyProtection="1">
      <alignment horizontal="center" vertical="center"/>
    </xf>
    <xf numFmtId="0" fontId="24" fillId="5" borderId="30" xfId="0" applyFont="1" applyFill="1" applyBorder="1" applyAlignment="1">
      <alignment horizontal="center" vertical="center" wrapText="1"/>
    </xf>
    <xf numFmtId="40" fontId="0" fillId="5" borderId="8" xfId="0" applyNumberFormat="1" applyFont="1" applyFill="1" applyBorder="1" applyAlignment="1">
      <alignment horizontal="center" vertical="center" wrapText="1"/>
    </xf>
    <xf numFmtId="0" fontId="14" fillId="4" borderId="25"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2" xfId="0" applyFont="1" applyFill="1" applyBorder="1" applyAlignment="1">
      <alignment horizontal="left" vertical="center"/>
    </xf>
    <xf numFmtId="0" fontId="0" fillId="5" borderId="27" xfId="0" applyFont="1" applyFill="1" applyBorder="1" applyAlignment="1">
      <alignment horizontal="center" vertical="center" wrapText="1"/>
    </xf>
    <xf numFmtId="165" fontId="0" fillId="4" borderId="26"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19" xfId="0" applyNumberFormat="1"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3" borderId="15" xfId="0" applyNumberFormat="1" applyFont="1" applyFill="1" applyBorder="1" applyAlignment="1" applyProtection="1">
      <alignment horizontal="center" vertical="center"/>
    </xf>
    <xf numFmtId="1" fontId="15" fillId="5" borderId="9"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5" borderId="6"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5" fillId="5" borderId="10" xfId="0" applyNumberFormat="1" applyFont="1" applyFill="1" applyBorder="1" applyAlignment="1" applyProtection="1">
      <alignment horizontal="center" vertical="center"/>
    </xf>
    <xf numFmtId="1" fontId="15" fillId="5" borderId="11" xfId="0" applyNumberFormat="1" applyFont="1" applyFill="1" applyBorder="1" applyAlignment="1" applyProtection="1">
      <alignment horizontal="center" vertical="center"/>
    </xf>
    <xf numFmtId="1" fontId="15" fillId="5" borderId="12"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6" xfId="0" applyBorder="1"/>
    <xf numFmtId="2" fontId="2" fillId="4" borderId="9" xfId="0" applyNumberFormat="1" applyFont="1" applyFill="1" applyBorder="1" applyAlignment="1">
      <alignment horizontal="center" vertical="center" wrapText="1"/>
    </xf>
    <xf numFmtId="167" fontId="13" fillId="4" borderId="9" xfId="0" applyNumberFormat="1" applyFont="1" applyFill="1" applyBorder="1" applyAlignment="1">
      <alignment horizontal="center" vertical="center" wrapText="1"/>
    </xf>
    <xf numFmtId="1" fontId="15" fillId="4" borderId="27" xfId="0" applyNumberFormat="1" applyFont="1" applyFill="1" applyBorder="1" applyAlignment="1" applyProtection="1">
      <alignment horizontal="center" vertical="center"/>
    </xf>
    <xf numFmtId="1" fontId="15" fillId="4" borderId="8" xfId="0" applyNumberFormat="1" applyFont="1" applyFill="1" applyBorder="1" applyAlignment="1" applyProtection="1">
      <alignment horizontal="center" vertical="center"/>
    </xf>
    <xf numFmtId="2" fontId="4" fillId="4" borderId="12" xfId="0" applyNumberFormat="1" applyFont="1" applyFill="1" applyBorder="1" applyAlignment="1" applyProtection="1">
      <alignment vertical="center"/>
    </xf>
    <xf numFmtId="165" fontId="8" fillId="4" borderId="26" xfId="0" applyNumberFormat="1" applyFont="1" applyFill="1" applyBorder="1" applyAlignment="1">
      <alignment horizontal="center" vertical="center" wrapText="1"/>
    </xf>
    <xf numFmtId="165" fontId="8" fillId="4" borderId="20" xfId="0" applyNumberFormat="1" applyFont="1" applyFill="1" applyBorder="1" applyAlignment="1">
      <alignment horizontal="center" vertical="center" wrapText="1"/>
    </xf>
    <xf numFmtId="165" fontId="8" fillId="4" borderId="8" xfId="0" applyNumberFormat="1" applyFont="1" applyFill="1" applyBorder="1" applyAlignment="1">
      <alignment horizontal="center" vertical="center" wrapText="1"/>
    </xf>
    <xf numFmtId="165" fontId="8" fillId="4" borderId="19" xfId="0" applyNumberFormat="1" applyFont="1" applyFill="1" applyBorder="1" applyAlignment="1">
      <alignment horizontal="center" vertical="center" wrapText="1"/>
    </xf>
    <xf numFmtId="0" fontId="0" fillId="5" borderId="26" xfId="0" applyFont="1" applyFill="1" applyBorder="1" applyAlignment="1">
      <alignment horizontal="center" vertical="center" wrapText="1"/>
    </xf>
    <xf numFmtId="2" fontId="11" fillId="4" borderId="3" xfId="0" applyNumberFormat="1" applyFont="1" applyFill="1" applyBorder="1" applyAlignment="1" applyProtection="1"/>
    <xf numFmtId="2" fontId="10" fillId="4" borderId="22"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2"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5" xfId="0" applyFont="1" applyFill="1" applyBorder="1"/>
    <xf numFmtId="0" fontId="2" fillId="4" borderId="22" xfId="0" applyFont="1" applyFill="1" applyBorder="1"/>
    <xf numFmtId="0" fontId="0" fillId="4" borderId="5" xfId="0" applyFont="1" applyFill="1" applyBorder="1"/>
    <xf numFmtId="1" fontId="15" fillId="4" borderId="26" xfId="0" applyNumberFormat="1" applyFont="1" applyFill="1" applyBorder="1" applyAlignment="1" applyProtection="1">
      <alignment horizontal="center" vertical="center"/>
    </xf>
    <xf numFmtId="167" fontId="13" fillId="4" borderId="7" xfId="0" applyNumberFormat="1" applyFont="1" applyFill="1" applyBorder="1" applyAlignment="1">
      <alignment horizontal="left" vertical="center" wrapText="1"/>
    </xf>
    <xf numFmtId="167" fontId="13" fillId="4" borderId="14" xfId="0" applyNumberFormat="1" applyFont="1" applyFill="1" applyBorder="1" applyAlignment="1">
      <alignment horizontal="center" vertical="center" wrapText="1"/>
    </xf>
    <xf numFmtId="38" fontId="17" fillId="5" borderId="0" xfId="0" applyNumberFormat="1" applyFont="1" applyFill="1" applyAlignment="1">
      <alignment horizontal="center" vertical="center"/>
    </xf>
    <xf numFmtId="38" fontId="17" fillId="5" borderId="9" xfId="0" applyNumberFormat="1" applyFont="1" applyFill="1" applyBorder="1" applyAlignment="1">
      <alignment horizontal="center" vertical="center"/>
    </xf>
    <xf numFmtId="9" fontId="23" fillId="4" borderId="8" xfId="1" applyFont="1" applyFill="1" applyBorder="1" applyAlignment="1">
      <alignment horizontal="center" vertical="center"/>
    </xf>
    <xf numFmtId="9" fontId="23" fillId="4" borderId="19" xfId="1" applyFont="1" applyFill="1" applyBorder="1" applyAlignment="1">
      <alignment horizontal="center" vertical="center"/>
    </xf>
    <xf numFmtId="164" fontId="15" fillId="4" borderId="0" xfId="0" applyNumberFormat="1" applyFont="1" applyFill="1" applyAlignment="1">
      <alignment horizontal="center" vertical="center"/>
    </xf>
    <xf numFmtId="164" fontId="15" fillId="4" borderId="26" xfId="0" applyNumberFormat="1" applyFont="1" applyFill="1" applyBorder="1" applyAlignment="1">
      <alignment horizontal="center" vertical="center"/>
    </xf>
    <xf numFmtId="38" fontId="17" fillId="5" borderId="32" xfId="0" applyNumberFormat="1" applyFont="1" applyFill="1" applyBorder="1" applyAlignment="1">
      <alignment horizontal="center" vertical="center"/>
    </xf>
    <xf numFmtId="38" fontId="17" fillId="5" borderId="31" xfId="0" applyNumberFormat="1" applyFont="1" applyFill="1" applyBorder="1" applyAlignment="1">
      <alignment horizontal="center" vertical="center"/>
    </xf>
    <xf numFmtId="166" fontId="23" fillId="4" borderId="19" xfId="1" applyNumberFormat="1" applyFont="1" applyFill="1" applyBorder="1" applyAlignment="1">
      <alignment horizontal="center" vertical="center"/>
    </xf>
    <xf numFmtId="164" fontId="17" fillId="5" borderId="0" xfId="0" applyNumberFormat="1" applyFont="1" applyFill="1" applyAlignment="1">
      <alignment horizontal="center" vertical="center"/>
    </xf>
    <xf numFmtId="164" fontId="17" fillId="5" borderId="26" xfId="0" applyNumberFormat="1" applyFont="1" applyFill="1" applyBorder="1" applyAlignment="1">
      <alignment horizontal="center" vertical="center"/>
    </xf>
    <xf numFmtId="164" fontId="17" fillId="5" borderId="27" xfId="0" applyNumberFormat="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4" borderId="14" xfId="0" applyNumberFormat="1" applyFont="1" applyFill="1" applyBorder="1" applyAlignment="1">
      <alignment horizontal="center" vertical="center"/>
    </xf>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164" fontId="17" fillId="5" borderId="16" xfId="0" applyNumberFormat="1" applyFont="1" applyFill="1" applyBorder="1" applyAlignment="1">
      <alignment horizontal="center" vertical="center"/>
    </xf>
    <xf numFmtId="164" fontId="17" fillId="5" borderId="17" xfId="0" applyNumberFormat="1" applyFont="1" applyFill="1" applyBorder="1" applyAlignment="1">
      <alignment horizontal="center" vertical="center"/>
    </xf>
    <xf numFmtId="9" fontId="23" fillId="4" borderId="16" xfId="1" applyFont="1" applyFill="1" applyBorder="1" applyAlignment="1">
      <alignment horizontal="center" vertical="center"/>
    </xf>
    <xf numFmtId="9" fontId="23" fillId="4" borderId="17"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7" fillId="4" borderId="16" xfId="0" applyNumberFormat="1" applyFont="1" applyFill="1" applyBorder="1" applyAlignment="1">
      <alignment horizontal="center" vertical="center"/>
    </xf>
    <xf numFmtId="38" fontId="17" fillId="4" borderId="1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40" fontId="17" fillId="5" borderId="16" xfId="0" applyNumberFormat="1" applyFont="1" applyFill="1" applyBorder="1" applyAlignment="1">
      <alignment horizontal="center" vertical="center"/>
    </xf>
    <xf numFmtId="38" fontId="15" fillId="4" borderId="11" xfId="0" applyNumberFormat="1" applyFont="1" applyFill="1" applyBorder="1" applyAlignment="1">
      <alignment horizontal="center" vertical="center"/>
    </xf>
    <xf numFmtId="38" fontId="15" fillId="4" borderId="12" xfId="0" applyNumberFormat="1" applyFont="1" applyFill="1" applyBorder="1" applyAlignment="1">
      <alignment horizontal="center" vertical="center"/>
    </xf>
    <xf numFmtId="9" fontId="23" fillId="4" borderId="0" xfId="1" applyFont="1" applyFill="1" applyAlignment="1">
      <alignment horizontal="center" vertical="center"/>
    </xf>
    <xf numFmtId="9" fontId="23" fillId="4" borderId="9" xfId="1" applyFont="1" applyFill="1" applyBorder="1" applyAlignment="1">
      <alignment horizontal="center" vertical="center"/>
    </xf>
    <xf numFmtId="40" fontId="15" fillId="4" borderId="0" xfId="0" applyNumberFormat="1" applyFont="1" applyFill="1" applyAlignment="1">
      <alignment horizontal="center" vertical="center"/>
    </xf>
    <xf numFmtId="40" fontId="15" fillId="4" borderId="9" xfId="0" applyNumberFormat="1" applyFont="1" applyFill="1" applyBorder="1" applyAlignment="1">
      <alignment horizontal="center" vertical="center"/>
    </xf>
    <xf numFmtId="38" fontId="17" fillId="5" borderId="7" xfId="0" applyNumberFormat="1" applyFont="1" applyFill="1" applyBorder="1" applyAlignment="1">
      <alignment horizontal="center" vertical="center"/>
    </xf>
    <xf numFmtId="38" fontId="17" fillId="5" borderId="14" xfId="0" applyNumberFormat="1" applyFont="1" applyFill="1" applyBorder="1" applyAlignment="1">
      <alignment horizontal="center" vertical="center"/>
    </xf>
    <xf numFmtId="164" fontId="15" fillId="4" borderId="27" xfId="0" applyNumberFormat="1" applyFont="1" applyFill="1" applyBorder="1" applyAlignment="1">
      <alignment horizontal="center" vertical="center"/>
    </xf>
    <xf numFmtId="40" fontId="17" fillId="5" borderId="9" xfId="0" applyNumberFormat="1" applyFont="1" applyFill="1" applyBorder="1" applyAlignment="1">
      <alignment horizontal="center" vertical="center"/>
    </xf>
    <xf numFmtId="38" fontId="17" fillId="5" borderId="13" xfId="0" applyNumberFormat="1" applyFont="1" applyFill="1" applyBorder="1" applyAlignment="1">
      <alignment horizontal="center" vertical="center"/>
    </xf>
    <xf numFmtId="2" fontId="19" fillId="4" borderId="25"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3" xfId="0" applyNumberFormat="1" applyFont="1" applyFill="1" applyBorder="1" applyAlignment="1" applyProtection="1">
      <alignment horizontal="left" vertical="center"/>
    </xf>
    <xf numFmtId="2" fontId="19" fillId="4" borderId="33"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0" fillId="4" borderId="6" xfId="0" applyFill="1" applyBorder="1" applyAlignment="1">
      <alignment vertical="center"/>
    </xf>
    <xf numFmtId="40" fontId="17" fillId="0" borderId="0" xfId="0" applyNumberFormat="1" applyFont="1" applyFill="1" applyBorder="1" applyAlignment="1" applyProtection="1">
      <alignment horizontal="center" vertical="center"/>
    </xf>
    <xf numFmtId="40" fontId="17" fillId="0" borderId="9" xfId="0" applyNumberFormat="1" applyFont="1" applyFill="1" applyBorder="1" applyAlignment="1" applyProtection="1">
      <alignment horizontal="center" vertical="center"/>
    </xf>
    <xf numFmtId="40" fontId="0" fillId="4" borderId="20" xfId="0" applyNumberFormat="1" applyFont="1" applyFill="1" applyBorder="1" applyAlignment="1">
      <alignment horizontal="center" vertical="center" wrapText="1"/>
    </xf>
    <xf numFmtId="9" fontId="2" fillId="0" borderId="5" xfId="1" applyFont="1" applyFill="1" applyBorder="1" applyAlignment="1">
      <alignment horizontal="center" vertical="center" wrapText="1"/>
    </xf>
    <xf numFmtId="0" fontId="0" fillId="5" borderId="0" xfId="0" applyFill="1" applyBorder="1" applyAlignment="1">
      <alignment horizontal="center" vertical="center" wrapText="1"/>
    </xf>
    <xf numFmtId="165" fontId="0" fillId="5" borderId="0" xfId="0" applyNumberFormat="1" applyFill="1" applyBorder="1" applyAlignment="1">
      <alignment horizontal="center" vertical="center" wrapText="1"/>
    </xf>
    <xf numFmtId="165" fontId="0" fillId="5" borderId="9" xfId="0" applyNumberFormat="1" applyFill="1" applyBorder="1" applyAlignment="1">
      <alignment horizontal="center" vertical="center" wrapText="1"/>
    </xf>
    <xf numFmtId="165" fontId="8" fillId="4" borderId="2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9"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2"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9"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1"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xf>
    <xf numFmtId="0" fontId="0" fillId="6" borderId="0" xfId="0" applyFill="1"/>
    <xf numFmtId="1" fontId="0" fillId="7" borderId="2" xfId="0" applyNumberFormat="1" applyFill="1" applyBorder="1" applyAlignment="1">
      <alignment horizontal="right" vertical="center"/>
    </xf>
  </cellXfs>
  <cellStyles count="2">
    <cellStyle name="Normal" xfId="0" builtinId="0"/>
    <cellStyle name="Percent" xfId="1" builtinId="5"/>
  </cellStyles>
  <dxfs count="0"/>
  <tableStyles count="0" defaultTableStyle="TableStyleMedium2" defaultPivotStyle="PivotStyleMedium9"/>
  <colors>
    <mruColors>
      <color rgb="FFDACD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709084</xdr:colOff>
      <xdr:row>1</xdr:row>
      <xdr:rowOff>116416</xdr:rowOff>
    </xdr:from>
    <xdr:to>
      <xdr:col>1</xdr:col>
      <xdr:colOff>2053167</xdr:colOff>
      <xdr:row>7</xdr:row>
      <xdr:rowOff>63107</xdr:rowOff>
    </xdr:to>
    <xdr:pic>
      <xdr:nvPicPr>
        <xdr:cNvPr id="2" name="Picture 1" descr="NHI REIT (@NHI_REIT) | Twitter">
          <a:extLst>
            <a:ext uri="{FF2B5EF4-FFF2-40B4-BE49-F238E27FC236}">
              <a16:creationId xmlns:a16="http://schemas.microsoft.com/office/drawing/2014/main" id="{8C611B4F-BC9A-F94B-98A5-3F5BED0D1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084" y="328083"/>
          <a:ext cx="1344083" cy="133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825500</xdr:colOff>
      <xdr:row>2</xdr:row>
      <xdr:rowOff>25400</xdr:rowOff>
    </xdr:from>
    <xdr:to>
      <xdr:col>1</xdr:col>
      <xdr:colOff>2169583</xdr:colOff>
      <xdr:row>6</xdr:row>
      <xdr:rowOff>596507</xdr:rowOff>
    </xdr:to>
    <xdr:pic>
      <xdr:nvPicPr>
        <xdr:cNvPr id="2" name="Picture 1" descr="NHI REIT (@NHI_REIT) | Twitter">
          <a:extLst>
            <a:ext uri="{FF2B5EF4-FFF2-40B4-BE49-F238E27FC236}">
              <a16:creationId xmlns:a16="http://schemas.microsoft.com/office/drawing/2014/main" id="{86DBC315-3AD7-1444-B42D-94AC8A7CA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2200" y="431800"/>
          <a:ext cx="1344083" cy="133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1060173</xdr:colOff>
      <xdr:row>3</xdr:row>
      <xdr:rowOff>33131</xdr:rowOff>
    </xdr:from>
    <xdr:to>
      <xdr:col>1</xdr:col>
      <xdr:colOff>2404256</xdr:colOff>
      <xdr:row>7</xdr:row>
      <xdr:rowOff>195629</xdr:rowOff>
    </xdr:to>
    <xdr:pic>
      <xdr:nvPicPr>
        <xdr:cNvPr id="2" name="Picture 1" descr="NHI REIT (@NHI_REIT) | Twitter">
          <a:extLst>
            <a:ext uri="{FF2B5EF4-FFF2-40B4-BE49-F238E27FC236}">
              <a16:creationId xmlns:a16="http://schemas.microsoft.com/office/drawing/2014/main" id="{EB0432F4-2B12-2C42-8A96-0BB62780ED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0434" y="607392"/>
          <a:ext cx="1344083" cy="133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546100</xdr:colOff>
      <xdr:row>2</xdr:row>
      <xdr:rowOff>25400</xdr:rowOff>
    </xdr:from>
    <xdr:to>
      <xdr:col>1</xdr:col>
      <xdr:colOff>1890183</xdr:colOff>
      <xdr:row>6</xdr:row>
      <xdr:rowOff>596507</xdr:rowOff>
    </xdr:to>
    <xdr:pic>
      <xdr:nvPicPr>
        <xdr:cNvPr id="2" name="Picture 1" descr="NHI REIT (@NHI_REIT) | Twitter">
          <a:extLst>
            <a:ext uri="{FF2B5EF4-FFF2-40B4-BE49-F238E27FC236}">
              <a16:creationId xmlns:a16="http://schemas.microsoft.com/office/drawing/2014/main" id="{5715AA17-4EC8-1443-9EAB-AFDF893E9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900" y="419100"/>
          <a:ext cx="1344083" cy="133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130" zoomScaleNormal="130" workbookViewId="0">
      <selection activeCell="I26" sqref="I26"/>
    </sheetView>
  </sheetViews>
  <sheetFormatPr baseColWidth="10" defaultColWidth="11.5" defaultRowHeight="16" outlineLevelRow="1" x14ac:dyDescent="0.2"/>
  <cols>
    <col min="1" max="1" width="3.33203125" style="36" customWidth="1"/>
    <col min="2" max="2" width="42.33203125" style="28" customWidth="1"/>
    <col min="3" max="14" width="11" style="66" customWidth="1"/>
    <col min="15" max="15" width="10.83203125" style="36" customWidth="1"/>
    <col min="16" max="16384" width="11.5" style="36"/>
  </cols>
  <sheetData>
    <row r="1" spans="2:19" ht="17" thickBot="1" x14ac:dyDescent="0.25"/>
    <row r="2" spans="2:19" ht="30" customHeight="1" x14ac:dyDescent="0.2">
      <c r="B2" s="258"/>
      <c r="C2" s="261"/>
      <c r="D2" s="261"/>
      <c r="E2" s="261"/>
      <c r="F2" s="261"/>
      <c r="G2" s="261"/>
      <c r="H2" s="261"/>
      <c r="I2" s="261"/>
      <c r="J2" s="261"/>
      <c r="K2" s="261"/>
      <c r="L2" s="261"/>
      <c r="M2" s="261"/>
      <c r="N2" s="262"/>
      <c r="O2" s="22"/>
      <c r="P2" s="22"/>
      <c r="Q2" s="11"/>
      <c r="R2" s="11"/>
    </row>
    <row r="3" spans="2:19" ht="16" customHeight="1" x14ac:dyDescent="0.2">
      <c r="B3" s="259"/>
      <c r="C3" s="263"/>
      <c r="D3" s="263"/>
      <c r="E3" s="263"/>
      <c r="F3" s="263"/>
      <c r="G3" s="263"/>
      <c r="H3" s="263"/>
      <c r="I3" s="263"/>
      <c r="J3" s="263"/>
      <c r="K3" s="263"/>
      <c r="L3" s="263"/>
      <c r="M3" s="263"/>
      <c r="N3" s="264"/>
      <c r="O3" s="22"/>
      <c r="P3" s="22"/>
      <c r="Q3" s="11"/>
      <c r="R3" s="11"/>
    </row>
    <row r="4" spans="2:19" ht="16" customHeight="1" x14ac:dyDescent="0.2">
      <c r="B4" s="259"/>
      <c r="C4" s="263"/>
      <c r="D4" s="263"/>
      <c r="E4" s="263"/>
      <c r="F4" s="263"/>
      <c r="G4" s="263"/>
      <c r="H4" s="263"/>
      <c r="I4" s="263"/>
      <c r="J4" s="263"/>
      <c r="K4" s="263"/>
      <c r="L4" s="263"/>
      <c r="M4" s="263"/>
      <c r="N4" s="264"/>
      <c r="O4" s="22"/>
      <c r="P4" s="22"/>
      <c r="Q4" s="11"/>
      <c r="R4" s="11"/>
    </row>
    <row r="5" spans="2:19" ht="16" customHeight="1" x14ac:dyDescent="0.2">
      <c r="B5" s="259"/>
      <c r="C5" s="263"/>
      <c r="D5" s="263"/>
      <c r="E5" s="263"/>
      <c r="F5" s="263"/>
      <c r="G5" s="263"/>
      <c r="H5" s="263"/>
      <c r="I5" s="263"/>
      <c r="J5" s="263"/>
      <c r="K5" s="263"/>
      <c r="L5" s="263"/>
      <c r="M5" s="263"/>
      <c r="N5" s="264"/>
      <c r="O5" s="22"/>
      <c r="P5" s="22"/>
      <c r="Q5" s="11"/>
      <c r="R5" s="11"/>
    </row>
    <row r="6" spans="2:19" ht="16" customHeight="1" x14ac:dyDescent="0.2">
      <c r="B6" s="259"/>
      <c r="C6" s="263"/>
      <c r="D6" s="263"/>
      <c r="E6" s="263"/>
      <c r="F6" s="263"/>
      <c r="G6" s="263"/>
      <c r="H6" s="263"/>
      <c r="I6" s="263"/>
      <c r="J6" s="263"/>
      <c r="K6" s="263"/>
      <c r="L6" s="263"/>
      <c r="M6" s="263"/>
      <c r="N6" s="264"/>
      <c r="O6" s="22"/>
      <c r="P6" s="22"/>
      <c r="Q6" s="11"/>
    </row>
    <row r="7" spans="2:19" ht="16" customHeight="1" thickBot="1" x14ac:dyDescent="0.25">
      <c r="B7" s="259"/>
      <c r="C7" s="265"/>
      <c r="D7" s="265"/>
      <c r="E7" s="265"/>
      <c r="F7" s="265"/>
      <c r="G7" s="265"/>
      <c r="H7" s="265"/>
      <c r="I7" s="265"/>
      <c r="J7" s="265"/>
      <c r="K7" s="265"/>
      <c r="L7" s="265"/>
      <c r="M7" s="265"/>
      <c r="N7" s="266"/>
      <c r="O7" s="22"/>
      <c r="P7" s="22"/>
      <c r="Q7" s="11"/>
    </row>
    <row r="8" spans="2:19" ht="16" customHeight="1" thickBot="1" x14ac:dyDescent="0.25">
      <c r="B8" s="260"/>
      <c r="C8" s="29">
        <v>2014</v>
      </c>
      <c r="D8" s="30">
        <v>2015</v>
      </c>
      <c r="E8" s="30">
        <v>2016</v>
      </c>
      <c r="F8" s="30">
        <v>2017</v>
      </c>
      <c r="G8" s="30">
        <v>2018</v>
      </c>
      <c r="H8" s="30">
        <v>2019</v>
      </c>
      <c r="I8" s="30">
        <v>2020</v>
      </c>
      <c r="J8" s="168">
        <v>2021</v>
      </c>
      <c r="K8" s="96">
        <v>2020</v>
      </c>
      <c r="L8" s="96">
        <v>2023</v>
      </c>
      <c r="M8" s="96">
        <v>2024</v>
      </c>
      <c r="N8" s="97">
        <v>2025</v>
      </c>
      <c r="O8" s="11"/>
      <c r="P8" s="11"/>
      <c r="Q8" s="11"/>
    </row>
    <row r="9" spans="2:19" ht="16" customHeight="1" x14ac:dyDescent="0.2">
      <c r="B9" s="63" t="s">
        <v>29</v>
      </c>
      <c r="C9" s="67"/>
      <c r="D9" s="68"/>
      <c r="E9" s="68"/>
      <c r="F9" s="68"/>
      <c r="G9" s="68"/>
      <c r="H9" s="68"/>
      <c r="I9" s="157"/>
      <c r="J9" s="68"/>
      <c r="K9" s="68"/>
      <c r="L9" s="68"/>
      <c r="M9" s="69"/>
      <c r="N9" s="70"/>
      <c r="O9" s="11"/>
      <c r="P9" s="11"/>
      <c r="Q9" s="11"/>
    </row>
    <row r="10" spans="2:19" ht="16" customHeight="1" thickBot="1" x14ac:dyDescent="0.25">
      <c r="B10" s="58" t="s">
        <v>14</v>
      </c>
      <c r="C10" s="202"/>
      <c r="D10" s="202">
        <v>228</v>
      </c>
      <c r="E10" s="202">
        <v>248</v>
      </c>
      <c r="F10" s="202">
        <v>278</v>
      </c>
      <c r="G10" s="202">
        <v>294</v>
      </c>
      <c r="H10" s="202">
        <v>318</v>
      </c>
      <c r="I10" s="203">
        <v>332</v>
      </c>
      <c r="J10" s="71">
        <f t="shared" ref="J10:N10" si="0">(I10*$P$11)+I10</f>
        <v>358.56</v>
      </c>
      <c r="K10" s="71">
        <f t="shared" si="0"/>
        <v>387.2448</v>
      </c>
      <c r="L10" s="71">
        <f t="shared" si="0"/>
        <v>418.22438399999999</v>
      </c>
      <c r="M10" s="71">
        <f t="shared" si="0"/>
        <v>451.68233471999997</v>
      </c>
      <c r="N10" s="72">
        <f t="shared" si="0"/>
        <v>487.81692149759999</v>
      </c>
      <c r="O10" s="11"/>
      <c r="P10" s="11"/>
      <c r="Q10" s="11"/>
      <c r="S10"/>
    </row>
    <row r="11" spans="2:19" ht="15.75" customHeight="1" thickBot="1" x14ac:dyDescent="0.25">
      <c r="B11" s="241" t="s">
        <v>28</v>
      </c>
      <c r="C11" s="204" t="e">
        <f t="shared" ref="C11:I11" si="1">(C10-B10)/B10</f>
        <v>#VALUE!</v>
      </c>
      <c r="D11" s="204" t="e">
        <f t="shared" si="1"/>
        <v>#DIV/0!</v>
      </c>
      <c r="E11" s="204">
        <f t="shared" si="1"/>
        <v>8.771929824561403E-2</v>
      </c>
      <c r="F11" s="204">
        <f t="shared" si="1"/>
        <v>0.12096774193548387</v>
      </c>
      <c r="G11" s="204">
        <f t="shared" si="1"/>
        <v>5.7553956834532377E-2</v>
      </c>
      <c r="H11" s="204">
        <f t="shared" si="1"/>
        <v>8.1632653061224483E-2</v>
      </c>
      <c r="I11" s="205">
        <f t="shared" si="1"/>
        <v>4.40251572327044E-2</v>
      </c>
      <c r="J11" s="74">
        <f t="shared" ref="J11:N11" si="2">$P$11</f>
        <v>0.08</v>
      </c>
      <c r="K11" s="74">
        <f t="shared" si="2"/>
        <v>0.08</v>
      </c>
      <c r="L11" s="74">
        <f t="shared" si="2"/>
        <v>0.08</v>
      </c>
      <c r="M11" s="74">
        <f t="shared" si="2"/>
        <v>0.08</v>
      </c>
      <c r="N11" s="75">
        <f t="shared" si="2"/>
        <v>0.08</v>
      </c>
      <c r="O11" s="37" t="s">
        <v>26</v>
      </c>
      <c r="P11" s="9">
        <v>0.08</v>
      </c>
      <c r="Q11" s="11"/>
      <c r="S11"/>
    </row>
    <row r="12" spans="2:19" ht="16" customHeight="1" x14ac:dyDescent="0.2">
      <c r="B12" s="243" t="s">
        <v>5</v>
      </c>
      <c r="C12" s="206">
        <f t="shared" ref="C12:E12" si="3">C15+C14</f>
        <v>0</v>
      </c>
      <c r="D12" s="206">
        <f t="shared" si="3"/>
        <v>240</v>
      </c>
      <c r="E12" s="206">
        <f t="shared" si="3"/>
        <v>254</v>
      </c>
      <c r="F12" s="206">
        <f>F15+F14</f>
        <v>272</v>
      </c>
      <c r="G12" s="206">
        <f>G15+G14</f>
        <v>274</v>
      </c>
      <c r="H12" s="207">
        <f>H15+H14</f>
        <v>293</v>
      </c>
      <c r="I12" s="236">
        <f t="shared" ref="I12" si="4">I15+I14</f>
        <v>320</v>
      </c>
      <c r="J12" s="78">
        <f t="shared" ref="J12:N12" si="5">J15+J14</f>
        <v>354.9744</v>
      </c>
      <c r="K12" s="78">
        <f t="shared" si="5"/>
        <v>383.37235199999998</v>
      </c>
      <c r="L12" s="78">
        <f t="shared" si="5"/>
        <v>414.04214016000003</v>
      </c>
      <c r="M12" s="78">
        <f t="shared" si="5"/>
        <v>447.16551137279998</v>
      </c>
      <c r="N12" s="79">
        <f t="shared" si="5"/>
        <v>482.93875228262402</v>
      </c>
      <c r="O12" s="11"/>
      <c r="P12" s="16"/>
      <c r="Q12" s="11"/>
    </row>
    <row r="13" spans="2:19" ht="16" customHeight="1" x14ac:dyDescent="0.2">
      <c r="B13" s="241" t="s">
        <v>15</v>
      </c>
      <c r="C13" s="204" t="e">
        <f t="shared" ref="C13:I13" si="6">(C12/C10)</f>
        <v>#DIV/0!</v>
      </c>
      <c r="D13" s="204">
        <f t="shared" si="6"/>
        <v>1.0526315789473684</v>
      </c>
      <c r="E13" s="204">
        <f t="shared" si="6"/>
        <v>1.0241935483870968</v>
      </c>
      <c r="F13" s="204">
        <f t="shared" si="6"/>
        <v>0.97841726618705038</v>
      </c>
      <c r="G13" s="204">
        <f t="shared" si="6"/>
        <v>0.93197278911564629</v>
      </c>
      <c r="H13" s="204">
        <f t="shared" si="6"/>
        <v>0.92138364779874216</v>
      </c>
      <c r="I13" s="205">
        <f t="shared" si="6"/>
        <v>0.96385542168674698</v>
      </c>
      <c r="J13" s="73">
        <f>J12/J10</f>
        <v>0.99</v>
      </c>
      <c r="K13" s="73">
        <f>K12/K10</f>
        <v>0.99</v>
      </c>
      <c r="L13" s="73">
        <f>L12/L10</f>
        <v>0.9900000000000001</v>
      </c>
      <c r="M13" s="73">
        <f>M12/M10</f>
        <v>0.99</v>
      </c>
      <c r="N13" s="80">
        <f>N12/N10</f>
        <v>0.9900000000000001</v>
      </c>
      <c r="O13" s="11"/>
      <c r="P13" s="11"/>
      <c r="Q13" s="11"/>
    </row>
    <row r="14" spans="2:19" ht="16" customHeight="1" thickBot="1" x14ac:dyDescent="0.25">
      <c r="B14" s="240" t="s">
        <v>0</v>
      </c>
      <c r="C14" s="202"/>
      <c r="D14" s="202">
        <v>53</v>
      </c>
      <c r="E14" s="202">
        <v>59</v>
      </c>
      <c r="F14" s="202">
        <v>67</v>
      </c>
      <c r="G14" s="202">
        <v>71</v>
      </c>
      <c r="H14" s="208">
        <v>77</v>
      </c>
      <c r="I14" s="209">
        <v>83</v>
      </c>
      <c r="J14" s="81">
        <f t="shared" ref="J14:N14" si="7">(I14*$P$11)+I14</f>
        <v>89.64</v>
      </c>
      <c r="K14" s="81">
        <f t="shared" si="7"/>
        <v>96.811199999999999</v>
      </c>
      <c r="L14" s="81">
        <f t="shared" si="7"/>
        <v>104.556096</v>
      </c>
      <c r="M14" s="81">
        <f t="shared" si="7"/>
        <v>112.92058367999999</v>
      </c>
      <c r="N14" s="82">
        <f t="shared" si="7"/>
        <v>121.9542303744</v>
      </c>
      <c r="O14" s="11"/>
      <c r="P14" s="11"/>
      <c r="Q14" s="11"/>
    </row>
    <row r="15" spans="2:19" ht="16" customHeight="1" outlineLevel="1" thickBot="1" x14ac:dyDescent="0.25">
      <c r="B15" s="58" t="s">
        <v>6</v>
      </c>
      <c r="C15" s="130"/>
      <c r="D15" s="130">
        <f>150+37</f>
        <v>187</v>
      </c>
      <c r="E15" s="130">
        <f>152+43</f>
        <v>195</v>
      </c>
      <c r="F15" s="130">
        <f>159+46</f>
        <v>205</v>
      </c>
      <c r="G15" s="130">
        <f>154+49</f>
        <v>203</v>
      </c>
      <c r="H15" s="130">
        <f>160+56</f>
        <v>216</v>
      </c>
      <c r="I15" s="158">
        <f>185+52</f>
        <v>237</v>
      </c>
      <c r="J15" s="71">
        <f>J10*$P$16</f>
        <v>265.33440000000002</v>
      </c>
      <c r="K15" s="71">
        <f>K10*$P$16</f>
        <v>286.56115199999999</v>
      </c>
      <c r="L15" s="71">
        <f>L10*$P$16</f>
        <v>309.48604416000001</v>
      </c>
      <c r="M15" s="71">
        <f>M10*$P$16</f>
        <v>334.24492769279999</v>
      </c>
      <c r="N15" s="72">
        <f>N10*$P$16</f>
        <v>360.984521908224</v>
      </c>
      <c r="O15" s="11"/>
      <c r="P15" s="11"/>
      <c r="Q15" s="11"/>
    </row>
    <row r="16" spans="2:19" ht="16" customHeight="1" outlineLevel="1" thickBot="1" x14ac:dyDescent="0.25">
      <c r="B16" s="241" t="s">
        <v>16</v>
      </c>
      <c r="C16" s="204" t="e">
        <f t="shared" ref="C16:E16" si="8">(C15/C10)</f>
        <v>#DIV/0!</v>
      </c>
      <c r="D16" s="204">
        <f t="shared" si="8"/>
        <v>0.82017543859649122</v>
      </c>
      <c r="E16" s="204">
        <f t="shared" si="8"/>
        <v>0.78629032258064513</v>
      </c>
      <c r="F16" s="204">
        <f>(F15/F10)</f>
        <v>0.73741007194244601</v>
      </c>
      <c r="G16" s="204">
        <f>(G15/G10)</f>
        <v>0.69047619047619047</v>
      </c>
      <c r="H16" s="204">
        <f>(H15/H10)</f>
        <v>0.67924528301886788</v>
      </c>
      <c r="I16" s="210">
        <f t="shared" ref="I16" si="9">(I15/I10)</f>
        <v>0.71385542168674698</v>
      </c>
      <c r="J16" s="73">
        <f t="shared" ref="J16:N16" si="10">(J15/J10)</f>
        <v>0.74</v>
      </c>
      <c r="K16" s="73">
        <f t="shared" si="10"/>
        <v>0.74</v>
      </c>
      <c r="L16" s="73">
        <f t="shared" si="10"/>
        <v>0.74</v>
      </c>
      <c r="M16" s="73">
        <f t="shared" si="10"/>
        <v>0.74</v>
      </c>
      <c r="N16" s="80">
        <f t="shared" si="10"/>
        <v>0.74</v>
      </c>
      <c r="O16" s="37" t="s">
        <v>25</v>
      </c>
      <c r="P16" s="14">
        <v>0.74</v>
      </c>
      <c r="Q16" s="11"/>
    </row>
    <row r="17" spans="2:17" ht="16" customHeight="1" outlineLevel="1" x14ac:dyDescent="0.2">
      <c r="B17" s="267" t="s">
        <v>47</v>
      </c>
      <c r="C17" s="211"/>
      <c r="D17" s="211">
        <v>37</v>
      </c>
      <c r="E17" s="211">
        <v>43</v>
      </c>
      <c r="F17" s="211">
        <v>46</v>
      </c>
      <c r="G17" s="211">
        <v>49</v>
      </c>
      <c r="H17" s="212">
        <v>56</v>
      </c>
      <c r="I17" s="213">
        <v>52</v>
      </c>
      <c r="J17" s="121">
        <f t="shared" ref="J17:N17" si="11">(I17*$P$11)+I17</f>
        <v>56.16</v>
      </c>
      <c r="K17" s="121">
        <f t="shared" si="11"/>
        <v>60.652799999999999</v>
      </c>
      <c r="L17" s="121">
        <f t="shared" si="11"/>
        <v>65.505023999999992</v>
      </c>
      <c r="M17" s="121">
        <f t="shared" si="11"/>
        <v>70.745425919999988</v>
      </c>
      <c r="N17" s="122">
        <f t="shared" si="11"/>
        <v>76.405059993599991</v>
      </c>
      <c r="O17" s="11"/>
      <c r="P17" s="11"/>
      <c r="Q17" s="11"/>
    </row>
    <row r="18" spans="2:17" ht="16" customHeight="1" outlineLevel="1" thickBot="1" x14ac:dyDescent="0.25">
      <c r="B18" s="268"/>
      <c r="C18" s="214"/>
      <c r="D18" s="214"/>
      <c r="E18" s="214"/>
      <c r="F18" s="214"/>
      <c r="G18" s="215"/>
      <c r="H18" s="215"/>
      <c r="I18" s="216"/>
      <c r="J18" s="77"/>
      <c r="K18" s="77"/>
      <c r="L18" s="77"/>
      <c r="M18" s="77"/>
      <c r="N18" s="83"/>
      <c r="O18" s="11"/>
      <c r="P18" s="11"/>
      <c r="Q18" s="11"/>
    </row>
    <row r="19" spans="2:17" ht="16" customHeight="1" thickBot="1" x14ac:dyDescent="0.25">
      <c r="B19" s="239" t="s">
        <v>1</v>
      </c>
      <c r="C19" s="217">
        <f t="shared" ref="C19:E19" si="12">C15-C17</f>
        <v>0</v>
      </c>
      <c r="D19" s="217">
        <f t="shared" si="12"/>
        <v>150</v>
      </c>
      <c r="E19" s="217">
        <f t="shared" si="12"/>
        <v>152</v>
      </c>
      <c r="F19" s="217">
        <f>F15-F17</f>
        <v>159</v>
      </c>
      <c r="G19" s="217">
        <f>G15-G17</f>
        <v>154</v>
      </c>
      <c r="H19" s="217">
        <f>H15-H17</f>
        <v>160</v>
      </c>
      <c r="I19" s="218">
        <f t="shared" ref="I19" si="13">I15-I17</f>
        <v>185</v>
      </c>
      <c r="J19" s="84">
        <f t="shared" ref="J19:N19" si="14">J15-J17-J18</f>
        <v>209.17440000000002</v>
      </c>
      <c r="K19" s="84">
        <f t="shared" si="14"/>
        <v>225.90835199999998</v>
      </c>
      <c r="L19" s="84">
        <f t="shared" si="14"/>
        <v>243.98102016000001</v>
      </c>
      <c r="M19" s="84">
        <f t="shared" si="14"/>
        <v>263.49950177279999</v>
      </c>
      <c r="N19" s="85">
        <f t="shared" si="14"/>
        <v>284.57946191462401</v>
      </c>
      <c r="O19" s="11"/>
      <c r="P19" s="11"/>
      <c r="Q19" s="11"/>
    </row>
    <row r="20" spans="2:17" ht="16" customHeight="1" collapsed="1" thickBot="1" x14ac:dyDescent="0.25">
      <c r="B20" s="240" t="s">
        <v>80</v>
      </c>
      <c r="C20" s="211"/>
      <c r="D20" s="211"/>
      <c r="E20" s="211"/>
      <c r="F20" s="211"/>
      <c r="G20" s="211"/>
      <c r="H20" s="219"/>
      <c r="I20" s="220"/>
      <c r="J20" s="245">
        <f>J19*J21</f>
        <v>0</v>
      </c>
      <c r="K20" s="246">
        <f t="shared" ref="K20:N20" si="15">K19*K21</f>
        <v>0</v>
      </c>
      <c r="L20" s="245">
        <f t="shared" si="15"/>
        <v>0</v>
      </c>
      <c r="M20" s="246">
        <f t="shared" si="15"/>
        <v>0</v>
      </c>
      <c r="N20" s="245">
        <f t="shared" si="15"/>
        <v>0</v>
      </c>
      <c r="O20" s="247"/>
      <c r="P20" s="11"/>
      <c r="Q20" s="11"/>
    </row>
    <row r="21" spans="2:17" ht="16" customHeight="1" thickBot="1" x14ac:dyDescent="0.25">
      <c r="B21" s="241" t="s">
        <v>9</v>
      </c>
      <c r="C21" s="221" t="e">
        <f t="shared" ref="C21:I21" si="16">(C20/C19)</f>
        <v>#DIV/0!</v>
      </c>
      <c r="D21" s="221">
        <f t="shared" si="16"/>
        <v>0</v>
      </c>
      <c r="E21" s="221">
        <f t="shared" si="16"/>
        <v>0</v>
      </c>
      <c r="F21" s="221">
        <f t="shared" si="16"/>
        <v>0</v>
      </c>
      <c r="G21" s="221">
        <f t="shared" si="16"/>
        <v>0</v>
      </c>
      <c r="H21" s="221">
        <f t="shared" si="16"/>
        <v>0</v>
      </c>
      <c r="I21" s="222">
        <f t="shared" si="16"/>
        <v>0</v>
      </c>
      <c r="J21" s="73">
        <f>$P$21</f>
        <v>0</v>
      </c>
      <c r="K21" s="73">
        <f t="shared" ref="K21:N21" si="17">$P$21</f>
        <v>0</v>
      </c>
      <c r="L21" s="73">
        <f t="shared" si="17"/>
        <v>0</v>
      </c>
      <c r="M21" s="73">
        <f t="shared" si="17"/>
        <v>0</v>
      </c>
      <c r="N21" s="80">
        <f t="shared" si="17"/>
        <v>0</v>
      </c>
      <c r="O21" s="37" t="s">
        <v>27</v>
      </c>
      <c r="P21" s="10">
        <v>0</v>
      </c>
      <c r="Q21" s="11"/>
    </row>
    <row r="22" spans="2:17" ht="16" customHeight="1" thickBot="1" x14ac:dyDescent="0.25">
      <c r="B22" s="242" t="s">
        <v>2</v>
      </c>
      <c r="C22" s="223">
        <f t="shared" ref="C22:I22" si="18">C19-C20</f>
        <v>0</v>
      </c>
      <c r="D22" s="223">
        <f t="shared" si="18"/>
        <v>150</v>
      </c>
      <c r="E22" s="223">
        <f t="shared" si="18"/>
        <v>152</v>
      </c>
      <c r="F22" s="223">
        <f t="shared" si="18"/>
        <v>159</v>
      </c>
      <c r="G22" s="223">
        <f t="shared" si="18"/>
        <v>154</v>
      </c>
      <c r="H22" s="224">
        <f t="shared" si="18"/>
        <v>160</v>
      </c>
      <c r="I22" s="225">
        <f t="shared" si="18"/>
        <v>185</v>
      </c>
      <c r="J22" s="86">
        <f t="shared" ref="J22:N22" si="19">J19-J20</f>
        <v>209.17440000000002</v>
      </c>
      <c r="K22" s="86">
        <f t="shared" si="19"/>
        <v>225.90835199999998</v>
      </c>
      <c r="L22" s="86">
        <f t="shared" si="19"/>
        <v>243.98102016000001</v>
      </c>
      <c r="M22" s="86">
        <f t="shared" si="19"/>
        <v>263.49950177279999</v>
      </c>
      <c r="N22" s="87">
        <f t="shared" si="19"/>
        <v>284.57946191462401</v>
      </c>
      <c r="O22" s="11"/>
      <c r="P22" s="11"/>
      <c r="Q22" s="11"/>
    </row>
    <row r="23" spans="2:17" ht="16" customHeight="1" thickBot="1" x14ac:dyDescent="0.25">
      <c r="B23" s="240" t="s">
        <v>3</v>
      </c>
      <c r="C23" s="226">
        <v>0</v>
      </c>
      <c r="D23" s="226">
        <v>0</v>
      </c>
      <c r="E23" s="226">
        <v>0</v>
      </c>
      <c r="F23" s="226">
        <v>0</v>
      </c>
      <c r="G23" s="226">
        <v>0</v>
      </c>
      <c r="H23" s="227">
        <v>0</v>
      </c>
      <c r="I23" s="237">
        <v>0</v>
      </c>
      <c r="J23" s="248"/>
      <c r="K23" s="77"/>
      <c r="L23" s="248"/>
      <c r="M23" s="77"/>
      <c r="N23" s="249"/>
      <c r="O23" s="11"/>
      <c r="P23" s="11"/>
      <c r="Q23" s="11"/>
    </row>
    <row r="24" spans="2:17" ht="16" customHeight="1" x14ac:dyDescent="0.2">
      <c r="B24" s="243" t="s">
        <v>4</v>
      </c>
      <c r="C24" s="228">
        <f t="shared" ref="C24" si="20">C22-C23</f>
        <v>0</v>
      </c>
      <c r="D24" s="228">
        <f t="shared" ref="D24:I24" si="21">D22-D23</f>
        <v>150</v>
      </c>
      <c r="E24" s="228">
        <f t="shared" si="21"/>
        <v>152</v>
      </c>
      <c r="F24" s="228">
        <f t="shared" si="21"/>
        <v>159</v>
      </c>
      <c r="G24" s="228">
        <f t="shared" si="21"/>
        <v>154</v>
      </c>
      <c r="H24" s="228">
        <f t="shared" si="21"/>
        <v>160</v>
      </c>
      <c r="I24" s="229">
        <f t="shared" si="21"/>
        <v>185</v>
      </c>
      <c r="J24" s="88">
        <f t="shared" ref="J24:N24" si="22">J22-J23</f>
        <v>209.17440000000002</v>
      </c>
      <c r="K24" s="88">
        <f t="shared" si="22"/>
        <v>225.90835199999998</v>
      </c>
      <c r="L24" s="88">
        <f t="shared" si="22"/>
        <v>243.98102016000001</v>
      </c>
      <c r="M24" s="88">
        <f t="shared" si="22"/>
        <v>263.49950177279999</v>
      </c>
      <c r="N24" s="89">
        <f t="shared" si="22"/>
        <v>284.57946191462401</v>
      </c>
      <c r="O24" s="11"/>
      <c r="P24" s="11"/>
      <c r="Q24" s="11"/>
    </row>
    <row r="25" spans="2:17" ht="16" customHeight="1" x14ac:dyDescent="0.2">
      <c r="B25" s="241" t="s">
        <v>30</v>
      </c>
      <c r="C25" s="230" t="e">
        <f t="shared" ref="C25:I25" si="23">C24/C10</f>
        <v>#DIV/0!</v>
      </c>
      <c r="D25" s="230">
        <f t="shared" si="23"/>
        <v>0.65789473684210531</v>
      </c>
      <c r="E25" s="230">
        <f t="shared" si="23"/>
        <v>0.61290322580645162</v>
      </c>
      <c r="F25" s="230">
        <f t="shared" si="23"/>
        <v>0.57194244604316546</v>
      </c>
      <c r="G25" s="230">
        <f t="shared" si="23"/>
        <v>0.52380952380952384</v>
      </c>
      <c r="H25" s="230">
        <f t="shared" si="23"/>
        <v>0.50314465408805031</v>
      </c>
      <c r="I25" s="231">
        <f t="shared" si="23"/>
        <v>0.55722891566265065</v>
      </c>
      <c r="J25" s="73">
        <f t="shared" ref="J25:N25" si="24">J24/J10</f>
        <v>0.58337349397590366</v>
      </c>
      <c r="K25" s="73">
        <f t="shared" si="24"/>
        <v>0.58337349397590355</v>
      </c>
      <c r="L25" s="73">
        <f t="shared" si="24"/>
        <v>0.58337349397590366</v>
      </c>
      <c r="M25" s="73">
        <f t="shared" si="24"/>
        <v>0.58337349397590366</v>
      </c>
      <c r="N25" s="80">
        <f t="shared" si="24"/>
        <v>0.58337349397590366</v>
      </c>
      <c r="O25" s="11"/>
      <c r="P25" s="11"/>
      <c r="Q25" s="11"/>
    </row>
    <row r="26" spans="2:17" ht="16" customHeight="1" x14ac:dyDescent="0.2">
      <c r="B26" s="58" t="s">
        <v>17</v>
      </c>
      <c r="C26" s="232" t="e">
        <f t="shared" ref="C26" si="25">C24/C27</f>
        <v>#DIV/0!</v>
      </c>
      <c r="D26" s="232">
        <f t="shared" ref="D26:I26" si="26">D24/D27</f>
        <v>4.0540540540540544</v>
      </c>
      <c r="E26" s="232">
        <f t="shared" si="26"/>
        <v>3.8974358974358974</v>
      </c>
      <c r="F26" s="232">
        <f t="shared" si="26"/>
        <v>3.8780487804878048</v>
      </c>
      <c r="G26" s="232">
        <f t="shared" si="26"/>
        <v>3.6666666666666665</v>
      </c>
      <c r="H26" s="232">
        <f t="shared" si="26"/>
        <v>3.7209302325581395</v>
      </c>
      <c r="I26" s="233">
        <f t="shared" si="26"/>
        <v>4.2045454545454541</v>
      </c>
      <c r="J26" s="90">
        <f t="shared" ref="J26:N26" si="27">J24/J27</f>
        <v>4.64832</v>
      </c>
      <c r="K26" s="91">
        <f t="shared" si="27"/>
        <v>4.9110511304347826</v>
      </c>
      <c r="L26" s="91">
        <f t="shared" si="27"/>
        <v>5.1910855353191492</v>
      </c>
      <c r="M26" s="91">
        <f t="shared" si="27"/>
        <v>5.4895729535999997</v>
      </c>
      <c r="N26" s="92">
        <f t="shared" si="27"/>
        <v>5.8077441207066123</v>
      </c>
      <c r="O26" s="11"/>
      <c r="P26" s="11"/>
      <c r="Q26" s="11"/>
    </row>
    <row r="27" spans="2:17" ht="16" customHeight="1" thickBot="1" x14ac:dyDescent="0.25">
      <c r="B27" s="244" t="s">
        <v>48</v>
      </c>
      <c r="C27" s="234"/>
      <c r="D27" s="234">
        <v>37</v>
      </c>
      <c r="E27" s="234">
        <v>39</v>
      </c>
      <c r="F27" s="234">
        <v>41</v>
      </c>
      <c r="G27" s="234">
        <v>42</v>
      </c>
      <c r="H27" s="234">
        <v>43</v>
      </c>
      <c r="I27" s="235">
        <v>44</v>
      </c>
      <c r="J27" s="238">
        <v>45</v>
      </c>
      <c r="K27" s="234">
        <v>46</v>
      </c>
      <c r="L27" s="234">
        <v>47</v>
      </c>
      <c r="M27" s="234">
        <v>48</v>
      </c>
      <c r="N27" s="235">
        <v>49</v>
      </c>
      <c r="O27" s="11"/>
      <c r="P27" s="11"/>
      <c r="Q27" s="11"/>
    </row>
    <row r="28" spans="2:17" ht="16" customHeight="1" x14ac:dyDescent="0.2">
      <c r="B28" s="64"/>
      <c r="C28" s="76"/>
      <c r="D28" s="76"/>
      <c r="E28" s="76"/>
      <c r="F28" s="76"/>
      <c r="G28" s="76"/>
      <c r="H28" s="76"/>
      <c r="I28" s="76"/>
      <c r="J28" s="76"/>
      <c r="K28" s="76"/>
      <c r="L28" s="77"/>
      <c r="M28" s="93"/>
      <c r="N28" s="93"/>
      <c r="O28" s="11"/>
      <c r="P28" s="11"/>
      <c r="Q28" s="11"/>
    </row>
    <row r="29" spans="2:17" ht="16" customHeight="1" x14ac:dyDescent="0.2">
      <c r="B29" s="64"/>
      <c r="C29" s="77"/>
      <c r="D29" s="77"/>
      <c r="E29" s="77"/>
      <c r="F29" s="77"/>
      <c r="G29" s="77"/>
      <c r="H29" s="77"/>
      <c r="I29" s="77"/>
      <c r="J29" s="76"/>
      <c r="K29" s="76"/>
      <c r="L29" s="77"/>
      <c r="M29" s="93"/>
      <c r="N29" s="93"/>
      <c r="O29" s="11"/>
      <c r="P29" s="11"/>
      <c r="Q29" s="11"/>
    </row>
    <row r="30" spans="2:17" ht="16" customHeight="1" x14ac:dyDescent="0.2">
      <c r="B30" s="64"/>
      <c r="C30" s="76"/>
      <c r="D30" s="76"/>
      <c r="E30" s="76"/>
      <c r="F30" s="76"/>
      <c r="G30" s="76"/>
      <c r="H30" s="76"/>
      <c r="I30" s="76"/>
      <c r="J30" s="76"/>
      <c r="K30" s="76"/>
      <c r="L30" s="76"/>
      <c r="M30" s="93"/>
      <c r="N30" s="93"/>
      <c r="O30" s="11"/>
      <c r="P30" s="11"/>
      <c r="Q30" s="11"/>
    </row>
    <row r="31" spans="2:17" ht="16" customHeight="1" x14ac:dyDescent="0.2">
      <c r="B31" s="256" t="s">
        <v>76</v>
      </c>
      <c r="C31" s="256"/>
      <c r="D31" s="256"/>
      <c r="E31" s="256"/>
      <c r="F31" s="256"/>
      <c r="G31" s="256"/>
      <c r="H31" s="256"/>
      <c r="I31" s="256"/>
      <c r="J31" s="256"/>
      <c r="K31" s="256"/>
      <c r="L31" s="256"/>
      <c r="M31" s="94"/>
      <c r="N31" s="93"/>
      <c r="O31" s="11"/>
      <c r="P31" s="11"/>
      <c r="Q31" s="11"/>
    </row>
    <row r="32" spans="2:17" ht="16" customHeight="1" x14ac:dyDescent="0.2">
      <c r="B32" s="64"/>
      <c r="C32" s="76"/>
      <c r="D32" s="76"/>
      <c r="E32" s="76"/>
      <c r="F32" s="76"/>
      <c r="G32" s="76"/>
      <c r="H32" s="76"/>
      <c r="I32" s="76"/>
      <c r="J32" s="76"/>
      <c r="K32" s="76"/>
      <c r="L32" s="76"/>
      <c r="M32" s="94"/>
      <c r="N32" s="93"/>
    </row>
    <row r="33" spans="2:14" ht="16" customHeight="1" x14ac:dyDescent="0.2">
      <c r="B33" s="64"/>
      <c r="C33" s="71"/>
      <c r="D33" s="71"/>
      <c r="E33" s="71"/>
      <c r="F33" s="71"/>
      <c r="G33" s="71"/>
      <c r="H33" s="71"/>
      <c r="I33" s="71"/>
      <c r="J33" s="76"/>
      <c r="K33" s="76"/>
      <c r="L33" s="76"/>
      <c r="M33" s="94"/>
      <c r="N33" s="93"/>
    </row>
    <row r="34" spans="2:14" ht="16" customHeight="1" x14ac:dyDescent="0.2">
      <c r="B34" s="65"/>
      <c r="C34" s="91"/>
      <c r="D34" s="91"/>
      <c r="E34" s="91"/>
      <c r="F34" s="91"/>
      <c r="G34" s="91"/>
      <c r="H34" s="91"/>
      <c r="I34" s="91"/>
      <c r="J34" s="91"/>
      <c r="K34" s="91"/>
      <c r="L34" s="91"/>
      <c r="M34" s="94"/>
      <c r="N34" s="93"/>
    </row>
    <row r="35" spans="2:14" ht="16" customHeight="1" x14ac:dyDescent="0.2">
      <c r="B35" s="64"/>
      <c r="C35" s="76"/>
      <c r="D35" s="76"/>
      <c r="E35" s="76"/>
      <c r="F35" s="76"/>
      <c r="G35" s="77"/>
      <c r="H35" s="76"/>
      <c r="I35" s="76"/>
      <c r="J35" s="76"/>
      <c r="K35" s="76"/>
      <c r="L35" s="76"/>
      <c r="M35" s="94"/>
      <c r="N35" s="93"/>
    </row>
    <row r="36" spans="2:14" ht="16" customHeight="1" x14ac:dyDescent="0.2">
      <c r="B36" s="64"/>
      <c r="C36" s="77"/>
      <c r="D36" s="77"/>
      <c r="E36" s="76"/>
      <c r="F36" s="76"/>
      <c r="G36" s="76"/>
      <c r="H36" s="76"/>
      <c r="I36" s="76"/>
      <c r="J36" s="76"/>
      <c r="K36" s="76"/>
      <c r="L36" s="76"/>
      <c r="M36" s="94"/>
      <c r="N36" s="93"/>
    </row>
    <row r="37" spans="2:14" ht="16" customHeight="1" x14ac:dyDescent="0.2">
      <c r="B37" s="65"/>
      <c r="C37" s="91"/>
      <c r="D37" s="91"/>
      <c r="E37" s="91"/>
      <c r="F37" s="91"/>
      <c r="G37" s="91"/>
      <c r="H37" s="91"/>
      <c r="I37" s="91"/>
      <c r="J37" s="91"/>
      <c r="K37" s="91"/>
      <c r="L37" s="91"/>
      <c r="M37" s="94"/>
      <c r="N37" s="93"/>
    </row>
    <row r="38" spans="2:14" ht="16" customHeight="1" x14ac:dyDescent="0.2">
      <c r="B38" s="64"/>
      <c r="C38" s="76"/>
      <c r="D38" s="76"/>
      <c r="E38" s="76"/>
      <c r="F38" s="76"/>
      <c r="G38" s="76"/>
      <c r="H38" s="76"/>
      <c r="I38" s="76"/>
      <c r="J38" s="76"/>
      <c r="K38" s="76"/>
      <c r="L38" s="76"/>
      <c r="M38" s="94"/>
      <c r="N38" s="93"/>
    </row>
    <row r="39" spans="2:14" ht="16" customHeight="1" x14ac:dyDescent="0.2">
      <c r="B39" s="64"/>
      <c r="C39" s="76"/>
      <c r="D39" s="76"/>
      <c r="E39" s="76"/>
      <c r="F39" s="76"/>
      <c r="G39" s="76"/>
      <c r="H39" s="76"/>
      <c r="I39" s="76"/>
      <c r="J39" s="76"/>
      <c r="K39" s="76"/>
      <c r="L39" s="76"/>
      <c r="M39" s="94"/>
      <c r="N39" s="93"/>
    </row>
    <row r="40" spans="2:14" ht="16" customHeight="1" x14ac:dyDescent="0.2">
      <c r="B40" s="64"/>
      <c r="C40" s="76"/>
      <c r="D40" s="76"/>
      <c r="E40" s="76"/>
      <c r="F40" s="77"/>
      <c r="G40" s="76"/>
      <c r="H40" s="76"/>
      <c r="I40" s="76"/>
      <c r="J40" s="76"/>
      <c r="K40" s="76"/>
      <c r="L40" s="76"/>
      <c r="M40" s="94"/>
      <c r="N40" s="93"/>
    </row>
    <row r="41" spans="2:14" ht="16" customHeight="1" x14ac:dyDescent="0.2">
      <c r="B41" s="64"/>
      <c r="C41" s="77"/>
      <c r="D41" s="76"/>
      <c r="E41" s="76"/>
      <c r="F41" s="76"/>
      <c r="G41" s="76"/>
      <c r="H41" s="76"/>
      <c r="I41" s="76"/>
      <c r="J41" s="76"/>
      <c r="K41" s="76"/>
      <c r="L41" s="76"/>
      <c r="M41" s="94"/>
      <c r="N41" s="93"/>
    </row>
    <row r="42" spans="2:14" ht="16" customHeight="1" x14ac:dyDescent="0.2">
      <c r="B42" s="65"/>
      <c r="C42" s="91"/>
      <c r="D42" s="91"/>
      <c r="E42" s="91"/>
      <c r="F42" s="95"/>
      <c r="G42" s="91"/>
      <c r="H42" s="91"/>
      <c r="I42" s="91"/>
      <c r="J42" s="91"/>
      <c r="K42" s="91"/>
      <c r="L42" s="91"/>
      <c r="M42" s="94"/>
      <c r="N42" s="93"/>
    </row>
    <row r="43" spans="2:14" ht="16" customHeight="1" x14ac:dyDescent="0.2">
      <c r="B43" s="257"/>
      <c r="C43" s="257"/>
      <c r="D43" s="257"/>
      <c r="E43" s="257"/>
      <c r="F43" s="257"/>
      <c r="G43" s="257"/>
      <c r="H43" s="257"/>
      <c r="I43" s="257"/>
      <c r="J43" s="257"/>
      <c r="K43" s="257"/>
      <c r="L43" s="257"/>
      <c r="M43" s="93"/>
      <c r="N43" s="93"/>
    </row>
    <row r="44" spans="2:14" ht="16" customHeight="1" x14ac:dyDescent="0.2">
      <c r="B44" s="64"/>
      <c r="C44" s="76"/>
      <c r="D44" s="76"/>
      <c r="E44" s="76"/>
      <c r="F44" s="76"/>
      <c r="G44" s="76"/>
      <c r="H44" s="76"/>
      <c r="I44" s="76"/>
      <c r="J44" s="76"/>
      <c r="K44" s="76"/>
      <c r="L44" s="76"/>
      <c r="M44" s="93"/>
      <c r="N44" s="93"/>
    </row>
    <row r="45" spans="2:14" ht="16" customHeight="1" x14ac:dyDescent="0.2">
      <c r="B45" s="64"/>
      <c r="C45" s="76"/>
      <c r="D45" s="76"/>
      <c r="E45" s="76"/>
      <c r="F45" s="77"/>
      <c r="G45" s="76"/>
      <c r="H45" s="76"/>
      <c r="I45" s="76"/>
      <c r="J45" s="76"/>
      <c r="K45" s="76"/>
      <c r="L45" s="76"/>
      <c r="M45" s="93"/>
      <c r="N45" s="93"/>
    </row>
    <row r="46" spans="2:14" ht="16" customHeight="1" x14ac:dyDescent="0.2">
      <c r="B46" s="64"/>
      <c r="C46" s="76"/>
      <c r="D46" s="76"/>
      <c r="E46" s="76"/>
      <c r="F46" s="76"/>
      <c r="G46" s="76"/>
      <c r="H46" s="76"/>
      <c r="I46" s="76"/>
      <c r="J46" s="76"/>
      <c r="K46" s="76"/>
      <c r="L46" s="76"/>
      <c r="M46" s="93"/>
      <c r="N46" s="93"/>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B1" zoomScale="120" zoomScaleNormal="120" workbookViewId="0">
      <selection activeCell="D15" sqref="D15"/>
    </sheetView>
  </sheetViews>
  <sheetFormatPr baseColWidth="10" defaultColWidth="9.1640625" defaultRowHeight="16" x14ac:dyDescent="0.2"/>
  <cols>
    <col min="1" max="1" width="3.5" customWidth="1"/>
    <col min="2" max="2" width="46.5" style="27" customWidth="1"/>
    <col min="3" max="3" width="9.5" bestFit="1" customWidth="1"/>
    <col min="4" max="4" width="10.6640625" customWidth="1"/>
    <col min="5" max="7" width="10.5" bestFit="1" customWidth="1"/>
    <col min="8" max="9" width="10.5" customWidth="1"/>
    <col min="10" max="14" width="10.5" bestFit="1" customWidth="1"/>
  </cols>
  <sheetData>
    <row r="1" spans="2:15" ht="17" thickBot="1" x14ac:dyDescent="0.25"/>
    <row r="2" spans="2:15" ht="15" customHeight="1" x14ac:dyDescent="0.2">
      <c r="B2" s="258"/>
      <c r="C2" s="270"/>
      <c r="D2" s="270"/>
      <c r="E2" s="270"/>
      <c r="F2" s="270"/>
      <c r="G2" s="270"/>
      <c r="H2" s="270"/>
      <c r="I2" s="270"/>
      <c r="J2" s="270"/>
      <c r="K2" s="270"/>
      <c r="L2" s="270"/>
      <c r="M2" s="270"/>
      <c r="N2" s="271"/>
    </row>
    <row r="3" spans="2:15" ht="15" customHeight="1" x14ac:dyDescent="0.2">
      <c r="B3" s="259"/>
      <c r="C3" s="272"/>
      <c r="D3" s="272"/>
      <c r="E3" s="272"/>
      <c r="F3" s="272"/>
      <c r="G3" s="272"/>
      <c r="H3" s="272"/>
      <c r="I3" s="272"/>
      <c r="J3" s="272"/>
      <c r="K3" s="272"/>
      <c r="L3" s="272"/>
      <c r="M3" s="272"/>
      <c r="N3" s="273"/>
    </row>
    <row r="4" spans="2:15" ht="15" customHeight="1" x14ac:dyDescent="0.2">
      <c r="B4" s="259"/>
      <c r="C4" s="272"/>
      <c r="D4" s="272"/>
      <c r="E4" s="272"/>
      <c r="F4" s="272"/>
      <c r="G4" s="272"/>
      <c r="H4" s="272"/>
      <c r="I4" s="272"/>
      <c r="J4" s="272"/>
      <c r="K4" s="272"/>
      <c r="L4" s="272"/>
      <c r="M4" s="272"/>
      <c r="N4" s="273"/>
    </row>
    <row r="5" spans="2:15" ht="15" customHeight="1" x14ac:dyDescent="0.2">
      <c r="B5" s="259"/>
      <c r="C5" s="272"/>
      <c r="D5" s="272"/>
      <c r="E5" s="272"/>
      <c r="F5" s="272"/>
      <c r="G5" s="272"/>
      <c r="H5" s="272"/>
      <c r="I5" s="272"/>
      <c r="J5" s="272"/>
      <c r="K5" s="272"/>
      <c r="L5" s="272"/>
      <c r="M5" s="272"/>
      <c r="N5" s="273"/>
    </row>
    <row r="6" spans="2:15" ht="15" customHeight="1" x14ac:dyDescent="0.2">
      <c r="B6" s="259"/>
      <c r="C6" s="272"/>
      <c r="D6" s="272"/>
      <c r="E6" s="272"/>
      <c r="F6" s="272"/>
      <c r="G6" s="272"/>
      <c r="H6" s="272"/>
      <c r="I6" s="272"/>
      <c r="J6" s="272"/>
      <c r="K6" s="272"/>
      <c r="L6" s="272"/>
      <c r="M6" s="272"/>
      <c r="N6" s="273"/>
    </row>
    <row r="7" spans="2:15" ht="48.75" customHeight="1" thickBot="1" x14ac:dyDescent="0.25">
      <c r="B7" s="259"/>
      <c r="C7" s="272"/>
      <c r="D7" s="272"/>
      <c r="E7" s="272"/>
      <c r="F7" s="272"/>
      <c r="G7" s="272"/>
      <c r="H7" s="272"/>
      <c r="I7" s="272"/>
      <c r="J7" s="272"/>
      <c r="K7" s="272"/>
      <c r="L7" s="272"/>
      <c r="M7" s="272"/>
      <c r="N7" s="273"/>
    </row>
    <row r="8" spans="2:15" ht="18.75" customHeight="1" thickBot="1" x14ac:dyDescent="0.25">
      <c r="B8" s="269"/>
      <c r="C8" s="30">
        <v>2014</v>
      </c>
      <c r="D8" s="30">
        <v>2015</v>
      </c>
      <c r="E8" s="30">
        <v>2016</v>
      </c>
      <c r="F8" s="30">
        <v>2017</v>
      </c>
      <c r="G8" s="30">
        <v>2018</v>
      </c>
      <c r="H8" s="30">
        <v>2019</v>
      </c>
      <c r="I8" s="156">
        <v>2020</v>
      </c>
      <c r="J8" s="168">
        <v>2021</v>
      </c>
      <c r="K8" s="96">
        <v>2020</v>
      </c>
      <c r="L8" s="96">
        <v>2023</v>
      </c>
      <c r="M8" s="96">
        <v>2024</v>
      </c>
      <c r="N8" s="97">
        <v>2025</v>
      </c>
    </row>
    <row r="9" spans="2:15" x14ac:dyDescent="0.2">
      <c r="B9" s="57" t="s">
        <v>31</v>
      </c>
      <c r="C9" s="31"/>
      <c r="D9" s="31"/>
      <c r="E9" s="31"/>
      <c r="F9" s="31"/>
      <c r="G9" s="31"/>
      <c r="H9" s="31"/>
      <c r="I9" s="183"/>
      <c r="J9" s="31"/>
      <c r="K9" s="31"/>
      <c r="L9" s="31"/>
      <c r="M9" s="32"/>
      <c r="N9" s="33"/>
    </row>
    <row r="10" spans="2:15" x14ac:dyDescent="0.2">
      <c r="B10" s="58" t="s">
        <v>5</v>
      </c>
      <c r="C10" s="185">
        <f>'1.Income statement'!C12</f>
        <v>0</v>
      </c>
      <c r="D10" s="186">
        <f>'1.Income statement'!D12</f>
        <v>240</v>
      </c>
      <c r="E10" s="186">
        <f>'1.Income statement'!E12</f>
        <v>254</v>
      </c>
      <c r="F10" s="186">
        <f>'1.Income statement'!F12</f>
        <v>272</v>
      </c>
      <c r="G10" s="186">
        <f>'1.Income statement'!G12</f>
        <v>274</v>
      </c>
      <c r="H10" s="186">
        <f>'1.Income statement'!H12</f>
        <v>293</v>
      </c>
      <c r="I10" s="187">
        <f>'1.Income statement'!I12</f>
        <v>320</v>
      </c>
      <c r="J10" s="123">
        <f>'1.Income statement'!J12</f>
        <v>354.9744</v>
      </c>
      <c r="K10" s="123">
        <f>'1.Income statement'!K12</f>
        <v>383.37235199999998</v>
      </c>
      <c r="L10" s="123">
        <f>'1.Income statement'!L12</f>
        <v>414.04214016000003</v>
      </c>
      <c r="M10" s="123">
        <f>'1.Income statement'!M12</f>
        <v>447.16551137279998</v>
      </c>
      <c r="N10" s="124">
        <f>'1.Income statement'!N12</f>
        <v>482.93875228262402</v>
      </c>
    </row>
    <row r="11" spans="2:15" x14ac:dyDescent="0.2">
      <c r="B11" s="160" t="s">
        <v>33</v>
      </c>
      <c r="C11" s="252"/>
      <c r="D11" s="252">
        <v>4</v>
      </c>
      <c r="E11" s="252">
        <v>3</v>
      </c>
      <c r="F11" s="252">
        <v>8</v>
      </c>
      <c r="G11" s="252">
        <v>15</v>
      </c>
      <c r="H11" s="253">
        <v>18</v>
      </c>
      <c r="I11" s="254">
        <v>14</v>
      </c>
      <c r="J11" s="125">
        <f>(I11*'1.Income statement'!$P$11)+'2.Flujos de caja'!I11</f>
        <v>15.120000000000001</v>
      </c>
      <c r="K11" s="125">
        <f>(J11*'1.Income statement'!$P$11)+'2.Flujos de caja'!J11</f>
        <v>16.329599999999999</v>
      </c>
      <c r="L11" s="125">
        <f>(K11*'1.Income statement'!$P$11)+'2.Flujos de caja'!K11</f>
        <v>17.635967999999998</v>
      </c>
      <c r="M11" s="125">
        <f>(L11*'1.Income statement'!$P$11)+'2.Flujos de caja'!L11</f>
        <v>19.046845439999998</v>
      </c>
      <c r="N11" s="126">
        <f>(M11*'1.Income statement'!$P$11)+'2.Flujos de caja'!M11</f>
        <v>20.570593075199998</v>
      </c>
    </row>
    <row r="12" spans="2:15" x14ac:dyDescent="0.2">
      <c r="B12" s="161" t="s">
        <v>32</v>
      </c>
      <c r="C12" s="127">
        <f>'1.Income statement'!C17</f>
        <v>0</v>
      </c>
      <c r="D12" s="127">
        <f>'1.Income statement'!D17</f>
        <v>37</v>
      </c>
      <c r="E12" s="127">
        <f>'1.Income statement'!E17</f>
        <v>43</v>
      </c>
      <c r="F12" s="127">
        <f>'1.Income statement'!F17</f>
        <v>46</v>
      </c>
      <c r="G12" s="127">
        <f>'1.Income statement'!G17</f>
        <v>49</v>
      </c>
      <c r="H12" s="127">
        <f>'1.Income statement'!H17</f>
        <v>56</v>
      </c>
      <c r="I12" s="128">
        <f>'1.Income statement'!I17</f>
        <v>52</v>
      </c>
      <c r="J12" s="127">
        <f>'1.Income statement'!J17</f>
        <v>56.16</v>
      </c>
      <c r="K12" s="127">
        <f>'1.Income statement'!K17</f>
        <v>60.652799999999999</v>
      </c>
      <c r="L12" s="127">
        <f>'1.Income statement'!L17</f>
        <v>65.505023999999992</v>
      </c>
      <c r="M12" s="127">
        <f>'1.Income statement'!M17</f>
        <v>70.745425919999988</v>
      </c>
      <c r="N12" s="128">
        <f>'1.Income statement'!N17</f>
        <v>76.405059993599991</v>
      </c>
    </row>
    <row r="13" spans="2:15" x14ac:dyDescent="0.2">
      <c r="B13" s="161" t="s">
        <v>81</v>
      </c>
      <c r="C13" s="127"/>
      <c r="D13" s="127"/>
      <c r="E13" s="127"/>
      <c r="F13" s="127"/>
      <c r="G13" s="127"/>
      <c r="H13" s="127"/>
      <c r="I13" s="128"/>
      <c r="J13" s="127"/>
      <c r="K13" s="127"/>
      <c r="L13" s="127"/>
      <c r="M13" s="127"/>
      <c r="N13" s="128"/>
    </row>
    <row r="14" spans="2:15" x14ac:dyDescent="0.2">
      <c r="B14" s="162" t="s">
        <v>77</v>
      </c>
      <c r="C14" s="159">
        <f>'1.Income statement'!C23</f>
        <v>0</v>
      </c>
      <c r="D14" s="159">
        <f>'1.Income statement'!D23</f>
        <v>0</v>
      </c>
      <c r="E14" s="159">
        <f>'1.Income statement'!E23</f>
        <v>0</v>
      </c>
      <c r="F14" s="159">
        <f>'1.Income statement'!F23</f>
        <v>0</v>
      </c>
      <c r="G14" s="159">
        <f>'1.Income statement'!G23</f>
        <v>0</v>
      </c>
      <c r="H14" s="159">
        <f>'1.Income statement'!H23</f>
        <v>0</v>
      </c>
      <c r="I14" s="159">
        <f>'1.Income statement'!I23</f>
        <v>0</v>
      </c>
      <c r="J14" s="250">
        <f>'1.Income statement'!J23</f>
        <v>0</v>
      </c>
      <c r="K14" s="165">
        <f>'1.Income statement'!K23</f>
        <v>0</v>
      </c>
      <c r="L14" s="165">
        <f>'1.Income statement'!L23</f>
        <v>0</v>
      </c>
      <c r="M14" s="165">
        <f>'1.Income statement'!M23</f>
        <v>0</v>
      </c>
      <c r="N14" s="166">
        <f>'1.Income statement'!N23</f>
        <v>0</v>
      </c>
    </row>
    <row r="15" spans="2:15" x14ac:dyDescent="0.2">
      <c r="B15" s="59" t="s">
        <v>7</v>
      </c>
      <c r="C15" s="123">
        <f>C10-C11-C12-C13-C14</f>
        <v>0</v>
      </c>
      <c r="D15" s="123">
        <f t="shared" ref="D15:N15" si="0">D10-D11-D12-D13-D14</f>
        <v>199</v>
      </c>
      <c r="E15" s="123">
        <f t="shared" si="0"/>
        <v>208</v>
      </c>
      <c r="F15" s="123">
        <f t="shared" si="0"/>
        <v>218</v>
      </c>
      <c r="G15" s="123">
        <f t="shared" si="0"/>
        <v>210</v>
      </c>
      <c r="H15" s="184">
        <f t="shared" si="0"/>
        <v>219</v>
      </c>
      <c r="I15" s="184">
        <f t="shared" si="0"/>
        <v>254</v>
      </c>
      <c r="J15" s="255">
        <f t="shared" si="0"/>
        <v>283.69439999999997</v>
      </c>
      <c r="K15" s="123">
        <f t="shared" si="0"/>
        <v>306.38995199999994</v>
      </c>
      <c r="L15" s="123">
        <f t="shared" si="0"/>
        <v>330.90114816000005</v>
      </c>
      <c r="M15" s="123">
        <f t="shared" si="0"/>
        <v>357.37324001280001</v>
      </c>
      <c r="N15" s="123">
        <f t="shared" si="0"/>
        <v>385.96309921382402</v>
      </c>
      <c r="O15" s="178"/>
    </row>
    <row r="16" spans="2:15" ht="17" thickBot="1" x14ac:dyDescent="0.25">
      <c r="B16" s="60" t="s">
        <v>8</v>
      </c>
      <c r="C16" s="34" t="e">
        <f>C15/'1.Income statement'!C27</f>
        <v>#DIV/0!</v>
      </c>
      <c r="D16" s="34">
        <f>D15/'1.Income statement'!D27</f>
        <v>5.3783783783783781</v>
      </c>
      <c r="E16" s="34">
        <f>E15/'1.Income statement'!E27</f>
        <v>5.333333333333333</v>
      </c>
      <c r="F16" s="34">
        <f>F15/'1.Income statement'!F27</f>
        <v>5.3170731707317076</v>
      </c>
      <c r="G16" s="34">
        <f>G15/'1.Income statement'!G27</f>
        <v>5</v>
      </c>
      <c r="H16" s="34">
        <f>H15/'1.Income statement'!H27</f>
        <v>5.0930232558139537</v>
      </c>
      <c r="I16" s="35">
        <f>I15/'1.Income statement'!I27</f>
        <v>5.7727272727272725</v>
      </c>
      <c r="J16" s="34">
        <f>J15/'1.Income statement'!J27</f>
        <v>6.3043199999999997</v>
      </c>
      <c r="K16" s="34">
        <f>K15/'1.Income statement'!K27</f>
        <v>6.6606511304347809</v>
      </c>
      <c r="L16" s="34">
        <f>L15/'1.Income statement'!L27</f>
        <v>7.0404499608510651</v>
      </c>
      <c r="M16" s="34">
        <f>M15/'1.Income statement'!M27</f>
        <v>7.4452758336000002</v>
      </c>
      <c r="N16" s="35">
        <f>N15/'1.Income statement'!N27</f>
        <v>7.8767979431392661</v>
      </c>
    </row>
    <row r="17" spans="2:14" x14ac:dyDescent="0.2">
      <c r="B17" s="26"/>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6"/>
      <c r="C19" s="3"/>
      <c r="D19" s="3"/>
      <c r="E19" s="3"/>
      <c r="F19" s="3"/>
      <c r="G19" s="3"/>
      <c r="H19" s="3"/>
      <c r="I19" s="3"/>
      <c r="J19" s="3"/>
      <c r="K19" s="3"/>
      <c r="L19" s="3"/>
      <c r="M19" s="3"/>
      <c r="N19" s="3"/>
    </row>
    <row r="20" spans="2:14" x14ac:dyDescent="0.2">
      <c r="B20" s="26"/>
      <c r="C20" s="3"/>
      <c r="D20" s="3"/>
      <c r="E20" s="3"/>
      <c r="F20" s="3"/>
      <c r="G20" s="3"/>
      <c r="H20" s="3"/>
      <c r="I20" s="3"/>
      <c r="J20" s="3"/>
      <c r="K20" s="3"/>
      <c r="L20" s="3"/>
      <c r="M20" s="3"/>
      <c r="N20" s="3"/>
    </row>
    <row r="21" spans="2:14" x14ac:dyDescent="0.2">
      <c r="B21" s="26"/>
      <c r="C21" s="3"/>
      <c r="D21" s="3"/>
      <c r="E21" s="3"/>
      <c r="F21" s="3"/>
      <c r="G21" s="3"/>
      <c r="H21" s="3"/>
      <c r="I21" s="3"/>
      <c r="J21" s="3"/>
      <c r="K21" s="3"/>
      <c r="L21" s="3"/>
      <c r="M21" s="3"/>
      <c r="N21" s="3"/>
    </row>
    <row r="22" spans="2:14" x14ac:dyDescent="0.2">
      <c r="B22" s="26"/>
      <c r="C22" s="3"/>
      <c r="D22" s="3"/>
      <c r="E22" s="3"/>
      <c r="F22" s="3"/>
      <c r="G22" s="3"/>
      <c r="H22" s="3"/>
      <c r="I22" s="3"/>
      <c r="J22" s="3"/>
      <c r="K22" s="3"/>
      <c r="L22" s="3"/>
      <c r="M22" s="3"/>
      <c r="N22" s="3"/>
    </row>
    <row r="23" spans="2:14" x14ac:dyDescent="0.2">
      <c r="B23" s="26"/>
      <c r="C23" s="3"/>
      <c r="D23" s="3"/>
      <c r="E23" s="3"/>
      <c r="F23" s="3"/>
      <c r="G23" s="3"/>
      <c r="H23" s="3"/>
      <c r="I23" s="3"/>
      <c r="J23" s="3"/>
      <c r="K23" s="3"/>
      <c r="L23" s="3"/>
      <c r="M23" s="3"/>
      <c r="N23" s="3"/>
    </row>
    <row r="24" spans="2:14" x14ac:dyDescent="0.2">
      <c r="B24" s="26"/>
      <c r="C24" s="2"/>
      <c r="D24" s="2"/>
      <c r="E24" s="2"/>
      <c r="F24" s="2"/>
      <c r="G24" s="2"/>
      <c r="H24" s="2"/>
      <c r="I24" s="2"/>
      <c r="J24" s="2"/>
      <c r="K24" s="2"/>
      <c r="L24" s="2"/>
      <c r="M24" s="2"/>
      <c r="N24" s="2"/>
    </row>
    <row r="25" spans="2:14" x14ac:dyDescent="0.2">
      <c r="B25" s="25"/>
      <c r="C25" s="1"/>
      <c r="D25" s="1"/>
      <c r="E25" s="1"/>
      <c r="F25" s="1"/>
      <c r="G25" s="1"/>
      <c r="H25" s="1"/>
      <c r="I25" s="1"/>
      <c r="J25" s="1"/>
      <c r="K25" s="1"/>
      <c r="L25" s="1"/>
      <c r="M25" s="1"/>
      <c r="N25" s="1"/>
    </row>
    <row r="26" spans="2:14" x14ac:dyDescent="0.2">
      <c r="B26" s="25"/>
      <c r="C26" s="1"/>
      <c r="D26" s="1"/>
      <c r="E26" s="1"/>
      <c r="F26" s="1"/>
      <c r="G26" s="1"/>
      <c r="H26" s="1"/>
      <c r="I26" s="1"/>
      <c r="J26" s="1"/>
      <c r="K26" s="1"/>
      <c r="L26" s="1"/>
      <c r="M26" s="1"/>
      <c r="N26" s="1"/>
    </row>
    <row r="27" spans="2:14" x14ac:dyDescent="0.2">
      <c r="B27" s="25"/>
      <c r="C27" s="1"/>
      <c r="D27" s="1"/>
      <c r="E27" s="1"/>
      <c r="F27" s="1"/>
      <c r="G27" s="1"/>
      <c r="H27" s="1"/>
      <c r="I27" s="1"/>
      <c r="J27" s="1"/>
      <c r="K27" s="1"/>
      <c r="L27" s="1"/>
      <c r="M27" s="1"/>
      <c r="N27" s="1"/>
    </row>
    <row r="28" spans="2:14" x14ac:dyDescent="0.2">
      <c r="B28" s="25"/>
      <c r="C28" s="1"/>
      <c r="D28" s="1"/>
      <c r="E28" s="1"/>
      <c r="F28" s="1"/>
      <c r="G28" s="1"/>
      <c r="H28" s="1"/>
      <c r="I28" s="1"/>
      <c r="J28" s="1"/>
      <c r="K28" s="1"/>
      <c r="L28" s="1"/>
      <c r="M28" s="1"/>
      <c r="N28" s="1"/>
    </row>
    <row r="29" spans="2:14" x14ac:dyDescent="0.2">
      <c r="B29" s="25"/>
      <c r="C29" s="1"/>
      <c r="D29" s="1"/>
      <c r="E29" s="1"/>
      <c r="F29" s="1"/>
      <c r="G29" s="1"/>
      <c r="H29" s="1"/>
      <c r="I29" s="1"/>
      <c r="J29" s="1"/>
      <c r="K29" s="1"/>
      <c r="L29" s="1"/>
      <c r="M29" s="1"/>
      <c r="N29" s="1"/>
    </row>
    <row r="30" spans="2:14" x14ac:dyDescent="0.2">
      <c r="B30" s="25"/>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4" zoomScale="120" zoomScaleNormal="120" workbookViewId="0">
      <selection activeCell="I17" sqref="I17"/>
    </sheetView>
  </sheetViews>
  <sheetFormatPr baseColWidth="10" defaultColWidth="9.1640625" defaultRowHeight="15" x14ac:dyDescent="0.2"/>
  <cols>
    <col min="1" max="1" width="4.1640625" customWidth="1"/>
    <col min="2" max="2" width="45.6640625" customWidth="1"/>
    <col min="3" max="3" width="9" customWidth="1"/>
    <col min="15" max="15" width="13.83203125" customWidth="1"/>
  </cols>
  <sheetData>
    <row r="1" spans="2:16" ht="16" thickBot="1" x14ac:dyDescent="0.25"/>
    <row r="2" spans="2:16" ht="15" customHeight="1" x14ac:dyDescent="0.2">
      <c r="B2" s="274"/>
      <c r="C2" s="270"/>
      <c r="D2" s="270"/>
      <c r="E2" s="270"/>
      <c r="F2" s="270"/>
      <c r="G2" s="270"/>
      <c r="H2" s="270"/>
      <c r="I2" s="270"/>
      <c r="J2" s="270"/>
      <c r="K2" s="270"/>
      <c r="L2" s="270"/>
      <c r="M2" s="270"/>
      <c r="N2" s="271"/>
    </row>
    <row r="3" spans="2:16" ht="15" customHeight="1" x14ac:dyDescent="0.2">
      <c r="B3" s="275"/>
      <c r="C3" s="272"/>
      <c r="D3" s="272"/>
      <c r="E3" s="272"/>
      <c r="F3" s="272"/>
      <c r="G3" s="272"/>
      <c r="H3" s="272"/>
      <c r="I3" s="272"/>
      <c r="J3" s="272"/>
      <c r="K3" s="272"/>
      <c r="L3" s="272"/>
      <c r="M3" s="272"/>
      <c r="N3" s="273"/>
    </row>
    <row r="4" spans="2:16" ht="15" customHeight="1" x14ac:dyDescent="0.2">
      <c r="B4" s="275"/>
      <c r="C4" s="272"/>
      <c r="D4" s="272"/>
      <c r="E4" s="272"/>
      <c r="F4" s="272"/>
      <c r="G4" s="272"/>
      <c r="H4" s="272"/>
      <c r="I4" s="272"/>
      <c r="J4" s="272"/>
      <c r="K4" s="272"/>
      <c r="L4" s="272"/>
      <c r="M4" s="272"/>
      <c r="N4" s="273"/>
    </row>
    <row r="5" spans="2:16" ht="15" customHeight="1" x14ac:dyDescent="0.2">
      <c r="B5" s="275"/>
      <c r="C5" s="272"/>
      <c r="D5" s="272"/>
      <c r="E5" s="272"/>
      <c r="F5" s="272"/>
      <c r="G5" s="272"/>
      <c r="H5" s="272"/>
      <c r="I5" s="272"/>
      <c r="J5" s="272"/>
      <c r="K5" s="272"/>
      <c r="L5" s="272"/>
      <c r="M5" s="272"/>
      <c r="N5" s="273"/>
    </row>
    <row r="6" spans="2:16" ht="15" customHeight="1" x14ac:dyDescent="0.2">
      <c r="B6" s="275"/>
      <c r="C6" s="272"/>
      <c r="D6" s="272"/>
      <c r="E6" s="272"/>
      <c r="F6" s="272"/>
      <c r="G6" s="272"/>
      <c r="H6" s="272"/>
      <c r="I6" s="272"/>
      <c r="J6" s="272"/>
      <c r="K6" s="272"/>
      <c r="L6" s="272"/>
      <c r="M6" s="272"/>
      <c r="N6" s="273"/>
    </row>
    <row r="7" spans="2:16" ht="48.75" customHeight="1" thickBot="1" x14ac:dyDescent="0.25">
      <c r="B7" s="275"/>
      <c r="C7" s="272"/>
      <c r="D7" s="272"/>
      <c r="E7" s="272"/>
      <c r="F7" s="272"/>
      <c r="G7" s="272"/>
      <c r="H7" s="272"/>
      <c r="I7" s="272"/>
      <c r="J7" s="272"/>
      <c r="K7" s="272"/>
      <c r="L7" s="272"/>
      <c r="M7" s="272"/>
      <c r="N7" s="273"/>
    </row>
    <row r="8" spans="2:16" ht="18.75" customHeight="1" thickBot="1" x14ac:dyDescent="0.25">
      <c r="B8" s="275"/>
      <c r="C8" s="30">
        <v>2014</v>
      </c>
      <c r="D8" s="30">
        <v>2015</v>
      </c>
      <c r="E8" s="30">
        <v>2016</v>
      </c>
      <c r="F8" s="30">
        <v>2017</v>
      </c>
      <c r="G8" s="30">
        <v>2018</v>
      </c>
      <c r="H8" s="30">
        <v>2019</v>
      </c>
      <c r="I8" s="30">
        <v>2020</v>
      </c>
      <c r="J8" s="168">
        <v>2021</v>
      </c>
      <c r="K8" s="96">
        <v>2020</v>
      </c>
      <c r="L8" s="96">
        <v>2023</v>
      </c>
      <c r="M8" s="96">
        <v>2024</v>
      </c>
      <c r="N8" s="97">
        <v>2025</v>
      </c>
    </row>
    <row r="9" spans="2:16" ht="17" thickBot="1" x14ac:dyDescent="0.25">
      <c r="B9" s="189" t="s">
        <v>34</v>
      </c>
      <c r="C9" s="62"/>
      <c r="D9" s="62"/>
      <c r="E9" s="62"/>
      <c r="F9" s="62"/>
      <c r="G9" s="62"/>
      <c r="H9" s="62"/>
      <c r="I9" s="62"/>
      <c r="J9" s="61"/>
      <c r="K9" s="62"/>
      <c r="L9" s="62"/>
      <c r="M9" s="43"/>
      <c r="N9" s="44"/>
    </row>
    <row r="10" spans="2:16" ht="16" thickBot="1" x14ac:dyDescent="0.25">
      <c r="B10" s="190" t="s">
        <v>10</v>
      </c>
      <c r="C10" s="39">
        <f>'1.Income statement'!C15</f>
        <v>0</v>
      </c>
      <c r="D10" s="39">
        <f>'1.Income statement'!D15</f>
        <v>187</v>
      </c>
      <c r="E10" s="39">
        <f>'1.Income statement'!E15</f>
        <v>195</v>
      </c>
      <c r="F10" s="39">
        <f>'1.Income statement'!F15</f>
        <v>205</v>
      </c>
      <c r="G10" s="39">
        <f>'1.Income statement'!G15</f>
        <v>203</v>
      </c>
      <c r="H10" s="39">
        <f>'1.Income statement'!H15</f>
        <v>216</v>
      </c>
      <c r="I10" s="39">
        <f>'1.Income statement'!I15</f>
        <v>237</v>
      </c>
      <c r="J10" s="38">
        <f>'1.Income statement'!J15</f>
        <v>265.33440000000002</v>
      </c>
      <c r="K10" s="39">
        <f>'1.Income statement'!K15</f>
        <v>286.56115199999999</v>
      </c>
      <c r="L10" s="39">
        <f>'1.Income statement'!L15</f>
        <v>309.48604416000001</v>
      </c>
      <c r="M10" s="39">
        <f>'1.Income statement'!M15</f>
        <v>334.24492769279999</v>
      </c>
      <c r="N10" s="40">
        <f>'1.Income statement'!N15</f>
        <v>360.984521908224</v>
      </c>
      <c r="O10" s="13" t="s">
        <v>26</v>
      </c>
      <c r="P10" s="9">
        <f>'1.Income statement'!$P$11</f>
        <v>0.08</v>
      </c>
    </row>
    <row r="11" spans="2:16" x14ac:dyDescent="0.2">
      <c r="B11" s="191" t="s">
        <v>35</v>
      </c>
      <c r="C11" s="46">
        <f>'1.Income statement'!C17</f>
        <v>0</v>
      </c>
      <c r="D11" s="46">
        <f>'1.Income statement'!D17</f>
        <v>37</v>
      </c>
      <c r="E11" s="46">
        <f>'1.Income statement'!E17</f>
        <v>43</v>
      </c>
      <c r="F11" s="46">
        <f>'1.Income statement'!F17</f>
        <v>46</v>
      </c>
      <c r="G11" s="46">
        <f>'1.Income statement'!G17</f>
        <v>49</v>
      </c>
      <c r="H11" s="46">
        <f>'1.Income statement'!H17</f>
        <v>56</v>
      </c>
      <c r="I11" s="46">
        <f>'1.Income statement'!I17</f>
        <v>52</v>
      </c>
      <c r="J11" s="45">
        <f>'1.Income statement'!J17</f>
        <v>56.16</v>
      </c>
      <c r="K11" s="46">
        <f>'1.Income statement'!K17</f>
        <v>60.652799999999999</v>
      </c>
      <c r="L11" s="46">
        <f>'1.Income statement'!L17</f>
        <v>65.505023999999992</v>
      </c>
      <c r="M11" s="46">
        <f>'1.Income statement'!M17</f>
        <v>70.745425919999988</v>
      </c>
      <c r="N11" s="47">
        <f>'1.Income statement'!N17</f>
        <v>76.405059993599991</v>
      </c>
    </row>
    <row r="12" spans="2:16" x14ac:dyDescent="0.2">
      <c r="B12" s="192" t="s">
        <v>74</v>
      </c>
      <c r="C12" s="49">
        <f>'1.Income statement'!C20</f>
        <v>0</v>
      </c>
      <c r="D12" s="49">
        <f>'1.Income statement'!D20</f>
        <v>0</v>
      </c>
      <c r="E12" s="49">
        <f>'1.Income statement'!E20</f>
        <v>0</v>
      </c>
      <c r="F12" s="49">
        <f>'1.Income statement'!F20</f>
        <v>0</v>
      </c>
      <c r="G12" s="49">
        <f>'1.Income statement'!G20</f>
        <v>0</v>
      </c>
      <c r="H12" s="49">
        <f>'1.Income statement'!H20</f>
        <v>0</v>
      </c>
      <c r="I12" s="49">
        <f>'1.Income statement'!I20</f>
        <v>0</v>
      </c>
      <c r="J12" s="48">
        <f>'1.Income statement'!J20</f>
        <v>0</v>
      </c>
      <c r="K12" s="49">
        <f>'1.Income statement'!K20</f>
        <v>0</v>
      </c>
      <c r="L12" s="49">
        <f>'1.Income statement'!L20</f>
        <v>0</v>
      </c>
      <c r="M12" s="49">
        <f>'1.Income statement'!M20</f>
        <v>0</v>
      </c>
      <c r="N12" s="50">
        <f>'1.Income statement'!N20</f>
        <v>0</v>
      </c>
    </row>
    <row r="13" spans="2:16" x14ac:dyDescent="0.2">
      <c r="B13" s="193" t="s">
        <v>11</v>
      </c>
      <c r="C13" s="39">
        <f>'1.Income statement'!C24</f>
        <v>0</v>
      </c>
      <c r="D13" s="39">
        <f>'1.Income statement'!D24</f>
        <v>150</v>
      </c>
      <c r="E13" s="39">
        <f>'1.Income statement'!E24</f>
        <v>152</v>
      </c>
      <c r="F13" s="39">
        <f>'1.Income statement'!F24</f>
        <v>159</v>
      </c>
      <c r="G13" s="39">
        <f>'1.Income statement'!G24</f>
        <v>154</v>
      </c>
      <c r="H13" s="39">
        <f>'1.Income statement'!H24</f>
        <v>160</v>
      </c>
      <c r="I13" s="39">
        <f>'1.Income statement'!I24</f>
        <v>185</v>
      </c>
      <c r="J13" s="38">
        <f>'1.Income statement'!J24</f>
        <v>209.17440000000002</v>
      </c>
      <c r="K13" s="39">
        <f>'1.Income statement'!K24</f>
        <v>225.90835199999998</v>
      </c>
      <c r="L13" s="39">
        <f>'1.Income statement'!L24</f>
        <v>243.98102016000001</v>
      </c>
      <c r="M13" s="39">
        <f>'1.Income statement'!M24</f>
        <v>263.49950177279999</v>
      </c>
      <c r="N13" s="40">
        <f>'1.Income statement'!N24</f>
        <v>284.57946191462401</v>
      </c>
    </row>
    <row r="14" spans="2:16" x14ac:dyDescent="0.2">
      <c r="B14" s="194" t="s">
        <v>39</v>
      </c>
      <c r="C14" s="131"/>
      <c r="D14" s="131"/>
      <c r="E14" s="131">
        <v>4.8</v>
      </c>
      <c r="F14" s="131">
        <v>3</v>
      </c>
      <c r="G14" s="131">
        <f>4.6+27</f>
        <v>31.6</v>
      </c>
      <c r="H14" s="188">
        <f>5+18</f>
        <v>23</v>
      </c>
      <c r="I14" s="163">
        <v>43</v>
      </c>
      <c r="J14" s="49">
        <f t="shared" ref="J14:N14" si="0">I14*$P$10+I14</f>
        <v>46.44</v>
      </c>
      <c r="K14" s="49">
        <f t="shared" si="0"/>
        <v>50.155200000000001</v>
      </c>
      <c r="L14" s="49">
        <f t="shared" si="0"/>
        <v>54.167616000000002</v>
      </c>
      <c r="M14" s="49">
        <f t="shared" si="0"/>
        <v>58.50102528</v>
      </c>
      <c r="N14" s="50">
        <f t="shared" si="0"/>
        <v>63.181107302400001</v>
      </c>
    </row>
    <row r="15" spans="2:16" x14ac:dyDescent="0.2">
      <c r="B15" s="195" t="s">
        <v>36</v>
      </c>
      <c r="C15" s="131"/>
      <c r="D15" s="131"/>
      <c r="E15" s="131">
        <v>1115</v>
      </c>
      <c r="F15" s="131">
        <v>1145</v>
      </c>
      <c r="G15" s="131">
        <v>1281</v>
      </c>
      <c r="H15" s="131">
        <v>1440</v>
      </c>
      <c r="I15" s="132">
        <v>1499</v>
      </c>
      <c r="J15" s="49">
        <f t="shared" ref="J15:N17" si="1">I15*$P$10+I15</f>
        <v>1618.92</v>
      </c>
      <c r="K15" s="49">
        <f t="shared" si="1"/>
        <v>1748.4336000000001</v>
      </c>
      <c r="L15" s="49">
        <f t="shared" si="1"/>
        <v>1888.3082880000002</v>
      </c>
      <c r="M15" s="49">
        <f t="shared" si="1"/>
        <v>2039.3729510400003</v>
      </c>
      <c r="N15" s="50">
        <f t="shared" si="1"/>
        <v>2202.5227871232005</v>
      </c>
    </row>
    <row r="16" spans="2:16" x14ac:dyDescent="0.2">
      <c r="B16" s="194" t="s">
        <v>37</v>
      </c>
      <c r="C16" s="131"/>
      <c r="D16" s="131"/>
      <c r="E16" s="131"/>
      <c r="F16" s="131"/>
      <c r="G16" s="131"/>
      <c r="H16" s="131"/>
      <c r="I16" s="132"/>
      <c r="J16" s="49">
        <f t="shared" si="1"/>
        <v>0</v>
      </c>
      <c r="K16" s="49">
        <f t="shared" si="1"/>
        <v>0</v>
      </c>
      <c r="L16" s="49">
        <f t="shared" si="1"/>
        <v>0</v>
      </c>
      <c r="M16" s="49">
        <f t="shared" si="1"/>
        <v>0</v>
      </c>
      <c r="N16" s="50">
        <f t="shared" si="1"/>
        <v>0</v>
      </c>
    </row>
    <row r="17" spans="2:14" x14ac:dyDescent="0.2">
      <c r="B17" s="194" t="s">
        <v>38</v>
      </c>
      <c r="C17" s="133"/>
      <c r="D17" s="133"/>
      <c r="E17" s="133">
        <v>1209</v>
      </c>
      <c r="F17" s="133">
        <v>1322</v>
      </c>
      <c r="G17" s="131">
        <v>1389</v>
      </c>
      <c r="H17" s="133">
        <v>1498</v>
      </c>
      <c r="I17" s="132">
        <v>1522</v>
      </c>
      <c r="J17" s="134">
        <f t="shared" si="1"/>
        <v>1643.76</v>
      </c>
      <c r="K17" s="134">
        <f t="shared" si="1"/>
        <v>1775.2608</v>
      </c>
      <c r="L17" s="134">
        <f t="shared" si="1"/>
        <v>1917.2816640000001</v>
      </c>
      <c r="M17" s="134">
        <f t="shared" si="1"/>
        <v>2070.6641971200002</v>
      </c>
      <c r="N17" s="50">
        <f t="shared" si="1"/>
        <v>2236.3173328896</v>
      </c>
    </row>
    <row r="18" spans="2:14" x14ac:dyDescent="0.2">
      <c r="B18" s="196" t="s">
        <v>43</v>
      </c>
      <c r="C18" s="55">
        <f t="shared" ref="C18:F18" si="2">C17+C15-C14</f>
        <v>0</v>
      </c>
      <c r="D18" s="55">
        <f t="shared" si="2"/>
        <v>0</v>
      </c>
      <c r="E18" s="55">
        <f t="shared" si="2"/>
        <v>2319.1999999999998</v>
      </c>
      <c r="F18" s="55">
        <f t="shared" si="2"/>
        <v>2464</v>
      </c>
      <c r="G18" s="164">
        <f>G17+G15-G14</f>
        <v>2638.4</v>
      </c>
      <c r="H18" s="164">
        <f>H17+H15-H14</f>
        <v>2915</v>
      </c>
      <c r="I18" s="51">
        <f>I17+I15-I14</f>
        <v>2978</v>
      </c>
      <c r="J18" s="164">
        <f t="shared" ref="J18:N18" si="3">J17+J15-J14</f>
        <v>3216.2400000000002</v>
      </c>
      <c r="K18" s="55">
        <f t="shared" si="3"/>
        <v>3473.5392000000002</v>
      </c>
      <c r="L18" s="55">
        <f t="shared" si="3"/>
        <v>3751.4223360000001</v>
      </c>
      <c r="M18" s="55">
        <f t="shared" si="3"/>
        <v>4051.5361228800007</v>
      </c>
      <c r="N18" s="51">
        <f t="shared" si="3"/>
        <v>4375.6590127104009</v>
      </c>
    </row>
    <row r="19" spans="2:14" x14ac:dyDescent="0.2">
      <c r="B19" s="197" t="s">
        <v>44</v>
      </c>
      <c r="C19" s="52">
        <f t="shared" ref="C19:F19" si="4">C15-C14+C17-C16</f>
        <v>0</v>
      </c>
      <c r="D19" s="52">
        <f t="shared" si="4"/>
        <v>0</v>
      </c>
      <c r="E19" s="52">
        <f t="shared" si="4"/>
        <v>2319.1999999999998</v>
      </c>
      <c r="F19" s="52">
        <f t="shared" si="4"/>
        <v>2464</v>
      </c>
      <c r="G19" s="52">
        <f>G15-G14+G17-G16</f>
        <v>2638.4</v>
      </c>
      <c r="H19" s="52">
        <f>H15-H14+H17-H16</f>
        <v>2915</v>
      </c>
      <c r="I19" s="53">
        <f>I15-I14+I17-I16</f>
        <v>2978</v>
      </c>
      <c r="J19" s="52">
        <f t="shared" ref="J19:N19" si="5">J15-J14+J17-J16</f>
        <v>3216.24</v>
      </c>
      <c r="K19" s="52">
        <f t="shared" si="5"/>
        <v>3473.5392000000002</v>
      </c>
      <c r="L19" s="52">
        <f t="shared" si="5"/>
        <v>3751.4223360000005</v>
      </c>
      <c r="M19" s="52">
        <f t="shared" si="5"/>
        <v>4051.5361228800002</v>
      </c>
      <c r="N19" s="53">
        <f t="shared" si="5"/>
        <v>4375.6590127104009</v>
      </c>
    </row>
    <row r="20" spans="2:14" x14ac:dyDescent="0.2">
      <c r="B20" s="195"/>
      <c r="C20" s="54"/>
      <c r="D20" s="54"/>
      <c r="E20" s="54"/>
      <c r="F20" s="54"/>
      <c r="G20" s="54"/>
      <c r="H20" s="102"/>
      <c r="I20" s="54"/>
      <c r="J20" s="116"/>
      <c r="K20" s="55"/>
      <c r="L20" s="55"/>
      <c r="M20" s="55"/>
      <c r="N20" s="56"/>
    </row>
    <row r="21" spans="2:14" x14ac:dyDescent="0.2">
      <c r="B21" s="194" t="s">
        <v>40</v>
      </c>
      <c r="C21" s="41" t="e">
        <f t="shared" ref="C21:G21" si="6">C13/C17</f>
        <v>#DIV/0!</v>
      </c>
      <c r="D21" s="41" t="e">
        <f t="shared" si="6"/>
        <v>#DIV/0!</v>
      </c>
      <c r="E21" s="41">
        <f t="shared" si="6"/>
        <v>0.12572373862696443</v>
      </c>
      <c r="F21" s="41">
        <f t="shared" si="6"/>
        <v>0.12027231467473525</v>
      </c>
      <c r="G21" s="41">
        <f t="shared" si="6"/>
        <v>0.11087113030957524</v>
      </c>
      <c r="H21" s="41">
        <f t="shared" ref="H21:N21" si="7">H13/H17</f>
        <v>0.1068090787716956</v>
      </c>
      <c r="I21" s="41">
        <f t="shared" ref="I21" si="8">I13/I17</f>
        <v>0.12155059132720106</v>
      </c>
      <c r="J21" s="117">
        <f t="shared" si="7"/>
        <v>0.12725361366622867</v>
      </c>
      <c r="K21" s="41">
        <f t="shared" si="7"/>
        <v>0.12725361366622864</v>
      </c>
      <c r="L21" s="41">
        <f t="shared" si="7"/>
        <v>0.12725361366622864</v>
      </c>
      <c r="M21" s="41">
        <f t="shared" si="7"/>
        <v>0.12725361366622864</v>
      </c>
      <c r="N21" s="42">
        <f t="shared" si="7"/>
        <v>0.12725361366622864</v>
      </c>
    </row>
    <row r="22" spans="2:14" x14ac:dyDescent="0.2">
      <c r="B22" s="194" t="s">
        <v>46</v>
      </c>
      <c r="C22" s="18" t="e">
        <f t="shared" ref="C22:G22" si="9">C10/C19</f>
        <v>#DIV/0!</v>
      </c>
      <c r="D22" s="18" t="e">
        <f t="shared" si="9"/>
        <v>#DIV/0!</v>
      </c>
      <c r="E22" s="18">
        <f t="shared" si="9"/>
        <v>8.4080717488789244E-2</v>
      </c>
      <c r="F22" s="18">
        <f t="shared" si="9"/>
        <v>8.3198051948051951E-2</v>
      </c>
      <c r="G22" s="18">
        <f t="shared" si="9"/>
        <v>7.6940570042449974E-2</v>
      </c>
      <c r="H22" s="18">
        <f t="shared" ref="H22:N22" si="10">H10/H19</f>
        <v>7.4099485420240141E-2</v>
      </c>
      <c r="I22" s="18">
        <f t="shared" ref="I22" si="11">I10/I19</f>
        <v>7.9583613163196773E-2</v>
      </c>
      <c r="J22" s="118">
        <f t="shared" si="10"/>
        <v>8.2498321020819346E-2</v>
      </c>
      <c r="K22" s="18">
        <f t="shared" si="10"/>
        <v>8.2498321020819332E-2</v>
      </c>
      <c r="L22" s="18">
        <f t="shared" si="10"/>
        <v>8.2498321020819332E-2</v>
      </c>
      <c r="M22" s="18">
        <f t="shared" si="10"/>
        <v>8.2498321020819332E-2</v>
      </c>
      <c r="N22" s="20">
        <f t="shared" si="10"/>
        <v>8.2498321020819318E-2</v>
      </c>
    </row>
    <row r="23" spans="2:14" ht="16" thickBot="1" x14ac:dyDescent="0.25">
      <c r="B23" s="198" t="s">
        <v>45</v>
      </c>
      <c r="C23" s="19" t="e">
        <f t="shared" ref="C23:G23" si="12">C10/C18</f>
        <v>#DIV/0!</v>
      </c>
      <c r="D23" s="19" t="e">
        <f t="shared" si="12"/>
        <v>#DIV/0!</v>
      </c>
      <c r="E23" s="19">
        <f t="shared" si="12"/>
        <v>8.4080717488789244E-2</v>
      </c>
      <c r="F23" s="19">
        <f t="shared" si="12"/>
        <v>8.3198051948051951E-2</v>
      </c>
      <c r="G23" s="19">
        <f t="shared" si="12"/>
        <v>7.6940570042449974E-2</v>
      </c>
      <c r="H23" s="19">
        <f t="shared" ref="H23:N23" si="13">H10/H18</f>
        <v>7.4099485420240141E-2</v>
      </c>
      <c r="I23" s="19">
        <f t="shared" ref="I23" si="14">I10/I18</f>
        <v>7.9583613163196773E-2</v>
      </c>
      <c r="J23" s="119">
        <f t="shared" si="13"/>
        <v>8.2498321020819346E-2</v>
      </c>
      <c r="K23" s="19">
        <f t="shared" si="13"/>
        <v>8.2498321020819332E-2</v>
      </c>
      <c r="L23" s="19">
        <f t="shared" si="13"/>
        <v>8.2498321020819346E-2</v>
      </c>
      <c r="M23" s="19">
        <f t="shared" si="13"/>
        <v>8.2498321020819332E-2</v>
      </c>
      <c r="N23" s="21">
        <f t="shared" si="13"/>
        <v>8.2498321020819318E-2</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zoomScale="130" zoomScaleNormal="130" workbookViewId="0">
      <selection activeCell="Q9" sqref="Q9"/>
    </sheetView>
  </sheetViews>
  <sheetFormatPr baseColWidth="10" defaultColWidth="9.1640625" defaultRowHeight="15" x14ac:dyDescent="0.2"/>
  <cols>
    <col min="1" max="1" width="4" customWidth="1"/>
    <col min="2" max="2" width="35.5" customWidth="1"/>
    <col min="8" max="8" width="11.6640625" bestFit="1" customWidth="1"/>
    <col min="9" max="9" width="11.6640625" customWidth="1"/>
    <col min="10" max="10" width="10.5" customWidth="1"/>
    <col min="11" max="11" width="12.83203125" customWidth="1"/>
    <col min="12" max="12" width="10.33203125" customWidth="1"/>
    <col min="13" max="14" width="10.5" customWidth="1"/>
    <col min="15" max="15" width="7" customWidth="1"/>
    <col min="16" max="16" width="13.6640625" customWidth="1"/>
    <col min="18" max="18" width="15.6640625" customWidth="1"/>
  </cols>
  <sheetData>
    <row r="1" spans="2:22" ht="16" thickBot="1" x14ac:dyDescent="0.25"/>
    <row r="2" spans="2:22" ht="15" customHeight="1" x14ac:dyDescent="0.2">
      <c r="B2" s="274"/>
      <c r="C2" s="281"/>
      <c r="D2" s="281"/>
      <c r="E2" s="281"/>
      <c r="F2" s="281"/>
      <c r="G2" s="281"/>
      <c r="H2" s="281"/>
      <c r="I2" s="281"/>
      <c r="J2" s="281"/>
      <c r="K2" s="281"/>
      <c r="L2" s="281"/>
      <c r="M2" s="281"/>
      <c r="N2" s="282"/>
      <c r="O2" s="1"/>
      <c r="P2" s="1"/>
      <c r="Q2" s="1"/>
      <c r="R2" s="1"/>
      <c r="S2" s="1"/>
      <c r="T2" s="1"/>
      <c r="U2" s="1"/>
      <c r="V2" s="1"/>
    </row>
    <row r="3" spans="2:22" ht="15" customHeight="1" x14ac:dyDescent="0.2">
      <c r="B3" s="275"/>
      <c r="C3" s="283"/>
      <c r="D3" s="283"/>
      <c r="E3" s="283"/>
      <c r="F3" s="283"/>
      <c r="G3" s="283"/>
      <c r="H3" s="283"/>
      <c r="I3" s="283"/>
      <c r="J3" s="283"/>
      <c r="K3" s="283"/>
      <c r="L3" s="283"/>
      <c r="M3" s="283"/>
      <c r="N3" s="284"/>
      <c r="O3" s="1"/>
      <c r="P3" s="1"/>
      <c r="Q3" s="1"/>
      <c r="R3" s="1"/>
      <c r="S3" s="1"/>
      <c r="T3" s="1"/>
      <c r="U3" s="1"/>
      <c r="V3" s="1"/>
    </row>
    <row r="4" spans="2:22" ht="15" customHeight="1" x14ac:dyDescent="0.2">
      <c r="B4" s="275"/>
      <c r="C4" s="283"/>
      <c r="D4" s="283"/>
      <c r="E4" s="283"/>
      <c r="F4" s="283"/>
      <c r="G4" s="283"/>
      <c r="H4" s="283"/>
      <c r="I4" s="283"/>
      <c r="J4" s="283"/>
      <c r="K4" s="283"/>
      <c r="L4" s="283"/>
      <c r="M4" s="283"/>
      <c r="N4" s="284"/>
      <c r="O4" s="1"/>
      <c r="P4" s="1"/>
      <c r="Q4" s="1"/>
      <c r="R4" s="1"/>
      <c r="S4" s="1"/>
      <c r="T4" s="1"/>
      <c r="U4" s="1"/>
      <c r="V4" s="1"/>
    </row>
    <row r="5" spans="2:22" ht="15" customHeight="1" x14ac:dyDescent="0.2">
      <c r="B5" s="275"/>
      <c r="C5" s="283"/>
      <c r="D5" s="283"/>
      <c r="E5" s="283"/>
      <c r="F5" s="283"/>
      <c r="G5" s="283"/>
      <c r="H5" s="283"/>
      <c r="I5" s="283"/>
      <c r="J5" s="283"/>
      <c r="K5" s="283"/>
      <c r="L5" s="283"/>
      <c r="M5" s="283"/>
      <c r="N5" s="284"/>
      <c r="O5" s="1"/>
      <c r="P5" s="1"/>
      <c r="Q5" s="1"/>
      <c r="R5" s="1"/>
      <c r="S5" s="1"/>
      <c r="T5" s="1"/>
      <c r="U5" s="1"/>
      <c r="V5" s="1"/>
    </row>
    <row r="6" spans="2:22" ht="15" customHeight="1" x14ac:dyDescent="0.2">
      <c r="B6" s="275"/>
      <c r="C6" s="283"/>
      <c r="D6" s="283"/>
      <c r="E6" s="283"/>
      <c r="F6" s="283"/>
      <c r="G6" s="283"/>
      <c r="H6" s="283"/>
      <c r="I6" s="283"/>
      <c r="J6" s="283"/>
      <c r="K6" s="283"/>
      <c r="L6" s="283"/>
      <c r="M6" s="283"/>
      <c r="N6" s="284"/>
      <c r="O6" s="1"/>
      <c r="P6" s="1"/>
      <c r="Q6" s="1"/>
      <c r="R6" s="1"/>
      <c r="S6" s="1"/>
      <c r="T6" s="1"/>
      <c r="U6" s="1"/>
      <c r="V6" s="1"/>
    </row>
    <row r="7" spans="2:22" ht="48.75" customHeight="1" thickBot="1" x14ac:dyDescent="0.25">
      <c r="B7" s="275"/>
      <c r="C7" s="283"/>
      <c r="D7" s="283"/>
      <c r="E7" s="283"/>
      <c r="F7" s="283"/>
      <c r="G7" s="283"/>
      <c r="H7" s="283"/>
      <c r="I7" s="283"/>
      <c r="J7" s="285"/>
      <c r="K7" s="285"/>
      <c r="L7" s="285"/>
      <c r="M7" s="285"/>
      <c r="N7" s="286"/>
      <c r="O7" s="1"/>
      <c r="P7" s="1"/>
      <c r="Q7" s="1"/>
      <c r="R7" s="1"/>
      <c r="S7" s="1"/>
      <c r="T7" s="1"/>
      <c r="U7" s="1"/>
      <c r="V7" s="1"/>
    </row>
    <row r="8" spans="2:22" ht="18.75" customHeight="1" thickBot="1" x14ac:dyDescent="0.25">
      <c r="B8" s="275"/>
      <c r="C8" s="30">
        <v>2014</v>
      </c>
      <c r="D8" s="30">
        <v>2015</v>
      </c>
      <c r="E8" s="30">
        <v>2016</v>
      </c>
      <c r="F8" s="30">
        <v>2017</v>
      </c>
      <c r="G8" s="30">
        <v>2018</v>
      </c>
      <c r="H8" s="30">
        <v>2019</v>
      </c>
      <c r="I8" s="30">
        <v>2020</v>
      </c>
      <c r="J8" s="168">
        <v>2021</v>
      </c>
      <c r="K8" s="96">
        <v>2020</v>
      </c>
      <c r="L8" s="96">
        <v>2023</v>
      </c>
      <c r="M8" s="96">
        <v>2024</v>
      </c>
      <c r="N8" s="97">
        <v>2025</v>
      </c>
      <c r="O8" s="1"/>
      <c r="P8" s="1"/>
      <c r="Q8" s="1"/>
      <c r="R8" s="1"/>
      <c r="S8" s="1"/>
      <c r="T8" s="1"/>
      <c r="U8" s="1"/>
      <c r="V8" s="1"/>
    </row>
    <row r="9" spans="2:22" ht="17" thickBot="1" x14ac:dyDescent="0.25">
      <c r="B9" s="103"/>
      <c r="C9" s="174"/>
      <c r="D9" s="174"/>
      <c r="E9" s="174"/>
      <c r="F9" s="174"/>
      <c r="G9" s="174"/>
      <c r="H9" s="174"/>
      <c r="I9" s="174"/>
      <c r="J9" s="173"/>
      <c r="K9" s="174"/>
      <c r="L9" s="174"/>
      <c r="M9" s="174"/>
      <c r="N9" s="175"/>
      <c r="O9" s="276" t="s">
        <v>13</v>
      </c>
      <c r="P9" s="277"/>
      <c r="Q9" s="12">
        <v>73.41</v>
      </c>
      <c r="R9" s="1"/>
      <c r="S9" s="1"/>
      <c r="T9" s="1"/>
      <c r="U9" s="1"/>
      <c r="V9" s="1"/>
    </row>
    <row r="10" spans="2:22" ht="16" x14ac:dyDescent="0.2">
      <c r="B10" s="58" t="s">
        <v>22</v>
      </c>
      <c r="C10" s="99"/>
      <c r="D10" s="99"/>
      <c r="E10" s="99"/>
      <c r="F10" s="99"/>
      <c r="G10" s="99"/>
      <c r="H10" s="99">
        <f>$Q$9*'1.Income statement'!H27</f>
        <v>3156.6299999999997</v>
      </c>
      <c r="I10" s="99">
        <f>$Q$9*'1.Income statement'!I27</f>
        <v>3230.04</v>
      </c>
      <c r="J10" s="104">
        <f>$Q$9*'1.Income statement'!J27</f>
        <v>3303.45</v>
      </c>
      <c r="K10" s="99">
        <f>$Q$9*'1.Income statement'!K27</f>
        <v>3376.8599999999997</v>
      </c>
      <c r="L10" s="99">
        <f>$Q$9*'1.Income statement'!L27</f>
        <v>3450.27</v>
      </c>
      <c r="M10" s="99">
        <f>$Q$9*'1.Income statement'!M27</f>
        <v>3523.68</v>
      </c>
      <c r="N10" s="106">
        <f>$Q$9*'1.Income statement'!N27</f>
        <v>3597.0899999999997</v>
      </c>
      <c r="O10" s="11"/>
      <c r="P10" s="11"/>
      <c r="Q10" s="11"/>
      <c r="R10" s="1"/>
      <c r="S10" s="1"/>
      <c r="T10" s="1"/>
      <c r="U10" s="1"/>
      <c r="V10" s="1"/>
    </row>
    <row r="11" spans="2:22" ht="16" x14ac:dyDescent="0.2">
      <c r="B11" s="58" t="s">
        <v>51</v>
      </c>
      <c r="C11" s="99">
        <f>'3.retornos capital'!C15-'3.retornos capital'!C14</f>
        <v>0</v>
      </c>
      <c r="D11" s="99">
        <f>'3.retornos capital'!D15-'3.retornos capital'!D14</f>
        <v>0</v>
      </c>
      <c r="E11" s="99">
        <f>'3.retornos capital'!E15-'3.retornos capital'!E14</f>
        <v>1110.2</v>
      </c>
      <c r="F11" s="99">
        <f>'3.retornos capital'!F15-'3.retornos capital'!F14</f>
        <v>1142</v>
      </c>
      <c r="G11" s="99">
        <f>'3.retornos capital'!G15-'3.retornos capital'!G14</f>
        <v>1249.4000000000001</v>
      </c>
      <c r="H11" s="99">
        <f>'3.retornos capital'!H15-'3.retornos capital'!H14</f>
        <v>1417</v>
      </c>
      <c r="I11" s="99">
        <f>'3.retornos capital'!I15-'3.retornos capital'!I14</f>
        <v>1456</v>
      </c>
      <c r="J11" s="171">
        <v>1620</v>
      </c>
      <c r="K11" s="172">
        <v>1710</v>
      </c>
      <c r="L11" s="172">
        <v>1800</v>
      </c>
      <c r="M11" s="172">
        <v>1900</v>
      </c>
      <c r="N11" s="169">
        <v>2000</v>
      </c>
      <c r="O11" s="278"/>
      <c r="P11" s="278"/>
      <c r="Q11" s="11"/>
      <c r="R11" s="1"/>
      <c r="S11" s="1"/>
      <c r="T11" s="1"/>
      <c r="U11" s="1"/>
      <c r="V11" s="1"/>
    </row>
    <row r="12" spans="2:22" ht="16" x14ac:dyDescent="0.2">
      <c r="B12" s="100" t="s">
        <v>79</v>
      </c>
      <c r="C12" s="120" t="e">
        <f>C11/'1.Income statement'!C12</f>
        <v>#DIV/0!</v>
      </c>
      <c r="D12" s="120">
        <f>D11/'1.Income statement'!D12</f>
        <v>0</v>
      </c>
      <c r="E12" s="120">
        <f>E11/'1.Income statement'!E12</f>
        <v>4.370866141732284</v>
      </c>
      <c r="F12" s="120">
        <f>F11/'1.Income statement'!F12</f>
        <v>4.1985294117647056</v>
      </c>
      <c r="G12" s="120">
        <f>G11/'1.Income statement'!G12</f>
        <v>4.5598540145985407</v>
      </c>
      <c r="H12" s="120">
        <f>H11/'1.Income statement'!H12</f>
        <v>4.8361774744027306</v>
      </c>
      <c r="I12" s="179">
        <f>I11/'1.Income statement'!I12</f>
        <v>4.55</v>
      </c>
      <c r="J12" s="95">
        <f>J11/'1.Income statement'!J12</f>
        <v>4.5637093829864916</v>
      </c>
      <c r="K12" s="95">
        <f>K11/'1.Income statement'!K12</f>
        <v>4.4604155492151927</v>
      </c>
      <c r="L12" s="95">
        <f>L11/'1.Income statement'!L12</f>
        <v>4.3473835762331303</v>
      </c>
      <c r="M12" s="95">
        <f>M11/'1.Income statement'!M12</f>
        <v>4.2489860055776489</v>
      </c>
      <c r="N12" s="176">
        <f>N11/'1.Income statement'!N12</f>
        <v>4.1413118962745106</v>
      </c>
      <c r="O12" s="279"/>
      <c r="P12" s="279"/>
      <c r="Q12" s="11"/>
      <c r="R12" s="1"/>
      <c r="S12" s="1"/>
      <c r="T12" s="1"/>
      <c r="U12" s="1"/>
      <c r="V12" s="1"/>
    </row>
    <row r="13" spans="2:22" ht="16" x14ac:dyDescent="0.2">
      <c r="B13" s="100" t="s">
        <v>78</v>
      </c>
      <c r="C13" s="120" t="e">
        <f>C11/'3.retornos capital'!C17</f>
        <v>#DIV/0!</v>
      </c>
      <c r="D13" s="120" t="e">
        <f>D11/'3.retornos capital'!D17</f>
        <v>#DIV/0!</v>
      </c>
      <c r="E13" s="120">
        <f>E11/'3.retornos capital'!E17</f>
        <v>0.91827956989247317</v>
      </c>
      <c r="F13" s="120">
        <f>F11/'3.retornos capital'!F17</f>
        <v>0.86384266263237519</v>
      </c>
      <c r="G13" s="120">
        <f>G11/'3.retornos capital'!G17</f>
        <v>0.89949604031677477</v>
      </c>
      <c r="H13" s="120">
        <f>H11/'3.retornos capital'!H17</f>
        <v>0.94592790387182912</v>
      </c>
      <c r="I13" s="179">
        <f>I11/'3.retornos capital'!I17</f>
        <v>0.95663600525624182</v>
      </c>
      <c r="J13" s="120">
        <f>J11/'3.retornos capital'!J17</f>
        <v>0.98554533508541398</v>
      </c>
      <c r="K13" s="120">
        <f>K11/'3.retornos capital'!K17</f>
        <v>0.96323875342710208</v>
      </c>
      <c r="L13" s="120">
        <f>L11/'3.retornos capital'!L17</f>
        <v>0.93882919437339385</v>
      </c>
      <c r="M13" s="120">
        <f>M11/'3.retornos capital'!M17</f>
        <v>0.91757997392461321</v>
      </c>
      <c r="N13" s="179">
        <f>N11/'3.retornos capital'!N17</f>
        <v>0.89432745996551011</v>
      </c>
      <c r="O13" s="177"/>
      <c r="P13" s="177"/>
      <c r="Q13" s="11"/>
      <c r="R13" s="1"/>
      <c r="S13" s="1"/>
      <c r="T13" s="1"/>
      <c r="U13" s="1"/>
      <c r="V13" s="1"/>
    </row>
    <row r="14" spans="2:22" ht="16" x14ac:dyDescent="0.2">
      <c r="B14" s="101" t="s">
        <v>21</v>
      </c>
      <c r="C14" s="39"/>
      <c r="D14" s="39"/>
      <c r="E14" s="39"/>
      <c r="F14" s="39"/>
      <c r="G14" s="39"/>
      <c r="H14" s="39">
        <f>H10+H11+H9</f>
        <v>4573.6299999999992</v>
      </c>
      <c r="I14" s="40">
        <f>I10+I11+I9</f>
        <v>4686.04</v>
      </c>
      <c r="J14" s="182">
        <f>J10+J11+J9</f>
        <v>4923.45</v>
      </c>
      <c r="K14" s="182">
        <f t="shared" ref="K14:N14" si="0">K10+K11+K9</f>
        <v>5086.8599999999997</v>
      </c>
      <c r="L14" s="182">
        <f t="shared" si="0"/>
        <v>5250.27</v>
      </c>
      <c r="M14" s="182">
        <f t="shared" si="0"/>
        <v>5423.68</v>
      </c>
      <c r="N14" s="106">
        <f t="shared" si="0"/>
        <v>5597.09</v>
      </c>
      <c r="O14" s="279"/>
      <c r="P14" s="279"/>
      <c r="Q14" s="11"/>
      <c r="R14" s="1"/>
      <c r="S14" s="1"/>
      <c r="T14" s="1"/>
      <c r="U14" s="1"/>
      <c r="V14" s="1"/>
    </row>
    <row r="15" spans="2:22" ht="16" x14ac:dyDescent="0.2">
      <c r="B15" s="58" t="s">
        <v>5</v>
      </c>
      <c r="C15" s="99">
        <f>'1.Income statement'!C12</f>
        <v>0</v>
      </c>
      <c r="D15" s="99">
        <f>'1.Income statement'!D12</f>
        <v>240</v>
      </c>
      <c r="E15" s="99">
        <f>'1.Income statement'!E12</f>
        <v>254</v>
      </c>
      <c r="F15" s="99">
        <f>'1.Income statement'!F12</f>
        <v>272</v>
      </c>
      <c r="G15" s="99">
        <f>'1.Income statement'!G12</f>
        <v>274</v>
      </c>
      <c r="H15" s="199">
        <f>'1.Income statement'!H12</f>
        <v>293</v>
      </c>
      <c r="I15" s="181">
        <f>'1.Income statement'!I12</f>
        <v>320</v>
      </c>
      <c r="J15" s="99">
        <f>'1.Income statement'!J12</f>
        <v>354.9744</v>
      </c>
      <c r="K15" s="99">
        <f>'1.Income statement'!K12</f>
        <v>383.37235199999998</v>
      </c>
      <c r="L15" s="99">
        <f>'1.Income statement'!L12</f>
        <v>414.04214016000003</v>
      </c>
      <c r="M15" s="99">
        <f>'1.Income statement'!M12</f>
        <v>447.16551137279998</v>
      </c>
      <c r="N15" s="181">
        <f>'1.Income statement'!N12</f>
        <v>482.93875228262402</v>
      </c>
      <c r="O15" s="279"/>
      <c r="P15" s="279"/>
      <c r="Q15" s="11"/>
      <c r="R15" s="1"/>
      <c r="S15" s="1"/>
      <c r="T15" s="1"/>
      <c r="U15" s="1"/>
      <c r="V15" s="1"/>
    </row>
    <row r="16" spans="2:22" ht="16" x14ac:dyDescent="0.2">
      <c r="B16" s="58" t="s">
        <v>10</v>
      </c>
      <c r="C16" s="99">
        <f>'1.Income statement'!C15</f>
        <v>0</v>
      </c>
      <c r="D16" s="99">
        <f>'1.Income statement'!D15</f>
        <v>187</v>
      </c>
      <c r="E16" s="99">
        <f>'1.Income statement'!E15</f>
        <v>195</v>
      </c>
      <c r="F16" s="99">
        <f>'1.Income statement'!F15</f>
        <v>205</v>
      </c>
      <c r="G16" s="99">
        <f>'1.Income statement'!G15</f>
        <v>203</v>
      </c>
      <c r="H16" s="99">
        <f>'1.Income statement'!H15</f>
        <v>216</v>
      </c>
      <c r="I16" s="106">
        <f>'1.Income statement'!I15</f>
        <v>237</v>
      </c>
      <c r="J16" s="99">
        <f>'1.Income statement'!J15</f>
        <v>265.33440000000002</v>
      </c>
      <c r="K16" s="99">
        <f>'1.Income statement'!K15</f>
        <v>286.56115199999999</v>
      </c>
      <c r="L16" s="99">
        <f>'1.Income statement'!L15</f>
        <v>309.48604416000001</v>
      </c>
      <c r="M16" s="99">
        <f>'1.Income statement'!M15</f>
        <v>334.24492769279999</v>
      </c>
      <c r="N16" s="106">
        <f>'1.Income statement'!N15</f>
        <v>360.984521908224</v>
      </c>
      <c r="O16" s="279"/>
      <c r="P16" s="279"/>
      <c r="Q16" s="11"/>
      <c r="R16" s="1"/>
      <c r="S16" s="1"/>
      <c r="T16" s="1"/>
      <c r="U16" s="1"/>
      <c r="V16" s="1"/>
    </row>
    <row r="17" spans="2:22" ht="16" x14ac:dyDescent="0.2">
      <c r="B17" s="58" t="s">
        <v>11</v>
      </c>
      <c r="C17" s="99">
        <f>'1.Income statement'!C24</f>
        <v>0</v>
      </c>
      <c r="D17" s="99">
        <f>'1.Income statement'!D24</f>
        <v>150</v>
      </c>
      <c r="E17" s="99">
        <f>'1.Income statement'!E24</f>
        <v>152</v>
      </c>
      <c r="F17" s="99">
        <f>'1.Income statement'!F24</f>
        <v>159</v>
      </c>
      <c r="G17" s="99">
        <f>'1.Income statement'!G24</f>
        <v>154</v>
      </c>
      <c r="H17" s="99">
        <f>'1.Income statement'!H24</f>
        <v>160</v>
      </c>
      <c r="I17" s="106">
        <f>'1.Income statement'!I24</f>
        <v>185</v>
      </c>
      <c r="J17" s="99">
        <f>'1.Income statement'!J24</f>
        <v>209.17440000000002</v>
      </c>
      <c r="K17" s="99">
        <f>'1.Income statement'!K24</f>
        <v>225.90835199999998</v>
      </c>
      <c r="L17" s="99">
        <f>'1.Income statement'!L24</f>
        <v>243.98102016000001</v>
      </c>
      <c r="M17" s="99">
        <f>'1.Income statement'!M24</f>
        <v>263.49950177279999</v>
      </c>
      <c r="N17" s="106">
        <f>'1.Income statement'!N24</f>
        <v>284.57946191462401</v>
      </c>
      <c r="O17" s="279"/>
      <c r="P17" s="279"/>
      <c r="Q17" s="11"/>
      <c r="R17" s="1"/>
      <c r="S17" s="1"/>
      <c r="T17" s="1"/>
      <c r="U17" s="1"/>
      <c r="V17" s="1"/>
    </row>
    <row r="18" spans="2:22" ht="16" x14ac:dyDescent="0.2">
      <c r="B18" s="58" t="s">
        <v>12</v>
      </c>
      <c r="C18" s="99">
        <f>'2.Flujos de caja'!C15</f>
        <v>0</v>
      </c>
      <c r="D18" s="99">
        <f>'2.Flujos de caja'!D15</f>
        <v>199</v>
      </c>
      <c r="E18" s="99">
        <f>'2.Flujos de caja'!E15</f>
        <v>208</v>
      </c>
      <c r="F18" s="99">
        <f>'2.Flujos de caja'!F15</f>
        <v>218</v>
      </c>
      <c r="G18" s="99">
        <f>'2.Flujos de caja'!G15</f>
        <v>210</v>
      </c>
      <c r="H18" s="99">
        <f>'2.Flujos de caja'!H15</f>
        <v>219</v>
      </c>
      <c r="I18" s="106">
        <f>'2.Flujos de caja'!I15</f>
        <v>254</v>
      </c>
      <c r="J18" s="99">
        <f>'2.Flujos de caja'!J15</f>
        <v>283.69439999999997</v>
      </c>
      <c r="K18" s="99">
        <f>'2.Flujos de caja'!K15</f>
        <v>306.38995199999994</v>
      </c>
      <c r="L18" s="99">
        <f>'2.Flujos de caja'!L15</f>
        <v>330.90114816000005</v>
      </c>
      <c r="M18" s="99">
        <f>'2.Flujos de caja'!M15</f>
        <v>357.37324001280001</v>
      </c>
      <c r="N18" s="106">
        <f>'2.Flujos de caja'!N15</f>
        <v>385.96309921382402</v>
      </c>
      <c r="O18" s="279"/>
      <c r="P18" s="279"/>
      <c r="Q18" s="11"/>
      <c r="R18" s="1"/>
      <c r="S18" s="1"/>
      <c r="T18" s="1"/>
      <c r="U18" s="1"/>
      <c r="V18" s="1"/>
    </row>
    <row r="19" spans="2:22" ht="17" thickBot="1" x14ac:dyDescent="0.25">
      <c r="B19" s="58" t="s">
        <v>71</v>
      </c>
      <c r="C19" s="99" t="e">
        <f>'3.retornos capital'!C17/'1.Income statement'!C27</f>
        <v>#DIV/0!</v>
      </c>
      <c r="D19" s="99">
        <f>'3.retornos capital'!D17/'1.Income statement'!D27</f>
        <v>0</v>
      </c>
      <c r="E19" s="99">
        <f>'3.retornos capital'!E17/'1.Income statement'!E27</f>
        <v>31</v>
      </c>
      <c r="F19" s="99">
        <f>'3.retornos capital'!F17/'1.Income statement'!F27</f>
        <v>32.243902439024389</v>
      </c>
      <c r="G19" s="99">
        <f>'3.retornos capital'!G17/'1.Income statement'!G27</f>
        <v>33.071428571428569</v>
      </c>
      <c r="H19" s="99">
        <f>'3.retornos capital'!H17/'1.Income statement'!H27</f>
        <v>34.837209302325583</v>
      </c>
      <c r="I19" s="106">
        <f>'3.retornos capital'!I17/'1.Income statement'!I27</f>
        <v>34.590909090909093</v>
      </c>
      <c r="J19" s="99">
        <f>'3.retornos capital'!J17/'1.Income statement'!J27</f>
        <v>36.527999999999999</v>
      </c>
      <c r="K19" s="99">
        <f>'3.retornos capital'!K17/'1.Income statement'!K27</f>
        <v>38.592626086956521</v>
      </c>
      <c r="L19" s="99">
        <f>'3.retornos capital'!L17/'1.Income statement'!L27</f>
        <v>40.793226893617025</v>
      </c>
      <c r="M19" s="99">
        <f>'3.retornos capital'!M17/'1.Income statement'!M27</f>
        <v>43.138837440000003</v>
      </c>
      <c r="N19" s="170">
        <f>'3.retornos capital'!N17/'1.Income statement'!N27</f>
        <v>45.639129242644898</v>
      </c>
      <c r="O19" s="17"/>
      <c r="P19" s="17"/>
      <c r="Q19" s="11"/>
      <c r="R19" s="1"/>
      <c r="S19" s="1"/>
      <c r="T19" s="1"/>
      <c r="U19" s="1"/>
      <c r="V19" s="1"/>
    </row>
    <row r="20" spans="2:22" ht="17" thickBot="1" x14ac:dyDescent="0.25">
      <c r="B20" s="113"/>
      <c r="C20" s="114" t="s">
        <v>41</v>
      </c>
      <c r="D20" s="112" t="s">
        <v>42</v>
      </c>
      <c r="E20" s="102"/>
      <c r="F20" s="102"/>
      <c r="G20" s="102"/>
      <c r="H20" s="102"/>
      <c r="I20" s="107"/>
      <c r="J20" s="102"/>
      <c r="K20" s="102"/>
      <c r="L20" s="102"/>
      <c r="M20" s="102"/>
      <c r="N20" s="105"/>
      <c r="O20" s="287"/>
      <c r="P20" s="287"/>
      <c r="Q20" s="11"/>
      <c r="R20" s="1"/>
      <c r="S20" s="1"/>
      <c r="T20" s="1"/>
      <c r="U20" s="1"/>
      <c r="V20" s="1"/>
    </row>
    <row r="21" spans="2:22" ht="20" thickBot="1" x14ac:dyDescent="0.25">
      <c r="B21" s="23"/>
      <c r="C21" s="251"/>
      <c r="D21" s="251"/>
      <c r="E21" s="5"/>
      <c r="F21" s="5"/>
      <c r="G21" s="5"/>
      <c r="H21" s="129"/>
      <c r="I21" s="180"/>
      <c r="J21" s="15"/>
      <c r="K21" s="15"/>
      <c r="L21" s="15"/>
      <c r="M21" s="15"/>
      <c r="N21" s="108"/>
      <c r="O21" s="115"/>
      <c r="P21" s="115"/>
      <c r="Q21" s="11" t="s">
        <v>83</v>
      </c>
      <c r="R21" s="293" t="s">
        <v>82</v>
      </c>
      <c r="S21" s="1"/>
      <c r="T21" s="1"/>
      <c r="U21" s="1"/>
      <c r="V21" s="1"/>
    </row>
    <row r="22" spans="2:22" ht="20" thickBot="1" x14ac:dyDescent="0.25">
      <c r="B22" s="23" t="s">
        <v>19</v>
      </c>
      <c r="C22" s="98">
        <f>(L22/$Q$9)^(1/3)-1</f>
        <v>0.15342242713550513</v>
      </c>
      <c r="D22" s="98">
        <f>(N22/$Q$9)^(1/5)-1</f>
        <v>0.11414801976852229</v>
      </c>
      <c r="E22" s="6" t="s">
        <v>49</v>
      </c>
      <c r="F22" s="54"/>
      <c r="G22" s="54"/>
      <c r="H22" s="129"/>
      <c r="I22" s="180">
        <f>IF(--I11&lt;0,(I18*$Q$22-I11),IF(--I11&gt;0,I18*$Q$22))/'1.Income statement'!I27</f>
        <v>92.36363636363636</v>
      </c>
      <c r="J22" s="129">
        <f>IF(--J11&lt;0,(J18*$Q$22-J11),IF(--J11&gt;0,J18*$Q$22))/'1.Income statement'!J27</f>
        <v>100.86912</v>
      </c>
      <c r="K22" s="129">
        <f>IF(--K11&lt;0,(K18*$Q$22-K11),IF(--K11&gt;0,K18*$Q$22))/'1.Income statement'!K27</f>
        <v>106.57041808695649</v>
      </c>
      <c r="L22" s="129">
        <f>IF(--L11&lt;0,(L18*$Q$22-L11),IF(--L11&gt;0,L18*$Q$22))/'1.Income statement'!L27</f>
        <v>112.64719937361704</v>
      </c>
      <c r="M22" s="129">
        <f>IF(--M11&lt;0,(M18*$Q$22-M11),IF(--M11&gt;0,M18*$Q$22))/'1.Income statement'!M27</f>
        <v>119.1244133376</v>
      </c>
      <c r="N22" s="180">
        <f>IF(--N11&lt;0,(N18*$Q$22-N11),IF(--N11&gt;0,N18*$Q$22))/'1.Income statement'!N27</f>
        <v>126.02876709022826</v>
      </c>
      <c r="O22" s="280" t="s">
        <v>23</v>
      </c>
      <c r="P22" s="280"/>
      <c r="Q22" s="8">
        <v>16</v>
      </c>
      <c r="R22" s="294">
        <f>Q9/'1.Income statement'!I26</f>
        <v>17.459675675675676</v>
      </c>
      <c r="S22" s="1"/>
      <c r="T22" s="1"/>
      <c r="U22" s="1"/>
      <c r="V22" s="1"/>
    </row>
    <row r="23" spans="2:22" ht="20" thickBot="1" x14ac:dyDescent="0.25">
      <c r="B23" s="23" t="s">
        <v>20</v>
      </c>
      <c r="C23" s="98">
        <f>(L23/$Q$9)^(1/3)-1</f>
        <v>0.11824844905293563</v>
      </c>
      <c r="D23" s="98">
        <f>(N23/$Q$9)^(1/5)-1</f>
        <v>9.7477132053376048E-2</v>
      </c>
      <c r="E23" s="6" t="s">
        <v>18</v>
      </c>
      <c r="F23" s="54"/>
      <c r="G23" s="54"/>
      <c r="H23" s="129"/>
      <c r="I23" s="180">
        <f>((I15*$Q$23)-I11)/'1.Income statement'!I27</f>
        <v>83.272727272727266</v>
      </c>
      <c r="J23" s="129">
        <f>((J15*$Q$23)-J11)/'1.Income statement'!J27</f>
        <v>90.213120000000004</v>
      </c>
      <c r="K23" s="129">
        <f>((K15*$Q$23)-K11)/'1.Income statement'!K27</f>
        <v>96.172991999999994</v>
      </c>
      <c r="L23" s="129">
        <f>((L15*$Q$23)-L11)/'1.Income statement'!L27</f>
        <v>102.65264345872342</v>
      </c>
      <c r="M23" s="129">
        <f>((M15*$Q$23)-M11)/'1.Income statement'!M27</f>
        <v>109.47183712426666</v>
      </c>
      <c r="N23" s="180">
        <f>((N15*$Q$23)-N11)/'1.Income statement'!N27</f>
        <v>116.87795992902009</v>
      </c>
      <c r="O23" s="280" t="s">
        <v>24</v>
      </c>
      <c r="P23" s="280"/>
      <c r="Q23" s="8">
        <v>16</v>
      </c>
      <c r="R23" s="294">
        <f>I14/I15</f>
        <v>14.643875</v>
      </c>
      <c r="S23" s="1"/>
      <c r="T23" s="1"/>
      <c r="U23" s="1"/>
      <c r="V23" s="1"/>
    </row>
    <row r="24" spans="2:22" ht="20" thickBot="1" x14ac:dyDescent="0.25">
      <c r="B24" s="24" t="s">
        <v>75</v>
      </c>
      <c r="C24" s="98">
        <f>(L24/$Q$9)^(1/3)-1</f>
        <v>3.5827915025343549E-2</v>
      </c>
      <c r="D24" s="98">
        <f>(N24/$Q$9)^(1/5)-1</f>
        <v>4.4533623070631245E-2</v>
      </c>
      <c r="E24" s="110" t="s">
        <v>72</v>
      </c>
      <c r="F24" s="109"/>
      <c r="G24" s="109"/>
      <c r="H24" s="167"/>
      <c r="I24" s="201">
        <f>I19*$Q$24</f>
        <v>69.181818181818187</v>
      </c>
      <c r="J24" s="200">
        <f>J19*$Q$24</f>
        <v>73.055999999999997</v>
      </c>
      <c r="K24" s="167">
        <f t="shared" ref="K24:N24" si="1">K19*$Q$24</f>
        <v>77.185252173913042</v>
      </c>
      <c r="L24" s="167">
        <f t="shared" si="1"/>
        <v>81.586453787234049</v>
      </c>
      <c r="M24" s="167">
        <f t="shared" si="1"/>
        <v>86.277674880000006</v>
      </c>
      <c r="N24" s="111">
        <f t="shared" si="1"/>
        <v>91.278258485289797</v>
      </c>
      <c r="O24" s="280" t="s">
        <v>73</v>
      </c>
      <c r="P24" s="280"/>
      <c r="Q24" s="8">
        <v>2</v>
      </c>
      <c r="R24" s="294">
        <f>Q9/I19</f>
        <v>2.1222339027595267</v>
      </c>
      <c r="S24" s="1"/>
      <c r="T24" s="1"/>
      <c r="U24" s="1"/>
      <c r="V24" s="1"/>
    </row>
    <row r="25" spans="2:22" ht="16" x14ac:dyDescent="0.2">
      <c r="B25" s="4"/>
      <c r="C25" s="3"/>
      <c r="D25" s="3"/>
      <c r="E25" s="3"/>
      <c r="F25" s="3"/>
      <c r="G25" s="3"/>
      <c r="H25" s="3"/>
      <c r="I25" s="3"/>
      <c r="J25" s="3"/>
      <c r="K25" s="3"/>
      <c r="L25" s="3"/>
      <c r="M25" s="3"/>
      <c r="N25" s="3"/>
      <c r="O25" s="1"/>
      <c r="P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7"/>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1" workbookViewId="0">
      <selection activeCell="A19" sqref="A19:XFD21"/>
    </sheetView>
  </sheetViews>
  <sheetFormatPr baseColWidth="10" defaultRowHeight="15" x14ac:dyDescent="0.2"/>
  <cols>
    <col min="2" max="2" width="105.1640625" customWidth="1"/>
    <col min="9" max="9" width="11.5" customWidth="1"/>
  </cols>
  <sheetData>
    <row r="3" spans="2:9" ht="51" customHeight="1" x14ac:dyDescent="0.2">
      <c r="B3" s="151" t="s">
        <v>62</v>
      </c>
      <c r="C3" s="148"/>
      <c r="D3" s="148"/>
      <c r="E3" s="148"/>
      <c r="F3" s="148"/>
      <c r="G3" s="148"/>
    </row>
    <row r="4" spans="2:9" ht="46.5" customHeight="1" x14ac:dyDescent="0.2">
      <c r="B4" s="150" t="s">
        <v>50</v>
      </c>
      <c r="C4" s="145"/>
      <c r="D4" s="145"/>
      <c r="E4" s="135"/>
      <c r="F4" s="145"/>
      <c r="G4" s="145"/>
      <c r="H4" s="145"/>
      <c r="I4" s="149"/>
    </row>
    <row r="5" spans="2:9" ht="21" customHeight="1" x14ac:dyDescent="0.2">
      <c r="B5" s="146"/>
      <c r="C5" s="145"/>
      <c r="D5" s="145"/>
      <c r="E5" s="145"/>
      <c r="F5" s="145"/>
      <c r="G5" s="145"/>
      <c r="H5" s="145"/>
      <c r="I5" s="149"/>
    </row>
    <row r="6" spans="2:9" ht="21" customHeight="1" x14ac:dyDescent="0.2">
      <c r="B6" s="288" t="s">
        <v>63</v>
      </c>
      <c r="C6" s="288"/>
      <c r="D6" s="288"/>
      <c r="E6" s="288"/>
      <c r="F6" s="288"/>
      <c r="G6" s="288"/>
      <c r="H6" s="288"/>
      <c r="I6" s="288"/>
    </row>
    <row r="7" spans="2:9" ht="21" customHeight="1" thickBot="1" x14ac:dyDescent="0.3">
      <c r="B7" s="137"/>
      <c r="C7" s="137"/>
      <c r="D7" s="137"/>
      <c r="E7" s="137"/>
      <c r="F7" s="137"/>
      <c r="G7" s="137"/>
      <c r="H7" s="137"/>
      <c r="I7" s="137"/>
    </row>
    <row r="8" spans="2:9" ht="57" customHeight="1" thickBot="1" x14ac:dyDescent="0.3">
      <c r="B8" s="154" t="s">
        <v>64</v>
      </c>
      <c r="C8" s="137"/>
      <c r="D8" s="137"/>
      <c r="E8" s="137"/>
      <c r="F8" s="137"/>
      <c r="G8" s="137"/>
      <c r="H8" s="137"/>
      <c r="I8" s="137"/>
    </row>
    <row r="9" spans="2:9" s="135" customFormat="1" ht="21" customHeight="1" x14ac:dyDescent="0.2">
      <c r="B9" s="142" t="s">
        <v>52</v>
      </c>
      <c r="C9" s="139"/>
      <c r="D9" s="139"/>
      <c r="E9" s="139"/>
      <c r="F9" s="139"/>
      <c r="G9" s="139"/>
      <c r="H9" s="139"/>
      <c r="I9" s="139"/>
    </row>
    <row r="10" spans="2:9" s="135" customFormat="1" ht="21" customHeight="1" x14ac:dyDescent="0.2">
      <c r="B10" s="140" t="s">
        <v>57</v>
      </c>
      <c r="C10" s="139"/>
      <c r="D10" s="139"/>
      <c r="E10" s="139"/>
      <c r="F10" s="139"/>
      <c r="G10" s="139"/>
      <c r="H10" s="139"/>
      <c r="I10" s="139"/>
    </row>
    <row r="11" spans="2:9" s="135" customFormat="1" ht="21" customHeight="1" x14ac:dyDescent="0.2">
      <c r="B11" s="140" t="s">
        <v>53</v>
      </c>
      <c r="C11" s="139"/>
      <c r="D11" s="139"/>
      <c r="E11" s="139"/>
      <c r="F11" s="139"/>
      <c r="G11" s="139"/>
      <c r="H11" s="139"/>
      <c r="I11" s="139"/>
    </row>
    <row r="12" spans="2:9" s="135" customFormat="1" ht="21" customHeight="1" x14ac:dyDescent="0.2">
      <c r="B12" s="140" t="s">
        <v>54</v>
      </c>
      <c r="C12" s="139"/>
      <c r="D12" s="139"/>
      <c r="E12" s="139"/>
      <c r="F12" s="139"/>
      <c r="G12" s="139"/>
      <c r="H12" s="139"/>
      <c r="I12" s="139"/>
    </row>
    <row r="13" spans="2:9" s="135" customFormat="1" ht="21" customHeight="1" x14ac:dyDescent="0.2">
      <c r="B13" s="140" t="s">
        <v>56</v>
      </c>
      <c r="C13" s="139"/>
      <c r="D13" s="139"/>
      <c r="E13" s="139"/>
      <c r="F13" s="139"/>
      <c r="G13" s="139"/>
      <c r="H13" s="139"/>
      <c r="I13" s="139"/>
    </row>
    <row r="14" spans="2:9" s="135" customFormat="1" ht="21" customHeight="1" x14ac:dyDescent="0.2">
      <c r="B14" s="140" t="s">
        <v>70</v>
      </c>
      <c r="C14" s="139"/>
      <c r="D14" s="139"/>
      <c r="E14" s="139"/>
      <c r="F14" s="139"/>
      <c r="G14" s="139"/>
      <c r="H14" s="139"/>
      <c r="I14" s="139"/>
    </row>
    <row r="15" spans="2:9" s="135" customFormat="1" ht="18" customHeight="1" x14ac:dyDescent="0.2">
      <c r="B15" s="289" t="s">
        <v>55</v>
      </c>
      <c r="C15" s="139"/>
      <c r="D15" s="139"/>
      <c r="E15" s="139"/>
      <c r="F15" s="139"/>
      <c r="G15" s="139"/>
      <c r="H15" s="139"/>
      <c r="I15" s="139"/>
    </row>
    <row r="16" spans="2:9" s="135" customFormat="1" ht="39" customHeight="1" thickBot="1" x14ac:dyDescent="0.25">
      <c r="B16" s="290"/>
      <c r="C16" s="139"/>
      <c r="D16" s="139"/>
      <c r="E16" s="139"/>
      <c r="F16" s="139"/>
      <c r="G16" s="139"/>
      <c r="H16" s="139"/>
      <c r="I16" s="139"/>
    </row>
    <row r="17" spans="2:9" s="135" customFormat="1" ht="57" customHeight="1" thickBot="1" x14ac:dyDescent="0.25">
      <c r="B17" s="155" t="s">
        <v>65</v>
      </c>
      <c r="C17" s="136"/>
      <c r="D17" s="136"/>
      <c r="E17" s="136"/>
      <c r="F17" s="136"/>
      <c r="G17" s="136"/>
      <c r="H17" s="136"/>
      <c r="I17" s="136"/>
    </row>
    <row r="18" spans="2:9" s="135" customFormat="1" ht="23.25" customHeight="1" thickBot="1" x14ac:dyDescent="0.25">
      <c r="B18" s="152" t="s">
        <v>68</v>
      </c>
      <c r="C18" s="138"/>
      <c r="D18" s="138"/>
      <c r="E18" s="138"/>
      <c r="F18" s="138"/>
      <c r="G18" s="138"/>
      <c r="H18" s="138"/>
      <c r="I18" s="138"/>
    </row>
    <row r="19" spans="2:9" ht="57" customHeight="1" thickBot="1" x14ac:dyDescent="0.25">
      <c r="B19" s="155" t="s">
        <v>66</v>
      </c>
      <c r="C19" s="138"/>
      <c r="D19" s="138"/>
      <c r="E19" s="138"/>
      <c r="F19" s="138"/>
      <c r="G19" s="138"/>
      <c r="H19" s="138"/>
      <c r="I19" s="138"/>
    </row>
    <row r="20" spans="2:9" ht="21" customHeight="1" x14ac:dyDescent="0.2">
      <c r="B20" s="291" t="s">
        <v>58</v>
      </c>
      <c r="C20" s="135"/>
      <c r="D20" s="135"/>
      <c r="E20" s="135"/>
      <c r="F20" s="135"/>
      <c r="G20" s="135"/>
      <c r="H20" s="135"/>
      <c r="I20" s="135"/>
    </row>
    <row r="21" spans="2:9" ht="21" customHeight="1" x14ac:dyDescent="0.2">
      <c r="B21" s="289"/>
      <c r="C21" s="138"/>
      <c r="D21" s="138"/>
      <c r="E21" s="138"/>
      <c r="F21" s="138"/>
      <c r="G21" s="138"/>
      <c r="H21" s="138"/>
      <c r="I21" s="138"/>
    </row>
    <row r="22" spans="2:9" ht="33" customHeight="1" thickBot="1" x14ac:dyDescent="0.25">
      <c r="B22" s="290"/>
      <c r="C22" s="138"/>
      <c r="D22" s="138"/>
      <c r="E22" s="138"/>
      <c r="F22" s="138"/>
      <c r="G22" s="138"/>
      <c r="H22" s="138"/>
      <c r="I22" s="138"/>
    </row>
    <row r="23" spans="2:9" ht="57" customHeight="1" thickBot="1" x14ac:dyDescent="0.25">
      <c r="B23" s="155" t="s">
        <v>67</v>
      </c>
      <c r="C23" s="138"/>
      <c r="D23" s="138"/>
      <c r="E23" s="138"/>
      <c r="F23" s="138"/>
      <c r="G23" s="138"/>
      <c r="H23" s="138"/>
      <c r="I23" s="138"/>
    </row>
    <row r="24" spans="2:9" ht="35.25" customHeight="1" x14ac:dyDescent="0.2">
      <c r="B24" s="142" t="s">
        <v>69</v>
      </c>
      <c r="C24" s="138"/>
      <c r="D24" s="138"/>
      <c r="E24" s="138"/>
      <c r="F24" s="138"/>
      <c r="G24" s="138"/>
      <c r="H24" s="138"/>
      <c r="I24" s="138"/>
    </row>
    <row r="25" spans="2:9" ht="72" customHeight="1" thickBot="1" x14ac:dyDescent="0.25">
      <c r="B25" s="141" t="s">
        <v>59</v>
      </c>
      <c r="C25" s="138"/>
      <c r="D25" s="138"/>
      <c r="E25" s="138"/>
      <c r="F25" s="138"/>
      <c r="G25" s="138"/>
      <c r="H25" s="138"/>
      <c r="I25" s="138"/>
    </row>
    <row r="26" spans="2:9" ht="26.25" customHeight="1" x14ac:dyDescent="0.2">
      <c r="B26" s="144"/>
      <c r="C26" s="138"/>
      <c r="D26" s="138"/>
      <c r="E26" s="138"/>
      <c r="F26" s="138"/>
      <c r="G26" s="138"/>
      <c r="H26" s="138"/>
      <c r="I26" s="138"/>
    </row>
    <row r="27" spans="2:9" ht="21" x14ac:dyDescent="0.25">
      <c r="B27" s="153" t="s">
        <v>61</v>
      </c>
      <c r="C27" s="143"/>
      <c r="D27" s="143"/>
      <c r="E27" s="143"/>
    </row>
    <row r="28" spans="2:9" ht="61.5" customHeight="1" x14ac:dyDescent="0.2">
      <c r="B28" s="147" t="s">
        <v>60</v>
      </c>
      <c r="C28" s="145"/>
      <c r="D28" s="145"/>
      <c r="E28" s="145"/>
      <c r="F28" s="145"/>
      <c r="G28" s="145"/>
      <c r="H28" s="145"/>
      <c r="I28" s="145"/>
    </row>
    <row r="29" spans="2:9" ht="28.5" customHeight="1" x14ac:dyDescent="0.2">
      <c r="B29" s="292"/>
      <c r="C29" s="292"/>
      <c r="D29" s="292"/>
      <c r="E29" s="292"/>
      <c r="F29" s="292"/>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2021-05-02T23:13:17Z</dcterms:modified>
</cp:coreProperties>
</file>