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13_ncr:1_{2ECB7E20-0137-1A47-87B5-0C72B68C50B5}" xr6:coauthVersionLast="46" xr6:coauthVersionMax="46" xr10:uidLastSave="{00000000-0000-0000-0000-000000000000}"/>
  <bookViews>
    <workbookView xWindow="13720" yWindow="0" windowWidth="11880" windowHeight="1600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3" l="1"/>
  <c r="H18" i="3"/>
  <c r="I19" i="1"/>
  <c r="K27" i="1"/>
  <c r="L27" i="1" s="1"/>
  <c r="M27" i="1" s="1"/>
  <c r="N27" i="1" s="1"/>
  <c r="J27" i="1"/>
  <c r="G16" i="1"/>
  <c r="H16" i="1"/>
  <c r="I16" i="1"/>
  <c r="B2" i="5"/>
  <c r="B2" i="2"/>
  <c r="D18" i="3"/>
  <c r="E18" i="3"/>
  <c r="F18" i="3"/>
  <c r="G18" i="3"/>
  <c r="C18" i="3"/>
  <c r="I12" i="1" l="1"/>
  <c r="J10" i="1" l="1"/>
  <c r="J15" i="1" s="1"/>
  <c r="J16" i="1" s="1"/>
  <c r="J11" i="1"/>
  <c r="E14" i="2" l="1"/>
  <c r="F14" i="2"/>
  <c r="G14" i="2"/>
  <c r="H14" i="2"/>
  <c r="I14" i="2"/>
  <c r="D14" i="2"/>
  <c r="C14" i="2"/>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21" i="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K10" i="1"/>
  <c r="K15" i="1" s="1"/>
  <c r="K16" i="1" s="1"/>
  <c r="H21" i="1"/>
  <c r="M11" i="2" l="1"/>
  <c r="L18" i="3"/>
  <c r="L13" i="5"/>
  <c r="L19" i="3"/>
  <c r="J22" i="3"/>
  <c r="K16" i="5"/>
  <c r="K24" i="5" s="1"/>
  <c r="K10" i="3"/>
  <c r="J12" i="5"/>
  <c r="J15" i="5"/>
  <c r="J23" i="5" s="1"/>
  <c r="J13" i="1"/>
  <c r="L12" i="2"/>
  <c r="K11" i="3"/>
  <c r="M17" i="3"/>
  <c r="N15" i="3"/>
  <c r="K12" i="2"/>
  <c r="K12" i="1"/>
  <c r="L10" i="1"/>
  <c r="L15" i="1" s="1"/>
  <c r="L16"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M16" i="1" s="1"/>
  <c r="L12" i="1"/>
  <c r="N18" i="3" l="1"/>
  <c r="N13" i="5"/>
  <c r="N19" i="3"/>
  <c r="L22" i="3"/>
  <c r="D17" i="5"/>
  <c r="M11" i="3"/>
  <c r="L15" i="5"/>
  <c r="L23" i="5" s="1"/>
  <c r="C23" i="5" s="1"/>
  <c r="L12" i="5"/>
  <c r="L13" i="1"/>
  <c r="M16" i="5"/>
  <c r="M24" i="5" s="1"/>
  <c r="M10" i="3"/>
  <c r="E17" i="5"/>
  <c r="N10" i="1"/>
  <c r="N15" i="1" s="1"/>
  <c r="M12" i="1"/>
  <c r="M12" i="5" s="1"/>
  <c r="N11" i="3" l="1"/>
  <c r="N12" i="2"/>
  <c r="N16" i="5"/>
  <c r="N24" i="5" s="1"/>
  <c r="D24" i="5" s="1"/>
  <c r="N10" i="3"/>
  <c r="N22" i="3" s="1"/>
  <c r="M22" i="3"/>
  <c r="M23" i="3"/>
  <c r="M15" i="5"/>
  <c r="M23" i="5" s="1"/>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N28" i="1" s="1"/>
  <c r="L26" i="1"/>
  <c r="L28" i="1" s="1"/>
  <c r="L25" i="1"/>
  <c r="J26" i="1"/>
  <c r="J28" i="1" s="1"/>
  <c r="M26" i="1"/>
  <c r="M25" i="1"/>
  <c r="J25" i="1"/>
  <c r="M28" i="1" l="1"/>
  <c r="K28" i="1"/>
  <c r="J16" i="2"/>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<sst xmlns="http://schemas.openxmlformats.org/spreadsheetml/2006/main" count="91" uniqueCount="85">
  <si>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</si>
  <si>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</si>
  <si>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</si>
  <si>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</si>
  <si>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</si>
  <si>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</si>
  <si>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</si>
  <si>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</si>
  <si>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</si>
  <si>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</si>
  <si>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</si>
  <si>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</si>
  <si>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</si>
  <si>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</si>
  <si>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</si>
  <si>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</si>
  <si>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</si>
  <si>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</si>
  <si>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</si>
  <si>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</si>
  <si>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</si>
  <si>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</si>
  <si>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</si>
  <si>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</si>
  <si>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</si>
  <si>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</si>
  <si>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</si>
  <si>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</si>
  <si>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</si>
  <si>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</si>
  <si>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</si>
  <si>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</si>
  <si>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</si>
  <si>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</si>
  <si>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</si>
  <si>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</si>
  <si>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</si>
  <si>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</si>
  <si>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</si>
  <si>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</si>
  <si>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</si>
  <si>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</si>
  <si>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</si>
  <si>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</si>
  <si>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</si>
  <si>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</si>
  <si>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</si>
  <si>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</si>
  <si>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</si>
  <si>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</si>
  <si>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</si>
  <si>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</si>
  <si>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</si>
  <si>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</si>
  <si>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</si>
  <si>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</si>
  <si>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</si>
  <si>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</si>
  <si>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</si>
  <si>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</si>
  <si>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</si>
  <si>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</si>
  <si>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</si>
  <si>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</si>
  <si>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</si>
  <si>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</si>
  <si>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</si>
  <si>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</si>
  <si>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</si>
  <si>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</si>
  <si>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</si>
  <si>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</si>
  <si>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</si>
  <si>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</si>
  <si>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</si>
  <si>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</si>
  <si>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</si>
  <si>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</si>
  <si>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</si>
  <si>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</si>
  <si>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</si>
  <si>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</si>
  <si>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</si>
  <si>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AUTOZONE</t>
  </si>
  <si>
    <t>NIKE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</si>
</sst>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6">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13">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22"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4"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2"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6" fontId="8"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38" fontId="17" fillId="5" borderId="45" xfId="0" applyNumberFormat="1" applyFont="1" applyFill="1" applyBorder="1" applyAlignment="1">
      <alignment horizontal="center" vertical="center"/>
    </xf>
    <xf numFmtId="165"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12"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42"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9" fontId="17" fillId="4" borderId="0" xfId="1" applyFont="1" applyFill="1" applyBorder="1" applyAlignment="1" applyProtection="1">
      <alignment horizontal="center"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44.324324324324323</c:v>
                </c:pt>
                <c:pt idx="1">
                  <c:v>43.330132735426005</c:v>
                </c:pt>
                <c:pt idx="2">
                  <c:v>48.660292323971255</c:v>
                </c:pt>
                <c:pt idx="3">
                  <c:v>54.263030797681537</c:v>
                </c:pt>
                <c:pt idx="4">
                  <c:v>60.803672371025684</c:v>
                </c:pt>
                <c:pt idx="5">
                  <c:v>67.609826677986717</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J3" zoomScale="110" zoomScaleNormal="110" workbookViewId="0">
      <selection activeCell="J28" sqref="J28"/>
    </sheetView>
  </sheetViews>
  <sheetFormatPr baseColWidth="10" defaultColWidth="11.5" defaultRowHeight="16" outlineLevelRow="1" x14ac:dyDescent="0.2"/>
  <cols>
    <col min="1" max="1" width="3.33203125" style="42" customWidth="1"/>
    <col min="2" max="2" width="42.33203125" style="31" customWidth="1"/>
    <col min="3" max="14" width="11" style="73" customWidth="1"/>
    <col min="15" max="15" width="14.5" style="42" customWidth="1"/>
    <col min="16" max="16384" width="11.5" style="42"/>
  </cols>
  <sheetData>
    <row r="1" spans="2:19" ht="17" thickBot="1" x14ac:dyDescent="0.25"/>
    <row r="2" spans="2:19" ht="30" customHeight="1" x14ac:dyDescent="0.2">
      <c r="B2" s="268" t="s">
        <v>84</v>
      </c>
      <c r="C2" s="271"/>
      <c r="D2" s="272"/>
      <c r="E2" s="272"/>
      <c r="F2" s="272"/>
      <c r="G2" s="272"/>
      <c r="H2" s="272"/>
      <c r="I2" s="272"/>
      <c r="J2" s="272"/>
      <c r="K2" s="272"/>
      <c r="L2" s="272"/>
      <c r="M2" s="272"/>
      <c r="N2" s="273"/>
      <c r="O2" s="24"/>
      <c r="P2" s="24"/>
      <c r="Q2" s="14"/>
      <c r="R2" s="14"/>
    </row>
    <row r="3" spans="2:19" ht="16" customHeight="1" x14ac:dyDescent="0.2">
      <c r="B3" s="269"/>
      <c r="C3" s="274"/>
      <c r="D3" s="275"/>
      <c r="E3" s="275"/>
      <c r="F3" s="275"/>
      <c r="G3" s="275"/>
      <c r="H3" s="275"/>
      <c r="I3" s="275"/>
      <c r="J3" s="275"/>
      <c r="K3" s="275"/>
      <c r="L3" s="275"/>
      <c r="M3" s="275"/>
      <c r="N3" s="276"/>
      <c r="O3" s="24"/>
      <c r="P3" s="24"/>
      <c r="Q3" s="14"/>
      <c r="R3" s="14"/>
    </row>
    <row r="4" spans="2:19" ht="16" customHeight="1" x14ac:dyDescent="0.2">
      <c r="B4" s="269"/>
      <c r="C4" s="274"/>
      <c r="D4" s="275"/>
      <c r="E4" s="275"/>
      <c r="F4" s="275"/>
      <c r="G4" s="275"/>
      <c r="H4" s="275"/>
      <c r="I4" s="275"/>
      <c r="J4" s="275"/>
      <c r="K4" s="275"/>
      <c r="L4" s="275"/>
      <c r="M4" s="275"/>
      <c r="N4" s="276"/>
      <c r="O4" s="24"/>
      <c r="P4" s="24"/>
      <c r="Q4" s="14"/>
      <c r="R4" s="14"/>
    </row>
    <row r="5" spans="2:19" ht="16" customHeight="1" x14ac:dyDescent="0.2">
      <c r="B5" s="269"/>
      <c r="C5" s="274"/>
      <c r="D5" s="275"/>
      <c r="E5" s="275"/>
      <c r="F5" s="275"/>
      <c r="G5" s="275"/>
      <c r="H5" s="275"/>
      <c r="I5" s="275"/>
      <c r="J5" s="275"/>
      <c r="K5" s="275"/>
      <c r="L5" s="275"/>
      <c r="M5" s="275"/>
      <c r="N5" s="276"/>
      <c r="O5" s="24"/>
      <c r="P5" s="24"/>
      <c r="Q5" s="14"/>
      <c r="R5" s="14"/>
    </row>
    <row r="6" spans="2:19" ht="16" customHeight="1" x14ac:dyDescent="0.2">
      <c r="B6" s="269"/>
      <c r="C6" s="274"/>
      <c r="D6" s="275"/>
      <c r="E6" s="275"/>
      <c r="F6" s="275"/>
      <c r="G6" s="275"/>
      <c r="H6" s="275"/>
      <c r="I6" s="275"/>
      <c r="J6" s="275"/>
      <c r="K6" s="275"/>
      <c r="L6" s="275"/>
      <c r="M6" s="275"/>
      <c r="N6" s="276"/>
      <c r="O6" s="24"/>
      <c r="P6" s="24"/>
      <c r="Q6" s="14"/>
    </row>
    <row r="7" spans="2:19" ht="16" customHeight="1" thickBot="1" x14ac:dyDescent="0.25">
      <c r="B7" s="269"/>
      <c r="C7" s="277"/>
      <c r="D7" s="278"/>
      <c r="E7" s="278"/>
      <c r="F7" s="278"/>
      <c r="G7" s="278"/>
      <c r="H7" s="278"/>
      <c r="I7" s="278"/>
      <c r="J7" s="278"/>
      <c r="K7" s="278"/>
      <c r="L7" s="278"/>
      <c r="M7" s="278"/>
      <c r="N7" s="279"/>
      <c r="O7" s="24"/>
      <c r="P7" s="24"/>
      <c r="Q7" s="14"/>
    </row>
    <row r="8" spans="2:19" ht="16" customHeight="1" thickBot="1" x14ac:dyDescent="0.25">
      <c r="B8" s="270"/>
      <c r="C8" s="32">
        <v>2014</v>
      </c>
      <c r="D8" s="33">
        <v>2015</v>
      </c>
      <c r="E8" s="33">
        <v>2016</v>
      </c>
      <c r="F8" s="33">
        <v>2017</v>
      </c>
      <c r="G8" s="33">
        <v>2018</v>
      </c>
      <c r="H8" s="33">
        <v>2019</v>
      </c>
      <c r="I8" s="177">
        <v>2020</v>
      </c>
      <c r="J8" s="105">
        <v>2021</v>
      </c>
      <c r="K8" s="105">
        <v>2022</v>
      </c>
      <c r="L8" s="105">
        <v>2023</v>
      </c>
      <c r="M8" s="105">
        <v>2024</v>
      </c>
      <c r="N8" s="106">
        <v>2025</v>
      </c>
      <c r="O8" s="14"/>
      <c r="P8" s="14"/>
      <c r="Q8" s="14"/>
    </row>
    <row r="9" spans="2:19" ht="16" customHeight="1" x14ac:dyDescent="0.2">
      <c r="B9" s="69" t="s">
        <v>36</v>
      </c>
      <c r="C9" s="74"/>
      <c r="D9" s="75"/>
      <c r="E9" s="75"/>
      <c r="F9" s="75"/>
      <c r="G9" s="75"/>
      <c r="H9" s="75"/>
      <c r="I9" s="180"/>
      <c r="J9" s="75"/>
      <c r="K9" s="75"/>
      <c r="L9" s="75"/>
      <c r="M9" s="76"/>
      <c r="N9" s="77"/>
      <c r="O9" s="14"/>
      <c r="P9" s="14"/>
      <c r="Q9" s="14"/>
    </row>
    <row r="10" spans="2:19" ht="16" customHeight="1" thickBot="1" x14ac:dyDescent="0.25">
      <c r="B10" s="64" t="s">
        <v>15</v>
      </c>
      <c r="C10" s="243"/>
      <c r="D10" s="243"/>
      <c r="E10" s="243"/>
      <c r="F10" s="243"/>
      <c r="G10" s="243">
        <v>36397</v>
      </c>
      <c r="H10" s="248">
        <v>39117</v>
      </c>
      <c r="I10" s="181">
        <v>37403</v>
      </c>
      <c r="J10" s="78">
        <f t="shared" ref="J10:N10" si="0">(I10*$P$11)+I10</f>
        <v>40769.269999999997</v>
      </c>
      <c r="K10" s="78">
        <f t="shared" si="0"/>
        <v>44438.504299999993</v>
      </c>
      <c r="L10" s="78">
        <f t="shared" si="0"/>
        <v>48437.96968699999</v>
      </c>
      <c r="M10" s="78">
        <f t="shared" si="0"/>
        <v>52797.386958829986</v>
      </c>
      <c r="N10" s="79">
        <f t="shared" si="0"/>
        <v>57549.151785124683</v>
      </c>
      <c r="O10" s="14"/>
      <c r="P10" s="14"/>
      <c r="Q10" s="14"/>
    </row>
    <row r="11" spans="2:19" ht="15.75" customHeight="1" thickBot="1" x14ac:dyDescent="0.25">
      <c r="B11" s="210" t="s">
        <v>35</v>
      </c>
      <c r="C11" s="81" t="e">
        <f>(C10-#REF!)/#REF!</f>
        <v>#REF!</v>
      </c>
      <c r="D11" s="81" t="e">
        <f t="shared" ref="D11" si="1">(D10-C10)/C10</f>
        <v>#DIV/0!</v>
      </c>
      <c r="E11" s="81" t="e">
        <f t="shared" ref="E11" si="2">(E10-D10)/D10</f>
        <v>#DIV/0!</v>
      </c>
      <c r="F11" s="81" t="e">
        <f t="shared" ref="F11" si="3">(F10-E10)/E10</f>
        <v>#DIV/0!</v>
      </c>
      <c r="G11" s="81" t="e">
        <f t="shared" ref="G11" si="4">(G10-F10)/F10</f>
        <v>#DIV/0!</v>
      </c>
      <c r="H11" s="81">
        <f t="shared" ref="H11:I11" si="5">(H10-G10)/G10</f>
        <v>7.4731433909388134E-2</v>
      </c>
      <c r="I11" s="81">
        <f t="shared" si="5"/>
        <v>-4.3817266150267146E-2</v>
      </c>
      <c r="J11" s="190">
        <f t="shared" ref="J11:N11" si="6">$P$11</f>
        <v>0.09</v>
      </c>
      <c r="K11" s="81">
        <f t="shared" si="6"/>
        <v>0.09</v>
      </c>
      <c r="L11" s="81">
        <f t="shared" si="6"/>
        <v>0.09</v>
      </c>
      <c r="M11" s="81">
        <f t="shared" si="6"/>
        <v>0.09</v>
      </c>
      <c r="N11" s="82">
        <f t="shared" si="6"/>
        <v>0.09</v>
      </c>
      <c r="O11" s="43" t="s">
        <v>33</v>
      </c>
      <c r="P11" s="10">
        <v>0.09</v>
      </c>
      <c r="Q11" s="14"/>
      <c r="S11"/>
    </row>
    <row r="12" spans="2:19" ht="16" customHeight="1" x14ac:dyDescent="0.2">
      <c r="B12" s="212" t="s">
        <v>6</v>
      </c>
      <c r="C12" s="85">
        <f t="shared" ref="C12:I12" si="7">C15+C14</f>
        <v>0</v>
      </c>
      <c r="D12" s="85">
        <f t="shared" si="7"/>
        <v>0</v>
      </c>
      <c r="E12" s="85">
        <f t="shared" si="7"/>
        <v>0</v>
      </c>
      <c r="F12" s="85">
        <f t="shared" si="7"/>
        <v>0</v>
      </c>
      <c r="G12" s="85">
        <f t="shared" si="7"/>
        <v>5192</v>
      </c>
      <c r="H12" s="206">
        <f t="shared" si="7"/>
        <v>5477</v>
      </c>
      <c r="I12" s="206">
        <f t="shared" si="7"/>
        <v>3836</v>
      </c>
      <c r="J12" s="253">
        <f t="shared" ref="J12:N12" si="8">J15+J14</f>
        <v>4047.4315999999999</v>
      </c>
      <c r="K12" s="85">
        <f t="shared" si="8"/>
        <v>4411.7004439999992</v>
      </c>
      <c r="L12" s="85">
        <f t="shared" si="8"/>
        <v>4808.7534839599994</v>
      </c>
      <c r="M12" s="85">
        <f t="shared" si="8"/>
        <v>5241.541297516399</v>
      </c>
      <c r="N12" s="86">
        <f t="shared" si="8"/>
        <v>5713.2800142928745</v>
      </c>
      <c r="O12" s="14"/>
      <c r="P12" s="18"/>
      <c r="Q12" s="14"/>
    </row>
    <row r="13" spans="2:19" ht="16" customHeight="1" x14ac:dyDescent="0.2">
      <c r="B13" s="210" t="s">
        <v>16</v>
      </c>
      <c r="C13" s="81" t="e">
        <f>(C12/C10)</f>
        <v>#DIV/0!</v>
      </c>
      <c r="D13" s="81" t="e">
        <f>(D12/D10)</f>
        <v>#DIV/0!</v>
      </c>
      <c r="E13" s="81" t="e">
        <f>(E12/E10)</f>
        <v>#DIV/0!</v>
      </c>
      <c r="F13" s="81" t="e">
        <f>(F12/F10)</f>
        <v>#DIV/0!</v>
      </c>
      <c r="G13" s="81">
        <f>(G12/G10)</f>
        <v>0.1426491194329203</v>
      </c>
      <c r="H13" s="81">
        <f t="shared" ref="H13:I13" si="9">(H12/H10)</f>
        <v>0.14001584988623872</v>
      </c>
      <c r="I13" s="82">
        <f t="shared" si="9"/>
        <v>0.10255861829265032</v>
      </c>
      <c r="J13" s="190">
        <f>J12/J10</f>
        <v>9.9276528620698884E-2</v>
      </c>
      <c r="K13" s="81">
        <f>K12/K10</f>
        <v>9.927652862069887E-2</v>
      </c>
      <c r="L13" s="81">
        <f>L12/L10</f>
        <v>9.9276528620698884E-2</v>
      </c>
      <c r="M13" s="81">
        <f>M12/M10</f>
        <v>9.9276528620698884E-2</v>
      </c>
      <c r="N13" s="82">
        <f>N12/N10</f>
        <v>9.9276528620698884E-2</v>
      </c>
      <c r="O13" s="14"/>
      <c r="P13" s="14"/>
      <c r="Q13" s="14"/>
    </row>
    <row r="14" spans="2:19" ht="16" customHeight="1" thickBot="1" x14ac:dyDescent="0.25">
      <c r="B14" s="209" t="s">
        <v>0</v>
      </c>
      <c r="C14" s="243"/>
      <c r="D14" s="243"/>
      <c r="E14" s="243"/>
      <c r="F14" s="243"/>
      <c r="G14" s="243">
        <v>747</v>
      </c>
      <c r="H14" s="249">
        <v>705</v>
      </c>
      <c r="I14" s="237">
        <v>721</v>
      </c>
      <c r="J14" s="235">
        <f>(I14*$P$11)+I14</f>
        <v>785.89</v>
      </c>
      <c r="K14" s="233">
        <f t="shared" ref="K14:N14" si="10">(J14*$P$11)+J14</f>
        <v>856.62009999999998</v>
      </c>
      <c r="L14" s="235">
        <f t="shared" si="10"/>
        <v>933.71590900000001</v>
      </c>
      <c r="M14" s="215">
        <f t="shared" si="10"/>
        <v>1017.75034081</v>
      </c>
      <c r="N14" s="235">
        <f t="shared" si="10"/>
        <v>1109.3478714829</v>
      </c>
      <c r="O14" s="216"/>
      <c r="P14" s="14"/>
      <c r="Q14" s="14"/>
    </row>
    <row r="15" spans="2:19" ht="16" customHeight="1" outlineLevel="1" thickBot="1" x14ac:dyDescent="0.25">
      <c r="B15" s="64" t="s">
        <v>7</v>
      </c>
      <c r="C15" s="150"/>
      <c r="D15" s="150"/>
      <c r="E15" s="150"/>
      <c r="F15" s="150"/>
      <c r="G15" s="150">
        <v>4445</v>
      </c>
      <c r="H15" s="150">
        <v>4772</v>
      </c>
      <c r="I15" s="182">
        <v>3115</v>
      </c>
      <c r="J15" s="78">
        <f>J10*$P$16</f>
        <v>3261.5416</v>
      </c>
      <c r="K15" s="78">
        <f>K10*$P$16</f>
        <v>3555.0803439999995</v>
      </c>
      <c r="L15" s="78">
        <f>L10*$P$16</f>
        <v>3875.0375749599993</v>
      </c>
      <c r="M15" s="78">
        <f>M10*$P$16</f>
        <v>4223.7909567063989</v>
      </c>
      <c r="N15" s="79">
        <f>N10*$P$16</f>
        <v>4603.9321428099747</v>
      </c>
      <c r="O15" s="14"/>
      <c r="P15" s="14"/>
      <c r="Q15" s="14"/>
    </row>
    <row r="16" spans="2:19" ht="16" customHeight="1" outlineLevel="1" thickBot="1" x14ac:dyDescent="0.25">
      <c r="B16" s="210" t="s">
        <v>17</v>
      </c>
      <c r="C16" s="239" t="e">
        <f t="shared" ref="C16:I16" si="11">(C15/C10)</f>
        <v>#DIV/0!</v>
      </c>
      <c r="D16" s="239" t="e">
        <f t="shared" si="11"/>
        <v>#DIV/0!</v>
      </c>
      <c r="E16" s="239" t="e">
        <f t="shared" si="11"/>
        <v>#DIV/0!</v>
      </c>
      <c r="F16" s="239" t="e">
        <f t="shared" si="11"/>
        <v>#DIV/0!</v>
      </c>
      <c r="G16" s="239">
        <f>(G15/G10)</f>
        <v>0.12212544989971701</v>
      </c>
      <c r="H16" s="239">
        <f t="shared" si="11"/>
        <v>0.12199299537285579</v>
      </c>
      <c r="I16" s="240">
        <f t="shared" si="11"/>
        <v>8.3282089671951443E-2</v>
      </c>
      <c r="J16" s="241">
        <f t="shared" ref="J16:N16" si="12">(J15/J10)</f>
        <v>0.08</v>
      </c>
      <c r="K16" s="241">
        <f t="shared" si="12"/>
        <v>0.08</v>
      </c>
      <c r="L16" s="241">
        <f t="shared" si="12"/>
        <v>0.08</v>
      </c>
      <c r="M16" s="241">
        <f t="shared" si="12"/>
        <v>0.08</v>
      </c>
      <c r="N16" s="242">
        <f t="shared" si="12"/>
        <v>0.08</v>
      </c>
      <c r="O16" s="43" t="s">
        <v>32</v>
      </c>
      <c r="P16" s="17">
        <v>0.08</v>
      </c>
      <c r="Q16" s="14"/>
    </row>
    <row r="17" spans="2:17" ht="16" customHeight="1" outlineLevel="1" x14ac:dyDescent="0.2">
      <c r="B17" s="280" t="s">
        <v>55</v>
      </c>
      <c r="C17" s="244"/>
      <c r="D17" s="244"/>
      <c r="E17" s="244"/>
      <c r="F17" s="244"/>
      <c r="G17" s="244">
        <v>54</v>
      </c>
      <c r="H17" s="250">
        <v>49</v>
      </c>
      <c r="I17" s="192">
        <v>89</v>
      </c>
      <c r="J17" s="138">
        <f>(I17*$P$11)+I17</f>
        <v>97.01</v>
      </c>
      <c r="K17" s="138">
        <f t="shared" ref="K17:N17" si="13">(J17*$P$11)+J17</f>
        <v>105.74090000000001</v>
      </c>
      <c r="L17" s="138">
        <f t="shared" si="13"/>
        <v>115.25758100000002</v>
      </c>
      <c r="M17" s="138">
        <f t="shared" si="13"/>
        <v>125.63076329000002</v>
      </c>
      <c r="N17" s="139">
        <f t="shared" si="13"/>
        <v>136.93753198610003</v>
      </c>
      <c r="O17" s="14"/>
      <c r="P17" s="14"/>
      <c r="Q17" s="14"/>
    </row>
    <row r="18" spans="2:17" ht="16" customHeight="1" outlineLevel="1" thickBot="1" x14ac:dyDescent="0.25">
      <c r="B18" s="281"/>
      <c r="C18" s="183"/>
      <c r="D18" s="183"/>
      <c r="E18" s="183"/>
      <c r="F18" s="183"/>
      <c r="G18" s="191"/>
      <c r="H18" s="191"/>
      <c r="I18" s="184"/>
      <c r="J18" s="84"/>
      <c r="K18" s="84"/>
      <c r="L18" s="84"/>
      <c r="M18" s="84"/>
      <c r="N18" s="90"/>
      <c r="O18" s="14"/>
      <c r="P18" s="14"/>
      <c r="Q18" s="14"/>
    </row>
    <row r="19" spans="2:17" ht="16" customHeight="1" thickBot="1" x14ac:dyDescent="0.25">
      <c r="B19" s="208" t="s">
        <v>1</v>
      </c>
      <c r="C19" s="178">
        <f t="shared" ref="C19:I19" si="14">C15-C17</f>
        <v>0</v>
      </c>
      <c r="D19" s="178">
        <f t="shared" si="14"/>
        <v>0</v>
      </c>
      <c r="E19" s="178">
        <f t="shared" si="14"/>
        <v>0</v>
      </c>
      <c r="F19" s="178">
        <f t="shared" si="14"/>
        <v>0</v>
      </c>
      <c r="G19" s="178">
        <f t="shared" si="14"/>
        <v>4391</v>
      </c>
      <c r="H19" s="178">
        <f t="shared" si="14"/>
        <v>4723</v>
      </c>
      <c r="I19" s="179">
        <f t="shared" si="14"/>
        <v>3026</v>
      </c>
      <c r="J19" s="91">
        <f t="shared" ref="J19:N19" si="15">J15-J17-J18</f>
        <v>3164.5315999999998</v>
      </c>
      <c r="K19" s="91">
        <f t="shared" si="15"/>
        <v>3449.3394439999993</v>
      </c>
      <c r="L19" s="91">
        <f t="shared" si="15"/>
        <v>3759.7799939599995</v>
      </c>
      <c r="M19" s="91">
        <f t="shared" si="15"/>
        <v>4098.1601934163991</v>
      </c>
      <c r="N19" s="92">
        <f t="shared" si="15"/>
        <v>4466.9946108238746</v>
      </c>
      <c r="O19" s="14"/>
      <c r="P19" s="14"/>
      <c r="Q19" s="14"/>
    </row>
    <row r="20" spans="2:17" ht="16" customHeight="1" collapsed="1" thickBot="1" x14ac:dyDescent="0.25">
      <c r="B20" s="209" t="s">
        <v>2</v>
      </c>
      <c r="C20" s="244"/>
      <c r="D20" s="244"/>
      <c r="E20" s="244"/>
      <c r="F20" s="244"/>
      <c r="G20" s="244">
        <v>2392</v>
      </c>
      <c r="H20" s="251">
        <v>772</v>
      </c>
      <c r="I20" s="193">
        <v>348</v>
      </c>
      <c r="J20" s="88">
        <f>J19*J21</f>
        <v>664.55163599999992</v>
      </c>
      <c r="K20" s="88">
        <f t="shared" ref="K20:N20" si="16">K19*K21</f>
        <v>724.36128323999981</v>
      </c>
      <c r="L20" s="88">
        <f t="shared" si="16"/>
        <v>789.55379873159984</v>
      </c>
      <c r="M20" s="88">
        <f t="shared" si="16"/>
        <v>860.61364061744382</v>
      </c>
      <c r="N20" s="89">
        <f t="shared" si="16"/>
        <v>938.06886827301366</v>
      </c>
      <c r="O20" s="14"/>
      <c r="P20" s="14"/>
      <c r="Q20" s="14"/>
    </row>
    <row r="21" spans="2:17" ht="16" customHeight="1" thickBot="1" x14ac:dyDescent="0.25">
      <c r="B21" s="210" t="s">
        <v>10</v>
      </c>
      <c r="C21" s="188" t="e">
        <f>(C20/C19)</f>
        <v>#DIV/0!</v>
      </c>
      <c r="D21" s="188" t="e">
        <f>(D20/D19)</f>
        <v>#DIV/0!</v>
      </c>
      <c r="E21" s="188" t="e">
        <f>(E20/E19)</f>
        <v>#DIV/0!</v>
      </c>
      <c r="F21" s="188" t="e">
        <f>(F20/F19)</f>
        <v>#DIV/0!</v>
      </c>
      <c r="G21" s="188">
        <f>(G20/G19)</f>
        <v>0.54475062628102933</v>
      </c>
      <c r="H21" s="188">
        <f t="shared" ref="H21:I21" si="17">(H20/H19)</f>
        <v>0.16345543087020961</v>
      </c>
      <c r="I21" s="189">
        <f t="shared" si="17"/>
        <v>0.11500330469266358</v>
      </c>
      <c r="J21" s="80">
        <f>$P$21</f>
        <v>0.21</v>
      </c>
      <c r="K21" s="80">
        <f t="shared" ref="K21:N21" si="18">$P$21</f>
        <v>0.21</v>
      </c>
      <c r="L21" s="80">
        <f t="shared" si="18"/>
        <v>0.21</v>
      </c>
      <c r="M21" s="80">
        <f t="shared" si="18"/>
        <v>0.21</v>
      </c>
      <c r="N21" s="87">
        <f t="shared" si="18"/>
        <v>0.21</v>
      </c>
      <c r="O21" s="43" t="s">
        <v>34</v>
      </c>
      <c r="P21" s="11">
        <v>0.21</v>
      </c>
      <c r="Q21" s="14"/>
    </row>
    <row r="22" spans="2:17" ht="16" customHeight="1" thickBot="1" x14ac:dyDescent="0.25">
      <c r="B22" s="211" t="s">
        <v>3</v>
      </c>
      <c r="C22" s="187">
        <f>C19-C20</f>
        <v>0</v>
      </c>
      <c r="D22" s="187">
        <f>D19-D20</f>
        <v>0</v>
      </c>
      <c r="E22" s="187">
        <f>E19-E20</f>
        <v>0</v>
      </c>
      <c r="F22" s="187">
        <f>F19-F20</f>
        <v>0</v>
      </c>
      <c r="G22" s="187">
        <f>G19-G20</f>
        <v>1999</v>
      </c>
      <c r="H22" s="207">
        <f t="shared" ref="H22:I22" si="19">H19-H20</f>
        <v>3951</v>
      </c>
      <c r="I22" s="194">
        <f t="shared" si="19"/>
        <v>2678</v>
      </c>
      <c r="J22" s="93">
        <f t="shared" ref="J22:N22" si="20">J19-J20</f>
        <v>2499.9799640000001</v>
      </c>
      <c r="K22" s="93">
        <f t="shared" si="20"/>
        <v>2724.9781607599994</v>
      </c>
      <c r="L22" s="93">
        <f t="shared" si="20"/>
        <v>2970.2261952283998</v>
      </c>
      <c r="M22" s="93">
        <f t="shared" si="20"/>
        <v>3237.5465527989554</v>
      </c>
      <c r="N22" s="94">
        <f t="shared" si="20"/>
        <v>3528.9257425508608</v>
      </c>
      <c r="O22" s="14"/>
      <c r="P22" s="14"/>
      <c r="Q22" s="14"/>
    </row>
    <row r="23" spans="2:17" ht="16" customHeight="1" thickBot="1" x14ac:dyDescent="0.25">
      <c r="B23" s="209" t="s">
        <v>4</v>
      </c>
      <c r="C23" s="157"/>
      <c r="D23" s="157"/>
      <c r="E23" s="157"/>
      <c r="F23" s="157"/>
      <c r="G23" s="157">
        <v>0</v>
      </c>
      <c r="H23" s="157">
        <v>0</v>
      </c>
      <c r="I23" s="157">
        <v>0</v>
      </c>
      <c r="J23" s="236">
        <f>I23*(1+$P$11)</f>
        <v>0</v>
      </c>
      <c r="K23" s="83">
        <f t="shared" ref="K23:N23" si="21">J23*(1+$P$11)</f>
        <v>0</v>
      </c>
      <c r="L23" s="83">
        <f t="shared" si="21"/>
        <v>0</v>
      </c>
      <c r="M23" s="83">
        <f t="shared" si="21"/>
        <v>0</v>
      </c>
      <c r="N23" s="204">
        <f t="shared" si="21"/>
        <v>0</v>
      </c>
      <c r="O23" s="14"/>
      <c r="P23" s="14"/>
      <c r="Q23" s="14"/>
    </row>
    <row r="24" spans="2:17" ht="16" customHeight="1" x14ac:dyDescent="0.2">
      <c r="B24" s="212" t="s">
        <v>5</v>
      </c>
      <c r="C24" s="185">
        <f>C22-C23</f>
        <v>0</v>
      </c>
      <c r="D24" s="185">
        <f>D22-D23</f>
        <v>0</v>
      </c>
      <c r="E24" s="185">
        <f>E22-E23</f>
        <v>0</v>
      </c>
      <c r="F24" s="185">
        <f>F22-F23</f>
        <v>0</v>
      </c>
      <c r="G24" s="185">
        <f>G22-G23</f>
        <v>1999</v>
      </c>
      <c r="H24" s="185">
        <f t="shared" ref="H24:I24" si="22">H22-H23</f>
        <v>3951</v>
      </c>
      <c r="I24" s="186">
        <f t="shared" si="22"/>
        <v>2678</v>
      </c>
      <c r="J24" s="95">
        <f t="shared" ref="J24:N24" si="23">J22-J23</f>
        <v>2499.9799640000001</v>
      </c>
      <c r="K24" s="95">
        <f t="shared" si="23"/>
        <v>2724.9781607599994</v>
      </c>
      <c r="L24" s="95">
        <f t="shared" si="23"/>
        <v>2970.2261952283998</v>
      </c>
      <c r="M24" s="95">
        <f t="shared" si="23"/>
        <v>3237.5465527989554</v>
      </c>
      <c r="N24" s="96">
        <f t="shared" si="23"/>
        <v>3528.9257425508608</v>
      </c>
      <c r="O24" s="14"/>
      <c r="P24" s="14"/>
      <c r="Q24" s="14"/>
    </row>
    <row r="25" spans="2:17" ht="16" customHeight="1" x14ac:dyDescent="0.2">
      <c r="B25" s="210" t="s">
        <v>37</v>
      </c>
      <c r="C25" s="80" t="e">
        <f t="shared" ref="C25:I25" si="24">C24/C10</f>
        <v>#DIV/0!</v>
      </c>
      <c r="D25" s="80" t="e">
        <f t="shared" si="24"/>
        <v>#DIV/0!</v>
      </c>
      <c r="E25" s="80" t="e">
        <f t="shared" si="24"/>
        <v>#DIV/0!</v>
      </c>
      <c r="F25" s="80" t="e">
        <f t="shared" si="24"/>
        <v>#DIV/0!</v>
      </c>
      <c r="G25" s="80">
        <f t="shared" si="24"/>
        <v>5.4922108965024592E-2</v>
      </c>
      <c r="H25" s="80">
        <f t="shared" si="24"/>
        <v>0.10100467827287368</v>
      </c>
      <c r="I25" s="87">
        <f t="shared" si="24"/>
        <v>7.1598534876881531E-2</v>
      </c>
      <c r="J25" s="80">
        <f t="shared" ref="J25:N25" si="25">J24/J10</f>
        <v>6.1320204261690249E-2</v>
      </c>
      <c r="K25" s="80">
        <f t="shared" si="25"/>
        <v>6.1320204261690235E-2</v>
      </c>
      <c r="L25" s="80">
        <f t="shared" si="25"/>
        <v>6.1320204261690249E-2</v>
      </c>
      <c r="M25" s="80">
        <f t="shared" si="25"/>
        <v>6.1320204261690242E-2</v>
      </c>
      <c r="N25" s="87">
        <f t="shared" si="25"/>
        <v>6.1320204261690235E-2</v>
      </c>
      <c r="O25" s="14"/>
      <c r="P25" s="14"/>
      <c r="Q25" s="14"/>
    </row>
    <row r="26" spans="2:17" ht="16" customHeight="1" x14ac:dyDescent="0.2">
      <c r="B26" s="64" t="s">
        <v>18</v>
      </c>
      <c r="C26" s="97" t="e">
        <f>C24/C27</f>
        <v>#DIV/0!</v>
      </c>
      <c r="D26" s="97" t="e">
        <f>D24/D27</f>
        <v>#DIV/0!</v>
      </c>
      <c r="E26" s="97" t="e">
        <f>E24/E27</f>
        <v>#DIV/0!</v>
      </c>
      <c r="F26" s="97" t="e">
        <f>F24/F27</f>
        <v>#DIV/0!</v>
      </c>
      <c r="G26" s="97">
        <f>G24/G27</f>
        <v>1.2049427365883063</v>
      </c>
      <c r="H26" s="97">
        <f t="shared" ref="H26:I26" si="26">H24/H27</f>
        <v>2.4419035846724353</v>
      </c>
      <c r="I26" s="98">
        <f t="shared" si="26"/>
        <v>1.683218101822753</v>
      </c>
      <c r="J26" s="97">
        <f>J24/J27</f>
        <v>1.6015246406149906</v>
      </c>
      <c r="K26" s="97">
        <f t="shared" ref="K26:N26" si="27">K24/K27</f>
        <v>1.779868165094709</v>
      </c>
      <c r="L26" s="97">
        <f>L24/L27</f>
        <v>1.9788315757684209</v>
      </c>
      <c r="M26" s="97">
        <f t="shared" si="27"/>
        <v>2.2009153995914041</v>
      </c>
      <c r="N26" s="98">
        <f t="shared" si="27"/>
        <v>2.448942222450285</v>
      </c>
      <c r="O26" s="14"/>
      <c r="P26" s="14"/>
      <c r="Q26" s="14"/>
    </row>
    <row r="27" spans="2:17" ht="16" customHeight="1" thickBot="1" x14ac:dyDescent="0.25">
      <c r="B27" s="70" t="s">
        <v>56</v>
      </c>
      <c r="C27" s="252"/>
      <c r="D27" s="245"/>
      <c r="E27" s="245"/>
      <c r="F27" s="245"/>
      <c r="G27" s="245">
        <v>1659</v>
      </c>
      <c r="H27" s="245">
        <v>1618</v>
      </c>
      <c r="I27" s="100">
        <v>1591</v>
      </c>
      <c r="J27" s="99">
        <f>I27-30</f>
        <v>1561</v>
      </c>
      <c r="K27" s="99">
        <f t="shared" ref="K27:N27" si="28">J27-30</f>
        <v>1531</v>
      </c>
      <c r="L27" s="99">
        <f t="shared" si="28"/>
        <v>1501</v>
      </c>
      <c r="M27" s="99">
        <f t="shared" si="28"/>
        <v>1471</v>
      </c>
      <c r="N27" s="99">
        <f t="shared" si="28"/>
        <v>1441</v>
      </c>
      <c r="O27" s="216"/>
      <c r="P27" s="14"/>
      <c r="Q27" s="14"/>
    </row>
    <row r="28" spans="2:17" ht="16" customHeight="1" x14ac:dyDescent="0.2">
      <c r="B28" s="71"/>
      <c r="C28" s="83"/>
      <c r="D28" s="83"/>
      <c r="E28" s="83"/>
      <c r="F28" s="83"/>
      <c r="G28" s="83"/>
      <c r="H28" s="83"/>
      <c r="I28" s="83"/>
      <c r="J28" s="265">
        <f>(J26-I26)/I26</f>
        <v>-4.8534091404611665E-2</v>
      </c>
      <c r="K28" s="265">
        <f t="shared" ref="K28:N28" si="29">(K26-J26)/J26</f>
        <v>0.11135858915741315</v>
      </c>
      <c r="L28" s="265">
        <f t="shared" si="29"/>
        <v>0.11178547634910074</v>
      </c>
      <c r="M28" s="265">
        <f t="shared" si="29"/>
        <v>0.11222977566281429</v>
      </c>
      <c r="N28" s="265">
        <f t="shared" si="29"/>
        <v>0.1126925746009713</v>
      </c>
      <c r="O28" s="14"/>
      <c r="P28" s="14"/>
      <c r="Q28" s="14"/>
    </row>
    <row r="29" spans="2:17" ht="16" customHeight="1" x14ac:dyDescent="0.2">
      <c r="B29" s="71"/>
      <c r="C29" s="84"/>
      <c r="D29" s="84"/>
      <c r="E29" s="84"/>
      <c r="F29" s="84"/>
      <c r="G29" s="84"/>
      <c r="H29" s="84"/>
      <c r="I29" s="84"/>
      <c r="J29" s="83"/>
      <c r="K29" s="83"/>
      <c r="L29" s="84"/>
      <c r="M29" s="101"/>
      <c r="N29" s="101"/>
      <c r="O29" s="14"/>
      <c r="P29" s="14"/>
      <c r="Q29" s="14"/>
    </row>
    <row r="30" spans="2:17" ht="16" customHeight="1" x14ac:dyDescent="0.2">
      <c r="B30" s="71"/>
      <c r="C30" s="83"/>
      <c r="D30" s="83"/>
      <c r="E30" s="83"/>
      <c r="F30" s="83"/>
      <c r="G30" s="83"/>
      <c r="H30" s="83"/>
      <c r="I30" s="83"/>
      <c r="J30" s="83"/>
      <c r="K30" s="83"/>
      <c r="L30" s="83"/>
      <c r="M30" s="101"/>
      <c r="N30" s="101"/>
      <c r="O30" s="14"/>
      <c r="P30" s="14"/>
      <c r="Q30" s="14"/>
    </row>
    <row r="31" spans="2:17" ht="16" customHeight="1" x14ac:dyDescent="0.2">
      <c r="B31" s="266"/>
      <c r="C31" s="266"/>
      <c r="D31" s="266"/>
      <c r="E31" s="266"/>
      <c r="F31" s="266"/>
      <c r="G31" s="266"/>
      <c r="H31" s="266"/>
      <c r="I31" s="266"/>
      <c r="J31" s="266"/>
      <c r="K31" s="266"/>
      <c r="L31" s="266"/>
      <c r="M31" s="102"/>
      <c r="N31" s="101"/>
      <c r="O31" s="14"/>
      <c r="P31" s="14"/>
      <c r="Q31" s="14"/>
    </row>
    <row r="32" spans="2:17" ht="16" customHeight="1" x14ac:dyDescent="0.2">
      <c r="B32" s="71"/>
      <c r="C32" s="83"/>
      <c r="D32" s="83"/>
      <c r="E32" s="83"/>
      <c r="F32" s="83"/>
      <c r="G32" s="83"/>
      <c r="H32" s="83"/>
      <c r="I32" s="83"/>
      <c r="J32" s="83"/>
      <c r="K32" s="83"/>
      <c r="L32" s="83"/>
      <c r="M32" s="102"/>
      <c r="N32" s="101"/>
    </row>
    <row r="33" spans="2:14" ht="16" customHeight="1" x14ac:dyDescent="0.2">
      <c r="B33" s="71"/>
      <c r="C33" s="78"/>
      <c r="D33" s="78"/>
      <c r="E33" s="78"/>
      <c r="F33" s="78"/>
      <c r="G33" s="78"/>
      <c r="H33" s="78"/>
      <c r="I33" s="78"/>
      <c r="J33" s="83"/>
      <c r="K33" s="83"/>
      <c r="L33" s="83"/>
      <c r="M33" s="102"/>
      <c r="N33" s="101"/>
    </row>
    <row r="34" spans="2:14" ht="16" customHeight="1" x14ac:dyDescent="0.2">
      <c r="B34" s="72"/>
      <c r="C34" s="97"/>
      <c r="D34" s="97"/>
      <c r="E34" s="97"/>
      <c r="F34" s="97"/>
      <c r="G34" s="97"/>
      <c r="H34" s="97"/>
      <c r="I34" s="97"/>
      <c r="J34" s="97"/>
      <c r="K34" s="97"/>
      <c r="L34" s="97"/>
      <c r="M34" s="102"/>
      <c r="N34" s="101"/>
    </row>
    <row r="35" spans="2:14" ht="16" customHeight="1" x14ac:dyDescent="0.2">
      <c r="B35" s="71"/>
      <c r="C35" s="83"/>
      <c r="D35" s="83"/>
      <c r="E35" s="83"/>
      <c r="F35" s="83"/>
      <c r="G35" s="83"/>
      <c r="H35" s="84"/>
      <c r="I35" s="83"/>
      <c r="J35" s="83"/>
      <c r="K35" s="83"/>
      <c r="L35" s="83"/>
      <c r="M35" s="102"/>
      <c r="N35" s="101"/>
    </row>
    <row r="36" spans="2:14" ht="16" customHeight="1" x14ac:dyDescent="0.2">
      <c r="B36" s="71"/>
      <c r="C36" s="83"/>
      <c r="D36" s="84"/>
      <c r="E36" s="84"/>
      <c r="F36" s="83"/>
      <c r="G36" s="83"/>
      <c r="H36" s="83"/>
      <c r="I36" s="83"/>
      <c r="J36" s="83"/>
      <c r="K36" s="83"/>
      <c r="L36" s="83"/>
      <c r="M36" s="102"/>
      <c r="N36" s="101"/>
    </row>
    <row r="37" spans="2:14" ht="16" customHeight="1" x14ac:dyDescent="0.2">
      <c r="B37" s="72"/>
      <c r="C37" s="97"/>
      <c r="D37" s="97"/>
      <c r="E37" s="97"/>
      <c r="F37" s="97"/>
      <c r="G37" s="97"/>
      <c r="H37" s="97"/>
      <c r="I37" s="97"/>
      <c r="J37" s="97"/>
      <c r="K37" s="97"/>
      <c r="L37" s="97"/>
      <c r="M37" s="102"/>
      <c r="N37" s="101"/>
    </row>
    <row r="38" spans="2:14" ht="16" customHeight="1" x14ac:dyDescent="0.2">
      <c r="B38" s="71"/>
      <c r="C38" s="83"/>
      <c r="D38" s="83"/>
      <c r="E38" s="83"/>
      <c r="F38" s="83"/>
      <c r="G38" s="83"/>
      <c r="H38" s="83"/>
      <c r="I38" s="83"/>
      <c r="J38" s="83"/>
      <c r="K38" s="83"/>
      <c r="L38" s="83"/>
      <c r="M38" s="102"/>
      <c r="N38" s="101"/>
    </row>
    <row r="39" spans="2:14" ht="16" customHeight="1" x14ac:dyDescent="0.2">
      <c r="B39" s="71"/>
      <c r="C39" s="84"/>
      <c r="D39" s="83"/>
      <c r="E39" s="83"/>
      <c r="F39" s="83"/>
      <c r="G39" s="83"/>
      <c r="H39" s="83"/>
      <c r="I39" s="83"/>
      <c r="J39" s="83"/>
      <c r="K39" s="83"/>
      <c r="L39" s="83"/>
      <c r="M39" s="102"/>
      <c r="N39" s="101"/>
    </row>
    <row r="40" spans="2:14" ht="16" customHeight="1" x14ac:dyDescent="0.2">
      <c r="B40" s="71"/>
      <c r="C40" s="83"/>
      <c r="D40" s="83"/>
      <c r="E40" s="83"/>
      <c r="F40" s="83"/>
      <c r="G40" s="84"/>
      <c r="H40" s="83"/>
      <c r="I40" s="83"/>
      <c r="J40" s="83"/>
      <c r="K40" s="83"/>
      <c r="L40" s="83"/>
      <c r="M40" s="102"/>
      <c r="N40" s="101"/>
    </row>
    <row r="41" spans="2:14" ht="16" customHeight="1" x14ac:dyDescent="0.2">
      <c r="B41" s="71"/>
      <c r="C41" s="84"/>
      <c r="D41" s="84"/>
      <c r="E41" s="83"/>
      <c r="F41" s="83"/>
      <c r="G41" s="83"/>
      <c r="H41" s="83"/>
      <c r="I41" s="83"/>
      <c r="J41" s="83"/>
      <c r="K41" s="83"/>
      <c r="L41" s="83"/>
      <c r="M41" s="102"/>
      <c r="N41" s="101"/>
    </row>
    <row r="42" spans="2:14" ht="16" customHeight="1" x14ac:dyDescent="0.2">
      <c r="B42" s="72"/>
      <c r="C42" s="97"/>
      <c r="D42" s="97"/>
      <c r="E42" s="97"/>
      <c r="F42" s="97"/>
      <c r="G42" s="103"/>
      <c r="H42" s="97"/>
      <c r="I42" s="97"/>
      <c r="J42" s="97"/>
      <c r="K42" s="97"/>
      <c r="L42" s="97"/>
      <c r="M42" s="102"/>
      <c r="N42" s="101"/>
    </row>
    <row r="43" spans="2:14" ht="16" customHeight="1" x14ac:dyDescent="0.2">
      <c r="B43" s="267"/>
      <c r="C43" s="267"/>
      <c r="D43" s="267"/>
      <c r="E43" s="267"/>
      <c r="F43" s="267"/>
      <c r="G43" s="267"/>
      <c r="H43" s="267"/>
      <c r="I43" s="267"/>
      <c r="J43" s="267"/>
      <c r="K43" s="267"/>
      <c r="L43" s="267"/>
      <c r="M43" s="101"/>
      <c r="N43" s="101"/>
    </row>
    <row r="44" spans="2:14" ht="16" customHeight="1" x14ac:dyDescent="0.2">
      <c r="B44" s="71"/>
      <c r="C44" s="83"/>
      <c r="D44" s="83"/>
      <c r="E44" s="83"/>
      <c r="F44" s="83"/>
      <c r="G44" s="83"/>
      <c r="H44" s="83"/>
      <c r="I44" s="83"/>
      <c r="J44" s="83"/>
      <c r="K44" s="83"/>
      <c r="L44" s="83"/>
      <c r="M44" s="101"/>
      <c r="N44" s="101"/>
    </row>
    <row r="45" spans="2:14" ht="16" customHeight="1" x14ac:dyDescent="0.2">
      <c r="B45" s="71"/>
      <c r="C45" s="83"/>
      <c r="D45" s="83"/>
      <c r="E45" s="83"/>
      <c r="F45" s="83"/>
      <c r="G45" s="84"/>
      <c r="H45" s="83"/>
      <c r="I45" s="83"/>
      <c r="J45" s="83"/>
      <c r="K45" s="83"/>
      <c r="L45" s="83"/>
      <c r="M45" s="101"/>
      <c r="N45" s="101"/>
    </row>
    <row r="46" spans="2:14" ht="16" customHeight="1" x14ac:dyDescent="0.2">
      <c r="B46" s="71"/>
      <c r="C46" s="83"/>
      <c r="D46" s="83"/>
      <c r="E46" s="83"/>
      <c r="F46" s="83"/>
      <c r="G46" s="83"/>
      <c r="H46" s="83"/>
      <c r="I46" s="83"/>
      <c r="J46" s="83"/>
      <c r="K46" s="83"/>
      <c r="L46" s="83"/>
      <c r="M46" s="101"/>
      <c r="N46" s="101"/>
    </row>
  </sheetData>
  <mergeCells count="5">
    <mergeCell ref="B31:L31"/>
    <mergeCell ref="B43:L43"/>
    <mergeCell ref="B2:B8"/>
    <mergeCell ref="C2:N7"/>
    <mergeCell ref="B17:B1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B14" sqref="B14"/>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8" t="str">
        <f>'1.Income statement'!B2</f>
        <v>NIKE</v>
      </c>
      <c r="C2" s="283"/>
      <c r="D2" s="284"/>
      <c r="E2" s="284"/>
      <c r="F2" s="284"/>
      <c r="G2" s="284"/>
      <c r="H2" s="284"/>
      <c r="I2" s="284"/>
      <c r="J2" s="284"/>
      <c r="K2" s="284"/>
      <c r="L2" s="284"/>
      <c r="M2" s="284"/>
      <c r="N2" s="285"/>
    </row>
    <row r="3" spans="2:15" ht="15" customHeight="1" x14ac:dyDescent="0.2">
      <c r="B3" s="269"/>
      <c r="C3" s="286"/>
      <c r="D3" s="287"/>
      <c r="E3" s="287"/>
      <c r="F3" s="287"/>
      <c r="G3" s="287"/>
      <c r="H3" s="287"/>
      <c r="I3" s="287"/>
      <c r="J3" s="287"/>
      <c r="K3" s="287"/>
      <c r="L3" s="287"/>
      <c r="M3" s="287"/>
      <c r="N3" s="288"/>
    </row>
    <row r="4" spans="2:15" ht="15" customHeight="1" x14ac:dyDescent="0.2">
      <c r="B4" s="269"/>
      <c r="C4" s="286"/>
      <c r="D4" s="287"/>
      <c r="E4" s="287"/>
      <c r="F4" s="287"/>
      <c r="G4" s="287"/>
      <c r="H4" s="287"/>
      <c r="I4" s="287"/>
      <c r="J4" s="287"/>
      <c r="K4" s="287"/>
      <c r="L4" s="287"/>
      <c r="M4" s="287"/>
      <c r="N4" s="288"/>
    </row>
    <row r="5" spans="2:15" ht="15" customHeight="1" x14ac:dyDescent="0.2">
      <c r="B5" s="269"/>
      <c r="C5" s="286"/>
      <c r="D5" s="287"/>
      <c r="E5" s="287"/>
      <c r="F5" s="287"/>
      <c r="G5" s="287"/>
      <c r="H5" s="287"/>
      <c r="I5" s="287"/>
      <c r="J5" s="287"/>
      <c r="K5" s="287"/>
      <c r="L5" s="287"/>
      <c r="M5" s="287"/>
      <c r="N5" s="288"/>
    </row>
    <row r="6" spans="2:15" ht="15" customHeight="1" x14ac:dyDescent="0.2">
      <c r="B6" s="269"/>
      <c r="C6" s="286"/>
      <c r="D6" s="287"/>
      <c r="E6" s="287"/>
      <c r="F6" s="287"/>
      <c r="G6" s="287"/>
      <c r="H6" s="287"/>
      <c r="I6" s="287"/>
      <c r="J6" s="287"/>
      <c r="K6" s="287"/>
      <c r="L6" s="287"/>
      <c r="M6" s="287"/>
      <c r="N6" s="288"/>
    </row>
    <row r="7" spans="2:15" ht="48.75" customHeight="1" thickBot="1" x14ac:dyDescent="0.25">
      <c r="B7" s="269"/>
      <c r="C7" s="286"/>
      <c r="D7" s="287"/>
      <c r="E7" s="287"/>
      <c r="F7" s="287"/>
      <c r="G7" s="287"/>
      <c r="H7" s="287"/>
      <c r="I7" s="287"/>
      <c r="J7" s="287"/>
      <c r="K7" s="287"/>
      <c r="L7" s="287"/>
      <c r="M7" s="287"/>
      <c r="N7" s="288"/>
    </row>
    <row r="8" spans="2:15" ht="18.75" customHeight="1" thickBot="1" x14ac:dyDescent="0.25">
      <c r="B8" s="282"/>
      <c r="C8" s="33">
        <v>2014</v>
      </c>
      <c r="D8" s="33">
        <v>2015</v>
      </c>
      <c r="E8" s="33">
        <v>2016</v>
      </c>
      <c r="F8" s="33">
        <v>2017</v>
      </c>
      <c r="G8" s="33">
        <v>2018</v>
      </c>
      <c r="H8" s="33">
        <v>2019</v>
      </c>
      <c r="I8" s="33">
        <v>2020</v>
      </c>
      <c r="J8" s="104">
        <v>2021</v>
      </c>
      <c r="K8" s="105">
        <v>2022</v>
      </c>
      <c r="L8" s="105">
        <v>2023</v>
      </c>
      <c r="M8" s="105">
        <v>2024</v>
      </c>
      <c r="N8" s="106">
        <v>2025</v>
      </c>
    </row>
    <row r="9" spans="2:15" x14ac:dyDescent="0.2">
      <c r="B9" s="63" t="s">
        <v>38</v>
      </c>
      <c r="C9" s="34"/>
      <c r="D9" s="35"/>
      <c r="E9" s="35"/>
      <c r="F9" s="35"/>
      <c r="G9" s="35"/>
      <c r="H9" s="35"/>
      <c r="I9" s="35"/>
      <c r="J9" s="36"/>
      <c r="K9" s="35"/>
      <c r="L9" s="35"/>
      <c r="M9" s="37"/>
      <c r="N9" s="38"/>
    </row>
    <row r="10" spans="2:15" x14ac:dyDescent="0.2">
      <c r="B10" s="64" t="s">
        <v>6</v>
      </c>
      <c r="C10" s="140">
        <f>'1.Income statement'!C12</f>
        <v>0</v>
      </c>
      <c r="D10" s="140">
        <f>'1.Income statement'!D12</f>
        <v>0</v>
      </c>
      <c r="E10" s="140">
        <f>'1.Income statement'!E12</f>
        <v>0</v>
      </c>
      <c r="F10" s="140">
        <f>'1.Income statement'!F12</f>
        <v>0</v>
      </c>
      <c r="G10" s="140">
        <f>'1.Income statement'!G12</f>
        <v>5192</v>
      </c>
      <c r="H10" s="140">
        <f>'1.Income statement'!H12</f>
        <v>5477</v>
      </c>
      <c r="I10" s="140">
        <f>'1.Income statement'!I12</f>
        <v>3836</v>
      </c>
      <c r="J10" s="141">
        <f>'1.Income statement'!J12</f>
        <v>4047.4315999999999</v>
      </c>
      <c r="K10" s="140">
        <f>'1.Income statement'!K12</f>
        <v>4411.7004439999992</v>
      </c>
      <c r="L10" s="140">
        <f>'1.Income statement'!L12</f>
        <v>4808.7534839599994</v>
      </c>
      <c r="M10" s="140">
        <f>'1.Income statement'!M12</f>
        <v>5241.541297516399</v>
      </c>
      <c r="N10" s="142">
        <f>'1.Income statement'!N12</f>
        <v>5713.2800142928745</v>
      </c>
    </row>
    <row r="11" spans="2:15" x14ac:dyDescent="0.2">
      <c r="B11" s="196" t="s">
        <v>40</v>
      </c>
      <c r="C11" s="154"/>
      <c r="D11" s="154"/>
      <c r="E11" s="154"/>
      <c r="F11" s="154"/>
      <c r="G11" s="154">
        <v>1028</v>
      </c>
      <c r="H11" s="154">
        <v>1119</v>
      </c>
      <c r="I11" s="154">
        <v>1086</v>
      </c>
      <c r="J11" s="143">
        <f>(I11*'1.Income statement'!$P$11)+'2.Flujos de caja'!I11</f>
        <v>1183.74</v>
      </c>
      <c r="K11" s="144">
        <f>(J11*'1.Income statement'!$P$11)+'2.Flujos de caja'!J11</f>
        <v>1290.2765999999999</v>
      </c>
      <c r="L11" s="144">
        <f>(K11*'1.Income statement'!$P$11)+'2.Flujos de caja'!K11</f>
        <v>1406.401494</v>
      </c>
      <c r="M11" s="144">
        <f>(L11*'1.Income statement'!$P$11)+'2.Flujos de caja'!L11</f>
        <v>1532.97762846</v>
      </c>
      <c r="N11" s="145">
        <f>(M11*'1.Income statement'!$P$11)+'2.Flujos de caja'!M11</f>
        <v>1670.9456150214</v>
      </c>
    </row>
    <row r="12" spans="2:15" x14ac:dyDescent="0.2">
      <c r="B12" s="197" t="s">
        <v>39</v>
      </c>
      <c r="C12" s="146">
        <f>'1.Income statement'!C17</f>
        <v>0</v>
      </c>
      <c r="D12" s="146">
        <f>'1.Income statement'!D17</f>
        <v>0</v>
      </c>
      <c r="E12" s="146">
        <f>'1.Income statement'!E17</f>
        <v>0</v>
      </c>
      <c r="F12" s="146">
        <f>'1.Income statement'!F17</f>
        <v>0</v>
      </c>
      <c r="G12" s="146">
        <f>'1.Income statement'!G17</f>
        <v>54</v>
      </c>
      <c r="H12" s="146">
        <f>'1.Income statement'!H17</f>
        <v>49</v>
      </c>
      <c r="I12" s="146">
        <f>'1.Income statement'!I17</f>
        <v>89</v>
      </c>
      <c r="J12" s="147">
        <f>'1.Income statement'!J17</f>
        <v>97.01</v>
      </c>
      <c r="K12" s="146">
        <f>'1.Income statement'!K17</f>
        <v>105.74090000000001</v>
      </c>
      <c r="L12" s="146">
        <f>'1.Income statement'!L17</f>
        <v>115.25758100000002</v>
      </c>
      <c r="M12" s="146">
        <f>'1.Income statement'!M17</f>
        <v>125.63076329000002</v>
      </c>
      <c r="N12" s="148">
        <f>'1.Income statement'!N17</f>
        <v>136.93753198610003</v>
      </c>
    </row>
    <row r="13" spans="2:15" x14ac:dyDescent="0.2">
      <c r="B13" s="197" t="s">
        <v>41</v>
      </c>
      <c r="C13" s="146">
        <f>'1.Income statement'!C20</f>
        <v>0</v>
      </c>
      <c r="D13" s="146">
        <f>'1.Income statement'!D20</f>
        <v>0</v>
      </c>
      <c r="E13" s="146">
        <f>'1.Income statement'!E20</f>
        <v>0</v>
      </c>
      <c r="F13" s="146">
        <f>'1.Income statement'!F20</f>
        <v>0</v>
      </c>
      <c r="G13" s="146">
        <f>'1.Income statement'!G20</f>
        <v>2392</v>
      </c>
      <c r="H13" s="146">
        <f>'1.Income statement'!H20</f>
        <v>772</v>
      </c>
      <c r="I13" s="146">
        <f>'1.Income statement'!I20</f>
        <v>348</v>
      </c>
      <c r="J13" s="147">
        <f>'1.Income statement'!J20</f>
        <v>664.55163599999992</v>
      </c>
      <c r="K13" s="146">
        <f>'1.Income statement'!K20</f>
        <v>724.36128323999981</v>
      </c>
      <c r="L13" s="146">
        <f>'1.Income statement'!L20</f>
        <v>789.55379873159984</v>
      </c>
      <c r="M13" s="146">
        <f>'1.Income statement'!M20</f>
        <v>860.61364061744382</v>
      </c>
      <c r="N13" s="148">
        <f>'1.Income statement'!N20</f>
        <v>938.06886827301366</v>
      </c>
    </row>
    <row r="14" spans="2:15" x14ac:dyDescent="0.2">
      <c r="B14" s="198" t="s">
        <v>80</v>
      </c>
      <c r="C14" s="195">
        <f>'1.Income statement'!C23</f>
        <v>0</v>
      </c>
      <c r="D14" s="195">
        <f>'1.Income statement'!D23</f>
        <v>0</v>
      </c>
      <c r="E14" s="195">
        <f>'1.Income statement'!E23</f>
        <v>0</v>
      </c>
      <c r="F14" s="195">
        <f>'1.Income statement'!F23</f>
        <v>0</v>
      </c>
      <c r="G14" s="195">
        <f>'1.Income statement'!G23</f>
        <v>0</v>
      </c>
      <c r="H14" s="195">
        <f>'1.Income statement'!H23</f>
        <v>0</v>
      </c>
      <c r="I14" s="195">
        <f>'1.Income statement'!I23</f>
        <v>0</v>
      </c>
      <c r="J14" s="238">
        <f>'1.Income statement'!J23</f>
        <v>0</v>
      </c>
      <c r="K14" s="202">
        <f>'1.Income statement'!K23</f>
        <v>0</v>
      </c>
      <c r="L14" s="202">
        <f>'1.Income statement'!L23</f>
        <v>0</v>
      </c>
      <c r="M14" s="202">
        <f>'1.Income statement'!M23</f>
        <v>0</v>
      </c>
      <c r="N14" s="203">
        <f>'1.Income statement'!N23</f>
        <v>0</v>
      </c>
    </row>
    <row r="15" spans="2:15" x14ac:dyDescent="0.2">
      <c r="B15" s="65" t="s">
        <v>8</v>
      </c>
      <c r="C15" s="149">
        <f t="shared" ref="C15:J15" si="0">C10-C11-C12-C13-C14</f>
        <v>0</v>
      </c>
      <c r="D15" s="149">
        <f t="shared" si="0"/>
        <v>0</v>
      </c>
      <c r="E15" s="149">
        <f t="shared" si="0"/>
        <v>0</v>
      </c>
      <c r="F15" s="149">
        <f t="shared" si="0"/>
        <v>0</v>
      </c>
      <c r="G15" s="149">
        <f t="shared" si="0"/>
        <v>1718</v>
      </c>
      <c r="H15" s="149">
        <f t="shared" si="0"/>
        <v>3537</v>
      </c>
      <c r="I15" s="149">
        <f t="shared" si="0"/>
        <v>2313</v>
      </c>
      <c r="J15" s="213">
        <f t="shared" si="0"/>
        <v>2102.1299639999997</v>
      </c>
      <c r="K15" s="149">
        <f t="shared" ref="K15:M15" si="1">K10-K11-K12-K13-K14</f>
        <v>2291.3216607599993</v>
      </c>
      <c r="L15" s="149">
        <f t="shared" si="1"/>
        <v>2497.5406102284001</v>
      </c>
      <c r="M15" s="149">
        <f t="shared" si="1"/>
        <v>2722.3192651489549</v>
      </c>
      <c r="N15" s="149">
        <f>N10-N11-N12-N13-N14</f>
        <v>2967.3279990123606</v>
      </c>
      <c r="O15" s="227"/>
    </row>
    <row r="16" spans="2:15" ht="17" thickBot="1" x14ac:dyDescent="0.25">
      <c r="B16" s="66" t="s">
        <v>9</v>
      </c>
      <c r="C16" s="39" t="e">
        <f>C15/'1.Income statement'!C27</f>
        <v>#DIV/0!</v>
      </c>
      <c r="D16" s="39" t="e">
        <f>D15/'1.Income statement'!D27</f>
        <v>#DIV/0!</v>
      </c>
      <c r="E16" s="39" t="e">
        <f>E15/'1.Income statement'!E27</f>
        <v>#DIV/0!</v>
      </c>
      <c r="F16" s="39" t="e">
        <f>F15/'1.Income statement'!F27</f>
        <v>#DIV/0!</v>
      </c>
      <c r="G16" s="39">
        <f>G15/'1.Income statement'!G27</f>
        <v>1.0355635925256179</v>
      </c>
      <c r="H16" s="39">
        <f>H15/'1.Income statement'!H27</f>
        <v>2.1860321384425214</v>
      </c>
      <c r="I16" s="39">
        <f>I15/'1.Income statement'!I27</f>
        <v>1.4538026398491515</v>
      </c>
      <c r="J16" s="40">
        <f>J15/'1.Income statement'!J27</f>
        <v>1.3466559666880202</v>
      </c>
      <c r="K16" s="39">
        <f>K15/'1.Income statement'!K27</f>
        <v>1.4966176752188107</v>
      </c>
      <c r="L16" s="39">
        <f>L15/'1.Income statement'!L27</f>
        <v>1.6639177949556296</v>
      </c>
      <c r="M16" s="39">
        <f>M15/'1.Income statement'!M27</f>
        <v>1.8506589158048639</v>
      </c>
      <c r="N16" s="41">
        <f>N15/'1.Income statement'!N27</f>
        <v>2.0592144337351566</v>
      </c>
      <c r="O16" s="217"/>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14"/>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I19" sqref="I19"/>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89" t="s">
        <v>83</v>
      </c>
      <c r="C2" s="283"/>
      <c r="D2" s="284"/>
      <c r="E2" s="284"/>
      <c r="F2" s="284"/>
      <c r="G2" s="284"/>
      <c r="H2" s="284"/>
      <c r="I2" s="284"/>
      <c r="J2" s="284"/>
      <c r="K2" s="284"/>
      <c r="L2" s="284"/>
      <c r="M2" s="284"/>
      <c r="N2" s="285"/>
    </row>
    <row r="3" spans="2:16" ht="15" customHeight="1" x14ac:dyDescent="0.2">
      <c r="B3" s="290"/>
      <c r="C3" s="286"/>
      <c r="D3" s="287"/>
      <c r="E3" s="287"/>
      <c r="F3" s="287"/>
      <c r="G3" s="287"/>
      <c r="H3" s="287"/>
      <c r="I3" s="287"/>
      <c r="J3" s="287"/>
      <c r="K3" s="287"/>
      <c r="L3" s="287"/>
      <c r="M3" s="287"/>
      <c r="N3" s="288"/>
    </row>
    <row r="4" spans="2:16" ht="15" customHeight="1" x14ac:dyDescent="0.2">
      <c r="B4" s="290"/>
      <c r="C4" s="286"/>
      <c r="D4" s="287"/>
      <c r="E4" s="287"/>
      <c r="F4" s="287"/>
      <c r="G4" s="287"/>
      <c r="H4" s="287"/>
      <c r="I4" s="287"/>
      <c r="J4" s="287"/>
      <c r="K4" s="287"/>
      <c r="L4" s="287"/>
      <c r="M4" s="287"/>
      <c r="N4" s="288"/>
    </row>
    <row r="5" spans="2:16" ht="15" customHeight="1" x14ac:dyDescent="0.2">
      <c r="B5" s="290"/>
      <c r="C5" s="286"/>
      <c r="D5" s="287"/>
      <c r="E5" s="287"/>
      <c r="F5" s="287"/>
      <c r="G5" s="287"/>
      <c r="H5" s="287"/>
      <c r="I5" s="287"/>
      <c r="J5" s="287"/>
      <c r="K5" s="287"/>
      <c r="L5" s="287"/>
      <c r="M5" s="287"/>
      <c r="N5" s="288"/>
    </row>
    <row r="6" spans="2:16" ht="15" customHeight="1" x14ac:dyDescent="0.2">
      <c r="B6" s="290"/>
      <c r="C6" s="286"/>
      <c r="D6" s="287"/>
      <c r="E6" s="287"/>
      <c r="F6" s="287"/>
      <c r="G6" s="287"/>
      <c r="H6" s="287"/>
      <c r="I6" s="287"/>
      <c r="J6" s="287"/>
      <c r="K6" s="287"/>
      <c r="L6" s="287"/>
      <c r="M6" s="287"/>
      <c r="N6" s="288"/>
    </row>
    <row r="7" spans="2:16" ht="48.75" customHeight="1" thickBot="1" x14ac:dyDescent="0.25">
      <c r="B7" s="290"/>
      <c r="C7" s="286"/>
      <c r="D7" s="287"/>
      <c r="E7" s="287"/>
      <c r="F7" s="287"/>
      <c r="G7" s="287"/>
      <c r="H7" s="287"/>
      <c r="I7" s="287"/>
      <c r="J7" s="287"/>
      <c r="K7" s="287"/>
      <c r="L7" s="287"/>
      <c r="M7" s="287"/>
      <c r="N7" s="288"/>
    </row>
    <row r="8" spans="2:16" ht="18.75" customHeight="1" thickBot="1" x14ac:dyDescent="0.25">
      <c r="B8" s="290"/>
      <c r="C8" s="33">
        <v>2014</v>
      </c>
      <c r="D8" s="33">
        <v>2015</v>
      </c>
      <c r="E8" s="33">
        <v>2016</v>
      </c>
      <c r="F8" s="33">
        <v>2017</v>
      </c>
      <c r="G8" s="33">
        <v>2018</v>
      </c>
      <c r="H8" s="33">
        <v>2019</v>
      </c>
      <c r="I8" s="33">
        <v>2020</v>
      </c>
      <c r="J8" s="104">
        <v>2021</v>
      </c>
      <c r="K8" s="105">
        <v>2022</v>
      </c>
      <c r="L8" s="105">
        <v>2023</v>
      </c>
      <c r="M8" s="105">
        <v>2024</v>
      </c>
      <c r="N8" s="106">
        <v>2025</v>
      </c>
    </row>
    <row r="9" spans="2:16" ht="17" thickBot="1" x14ac:dyDescent="0.25">
      <c r="B9" s="44" t="s">
        <v>42</v>
      </c>
      <c r="C9" s="67"/>
      <c r="D9" s="68"/>
      <c r="E9" s="68"/>
      <c r="F9" s="68"/>
      <c r="G9" s="68"/>
      <c r="H9" s="68"/>
      <c r="I9" s="151"/>
      <c r="J9" s="67"/>
      <c r="K9" s="68"/>
      <c r="L9" s="68"/>
      <c r="M9" s="50"/>
      <c r="N9" s="51"/>
    </row>
    <row r="10" spans="2:16" ht="16" thickBot="1" x14ac:dyDescent="0.25">
      <c r="B10" s="218" t="s">
        <v>11</v>
      </c>
      <c r="C10" s="46">
        <f>'1.Income statement'!C15</f>
        <v>0</v>
      </c>
      <c r="D10" s="46">
        <f>'1.Income statement'!D15</f>
        <v>0</v>
      </c>
      <c r="E10" s="46">
        <f>'1.Income statement'!E15</f>
        <v>0</v>
      </c>
      <c r="F10" s="46">
        <f>'1.Income statement'!F15</f>
        <v>0</v>
      </c>
      <c r="G10" s="46">
        <f>'1.Income statement'!G15</f>
        <v>4445</v>
      </c>
      <c r="H10" s="46">
        <f>'1.Income statement'!H15</f>
        <v>4772</v>
      </c>
      <c r="I10" s="46">
        <f>'1.Income statement'!I15</f>
        <v>3115</v>
      </c>
      <c r="J10" s="45">
        <f>'1.Income statement'!J15</f>
        <v>3261.5416</v>
      </c>
      <c r="K10" s="46">
        <f>'1.Income statement'!K15</f>
        <v>3555.0803439999995</v>
      </c>
      <c r="L10" s="46">
        <f>'1.Income statement'!L15</f>
        <v>3875.0375749599993</v>
      </c>
      <c r="M10" s="46">
        <f>'1.Income statement'!M15</f>
        <v>4223.7909567063989</v>
      </c>
      <c r="N10" s="47">
        <f>'1.Income statement'!N15</f>
        <v>4603.9321428099747</v>
      </c>
      <c r="O10" s="16" t="s">
        <v>33</v>
      </c>
      <c r="P10" s="10">
        <f>'1.Income statement'!$P$11</f>
        <v>0.09</v>
      </c>
    </row>
    <row r="11" spans="2:16" x14ac:dyDescent="0.2">
      <c r="B11" s="219" t="s">
        <v>43</v>
      </c>
      <c r="C11" s="53">
        <f>'1.Income statement'!C17</f>
        <v>0</v>
      </c>
      <c r="D11" s="53">
        <f>'1.Income statement'!D17</f>
        <v>0</v>
      </c>
      <c r="E11" s="53">
        <f>'1.Income statement'!E17</f>
        <v>0</v>
      </c>
      <c r="F11" s="53">
        <f>'1.Income statement'!F17</f>
        <v>0</v>
      </c>
      <c r="G11" s="53">
        <f>'1.Income statement'!G17</f>
        <v>54</v>
      </c>
      <c r="H11" s="53">
        <f>'1.Income statement'!H17</f>
        <v>49</v>
      </c>
      <c r="I11" s="53">
        <f>'1.Income statement'!I17</f>
        <v>89</v>
      </c>
      <c r="J11" s="52">
        <f>'1.Income statement'!J17</f>
        <v>97.01</v>
      </c>
      <c r="K11" s="53">
        <f>'1.Income statement'!K17</f>
        <v>105.74090000000001</v>
      </c>
      <c r="L11" s="53">
        <f>'1.Income statement'!L17</f>
        <v>115.25758100000002</v>
      </c>
      <c r="M11" s="53">
        <f>'1.Income statement'!M17</f>
        <v>125.63076329000002</v>
      </c>
      <c r="N11" s="54">
        <f>'1.Income statement'!N17</f>
        <v>136.93753198610003</v>
      </c>
    </row>
    <row r="12" spans="2:16" x14ac:dyDescent="0.2">
      <c r="B12" s="220" t="s">
        <v>41</v>
      </c>
      <c r="C12" s="55">
        <f>'1.Income statement'!C20</f>
        <v>0</v>
      </c>
      <c r="D12" s="55">
        <f>'1.Income statement'!D20</f>
        <v>0</v>
      </c>
      <c r="E12" s="55">
        <f>'1.Income statement'!E20</f>
        <v>0</v>
      </c>
      <c r="F12" s="55">
        <f>'1.Income statement'!F20</f>
        <v>0</v>
      </c>
      <c r="G12" s="55">
        <f>'1.Income statement'!G20</f>
        <v>2392</v>
      </c>
      <c r="H12" s="55">
        <f>'1.Income statement'!H20</f>
        <v>772</v>
      </c>
      <c r="I12" s="56">
        <f>'1.Income statement'!I20</f>
        <v>348</v>
      </c>
      <c r="J12" s="55">
        <f>'1.Income statement'!J20</f>
        <v>664.55163599999992</v>
      </c>
      <c r="K12" s="55">
        <f>'1.Income statement'!K20</f>
        <v>724.36128323999981</v>
      </c>
      <c r="L12" s="55">
        <f>'1.Income statement'!L20</f>
        <v>789.55379873159984</v>
      </c>
      <c r="M12" s="55">
        <f>'1.Income statement'!M20</f>
        <v>860.61364061744382</v>
      </c>
      <c r="N12" s="56">
        <f>'1.Income statement'!N20</f>
        <v>938.06886827301366</v>
      </c>
    </row>
    <row r="13" spans="2:16" x14ac:dyDescent="0.2">
      <c r="B13" s="221" t="s">
        <v>12</v>
      </c>
      <c r="C13" s="46">
        <f>'1.Income statement'!C24</f>
        <v>0</v>
      </c>
      <c r="D13" s="46">
        <f>'1.Income statement'!D24</f>
        <v>0</v>
      </c>
      <c r="E13" s="46">
        <f>'1.Income statement'!E24</f>
        <v>0</v>
      </c>
      <c r="F13" s="46">
        <f>'1.Income statement'!F24</f>
        <v>0</v>
      </c>
      <c r="G13" s="46">
        <f>'1.Income statement'!G24</f>
        <v>1999</v>
      </c>
      <c r="H13" s="46">
        <f>'1.Income statement'!H24</f>
        <v>3951</v>
      </c>
      <c r="I13" s="46">
        <f>'1.Income statement'!I24</f>
        <v>2678</v>
      </c>
      <c r="J13" s="45">
        <f>'1.Income statement'!J24</f>
        <v>2499.9799640000001</v>
      </c>
      <c r="K13" s="46">
        <f>'1.Income statement'!K24</f>
        <v>2724.9781607599994</v>
      </c>
      <c r="L13" s="46">
        <f>'1.Income statement'!L24</f>
        <v>2970.2261952283998</v>
      </c>
      <c r="M13" s="46">
        <f>'1.Income statement'!M24</f>
        <v>3237.5465527989554</v>
      </c>
      <c r="N13" s="47">
        <f>'1.Income statement'!N24</f>
        <v>3528.9257425508608</v>
      </c>
    </row>
    <row r="14" spans="2:16" x14ac:dyDescent="0.2">
      <c r="B14" s="222" t="s">
        <v>47</v>
      </c>
      <c r="C14" s="246"/>
      <c r="D14" s="246"/>
      <c r="E14" s="246"/>
      <c r="F14" s="246"/>
      <c r="G14" s="246"/>
      <c r="H14" s="254">
        <v>4663</v>
      </c>
      <c r="I14" s="199">
        <v>8787</v>
      </c>
      <c r="J14" s="55">
        <f>I14*$P$10+I14</f>
        <v>9577.83</v>
      </c>
      <c r="K14" s="55">
        <f t="shared" ref="K14:N14" si="0">J14*$P$10+J14</f>
        <v>10439.834699999999</v>
      </c>
      <c r="L14" s="55">
        <f t="shared" si="0"/>
        <v>11379.419823</v>
      </c>
      <c r="M14" s="55">
        <f t="shared" si="0"/>
        <v>12403.567607069999</v>
      </c>
      <c r="N14" s="55">
        <f t="shared" si="0"/>
        <v>13519.888691706299</v>
      </c>
      <c r="O14" s="227"/>
    </row>
    <row r="15" spans="2:16" x14ac:dyDescent="0.2">
      <c r="B15" s="223" t="s">
        <v>44</v>
      </c>
      <c r="C15" s="246"/>
      <c r="D15" s="246"/>
      <c r="E15" s="246"/>
      <c r="F15" s="246"/>
      <c r="G15" s="246"/>
      <c r="H15" s="255">
        <v>9657</v>
      </c>
      <c r="I15" s="152">
        <v>3479</v>
      </c>
      <c r="J15" s="55">
        <f>I15*$P$10+I15</f>
        <v>3792.11</v>
      </c>
      <c r="K15" s="55">
        <f t="shared" ref="K15:N15" si="1">J15*$P$10+J15</f>
        <v>4133.3999000000003</v>
      </c>
      <c r="L15" s="55">
        <f t="shared" si="1"/>
        <v>4505.4058910000003</v>
      </c>
      <c r="M15" s="55">
        <f t="shared" si="1"/>
        <v>4910.8924211900003</v>
      </c>
      <c r="N15" s="56">
        <f t="shared" si="1"/>
        <v>5352.8727390970998</v>
      </c>
    </row>
    <row r="16" spans="2:16" x14ac:dyDescent="0.2">
      <c r="B16" s="222" t="s">
        <v>45</v>
      </c>
      <c r="C16" s="246"/>
      <c r="D16" s="246"/>
      <c r="E16" s="246"/>
      <c r="F16" s="246"/>
      <c r="G16" s="246"/>
      <c r="H16" s="255">
        <v>154</v>
      </c>
      <c r="I16" s="152">
        <v>223</v>
      </c>
      <c r="J16" s="55">
        <f t="shared" ref="J16" si="2">I16*$P$10+I16</f>
        <v>243.07</v>
      </c>
      <c r="K16" s="55">
        <f t="shared" ref="K16:N16" si="3">J16*$P$10+J16</f>
        <v>264.94630000000001</v>
      </c>
      <c r="L16" s="55">
        <f t="shared" si="3"/>
        <v>288.79146700000001</v>
      </c>
      <c r="M16" s="55">
        <f t="shared" si="3"/>
        <v>314.78269903</v>
      </c>
      <c r="N16" s="56">
        <f t="shared" si="3"/>
        <v>343.1131419427</v>
      </c>
    </row>
    <row r="17" spans="2:14" x14ac:dyDescent="0.2">
      <c r="B17" s="222" t="s">
        <v>46</v>
      </c>
      <c r="C17" s="247"/>
      <c r="D17" s="247"/>
      <c r="E17" s="247"/>
      <c r="F17" s="247"/>
      <c r="G17" s="246"/>
      <c r="H17" s="247">
        <v>9040</v>
      </c>
      <c r="I17" s="200">
        <v>8055</v>
      </c>
      <c r="J17" s="55">
        <f>I17*$P$10+I17</f>
        <v>8779.9500000000007</v>
      </c>
      <c r="K17" s="153">
        <f t="shared" ref="K17:N17" si="4">J17*$P$10+J17</f>
        <v>9570.1455000000005</v>
      </c>
      <c r="L17" s="153">
        <f t="shared" si="4"/>
        <v>10431.458595</v>
      </c>
      <c r="M17" s="153">
        <f t="shared" si="4"/>
        <v>11370.28986855</v>
      </c>
      <c r="N17" s="56">
        <f t="shared" si="4"/>
        <v>12393.615956719501</v>
      </c>
    </row>
    <row r="18" spans="2:14" x14ac:dyDescent="0.2">
      <c r="B18" s="224" t="s">
        <v>51</v>
      </c>
      <c r="C18" s="61">
        <f>C17+C15-C14</f>
        <v>0</v>
      </c>
      <c r="D18" s="61">
        <f t="shared" ref="D18:G18" si="5">D17+D15-D14</f>
        <v>0</v>
      </c>
      <c r="E18" s="61">
        <f t="shared" si="5"/>
        <v>0</v>
      </c>
      <c r="F18" s="61">
        <f t="shared" si="5"/>
        <v>0</v>
      </c>
      <c r="G18" s="201">
        <f t="shared" si="5"/>
        <v>0</v>
      </c>
      <c r="H18" s="61">
        <f>H17+H15-H14</f>
        <v>14034</v>
      </c>
      <c r="I18" s="61">
        <f>I17+I15-I14</f>
        <v>2747</v>
      </c>
      <c r="J18" s="131">
        <f t="shared" ref="J18:N18" si="6">J17+J15-J14</f>
        <v>2994.2300000000014</v>
      </c>
      <c r="K18" s="61">
        <f t="shared" si="6"/>
        <v>3263.7107000000015</v>
      </c>
      <c r="L18" s="61">
        <f t="shared" si="6"/>
        <v>3557.4446630000002</v>
      </c>
      <c r="M18" s="61">
        <f t="shared" si="6"/>
        <v>3877.6146826700024</v>
      </c>
      <c r="N18" s="57">
        <f t="shared" si="6"/>
        <v>4226.6000041103034</v>
      </c>
    </row>
    <row r="19" spans="2:14" x14ac:dyDescent="0.2">
      <c r="B19" s="225" t="s">
        <v>52</v>
      </c>
      <c r="C19" s="58">
        <f t="shared" ref="C19:G19" si="7">C15-C14+C17-C16</f>
        <v>0</v>
      </c>
      <c r="D19" s="58">
        <f t="shared" si="7"/>
        <v>0</v>
      </c>
      <c r="E19" s="58">
        <f t="shared" si="7"/>
        <v>0</v>
      </c>
      <c r="F19" s="58">
        <f t="shared" si="7"/>
        <v>0</v>
      </c>
      <c r="G19" s="58">
        <f t="shared" si="7"/>
        <v>0</v>
      </c>
      <c r="H19" s="58">
        <f>H15-H14+H17-H16</f>
        <v>13880</v>
      </c>
      <c r="I19" s="58">
        <f>I15-I14+I17-I16</f>
        <v>2524</v>
      </c>
      <c r="J19" s="132">
        <f t="shared" ref="J19:N19" si="8">J15-J14+J17-J16</f>
        <v>2751.1600000000012</v>
      </c>
      <c r="K19" s="58">
        <f t="shared" si="8"/>
        <v>2998.7644000000014</v>
      </c>
      <c r="L19" s="58">
        <f t="shared" si="8"/>
        <v>3268.6531960000002</v>
      </c>
      <c r="M19" s="58">
        <f t="shared" si="8"/>
        <v>3562.8319836400015</v>
      </c>
      <c r="N19" s="59">
        <f t="shared" si="8"/>
        <v>3883.4868621676014</v>
      </c>
    </row>
    <row r="20" spans="2:14" x14ac:dyDescent="0.2">
      <c r="B20" s="223"/>
      <c r="C20" s="60"/>
      <c r="D20" s="60"/>
      <c r="E20" s="60"/>
      <c r="F20" s="60"/>
      <c r="G20" s="60"/>
      <c r="H20" s="114"/>
      <c r="J20" s="133"/>
      <c r="K20" s="61"/>
      <c r="L20" s="61"/>
      <c r="M20" s="61"/>
      <c r="N20" s="62"/>
    </row>
    <row r="21" spans="2:14" x14ac:dyDescent="0.2">
      <c r="B21" s="222" t="s">
        <v>48</v>
      </c>
      <c r="C21" s="48" t="e">
        <f t="shared" ref="C21:G21" si="9">C13/C17</f>
        <v>#DIV/0!</v>
      </c>
      <c r="D21" s="48" t="e">
        <f t="shared" si="9"/>
        <v>#DIV/0!</v>
      </c>
      <c r="E21" s="48" t="e">
        <f t="shared" si="9"/>
        <v>#DIV/0!</v>
      </c>
      <c r="F21" s="48" t="e">
        <f t="shared" si="9"/>
        <v>#DIV/0!</v>
      </c>
      <c r="G21" s="48" t="e">
        <f t="shared" si="9"/>
        <v>#DIV/0!</v>
      </c>
      <c r="H21" s="48">
        <f>H13/H17</f>
        <v>0.43705752212389382</v>
      </c>
      <c r="I21" s="48">
        <f>I13/I17</f>
        <v>0.33246430788330228</v>
      </c>
      <c r="J21" s="134">
        <f t="shared" ref="J21:N21" si="10">J13/J17</f>
        <v>0.2847373805090006</v>
      </c>
      <c r="K21" s="48">
        <f t="shared" si="10"/>
        <v>0.28473738050900055</v>
      </c>
      <c r="L21" s="48">
        <f t="shared" si="10"/>
        <v>0.2847373805090006</v>
      </c>
      <c r="M21" s="48">
        <f t="shared" si="10"/>
        <v>0.28473738050900055</v>
      </c>
      <c r="N21" s="49">
        <f t="shared" si="10"/>
        <v>0.28473738050900049</v>
      </c>
    </row>
    <row r="22" spans="2:14" x14ac:dyDescent="0.2">
      <c r="B22" s="222" t="s">
        <v>54</v>
      </c>
      <c r="C22" s="20" t="e">
        <f t="shared" ref="C22:I22" si="11">C10/C19</f>
        <v>#DIV/0!</v>
      </c>
      <c r="D22" s="20" t="e">
        <f t="shared" si="11"/>
        <v>#DIV/0!</v>
      </c>
      <c r="E22" s="20" t="e">
        <f t="shared" si="11"/>
        <v>#DIV/0!</v>
      </c>
      <c r="F22" s="20" t="e">
        <f t="shared" si="11"/>
        <v>#DIV/0!</v>
      </c>
      <c r="G22" s="20" t="e">
        <f t="shared" si="11"/>
        <v>#DIV/0!</v>
      </c>
      <c r="H22" s="20">
        <f t="shared" si="11"/>
        <v>0.34380403458213254</v>
      </c>
      <c r="I22" s="20">
        <f t="shared" si="11"/>
        <v>1.2341521394611727</v>
      </c>
      <c r="J22" s="135">
        <f t="shared" ref="J22:N22" si="12">J10/J19</f>
        <v>1.1855150554675113</v>
      </c>
      <c r="K22" s="20">
        <f t="shared" si="12"/>
        <v>1.1855150554675111</v>
      </c>
      <c r="L22" s="20">
        <f t="shared" si="12"/>
        <v>1.1855150554675116</v>
      </c>
      <c r="M22" s="20">
        <f t="shared" si="12"/>
        <v>1.1855150554675111</v>
      </c>
      <c r="N22" s="22">
        <f t="shared" si="12"/>
        <v>1.1855150554675111</v>
      </c>
    </row>
    <row r="23" spans="2:14" ht="16" thickBot="1" x14ac:dyDescent="0.25">
      <c r="B23" s="226" t="s">
        <v>53</v>
      </c>
      <c r="C23" s="21" t="e">
        <f t="shared" ref="C23:I23" si="13">C10/C18</f>
        <v>#DIV/0!</v>
      </c>
      <c r="D23" s="21" t="e">
        <f t="shared" si="13"/>
        <v>#DIV/0!</v>
      </c>
      <c r="E23" s="21" t="e">
        <f t="shared" si="13"/>
        <v>#DIV/0!</v>
      </c>
      <c r="F23" s="21" t="e">
        <f t="shared" si="13"/>
        <v>#DIV/0!</v>
      </c>
      <c r="G23" s="21" t="e">
        <f t="shared" si="13"/>
        <v>#DIV/0!</v>
      </c>
      <c r="H23" s="21">
        <f t="shared" si="13"/>
        <v>0.3400313524298133</v>
      </c>
      <c r="I23" s="21">
        <f t="shared" si="13"/>
        <v>1.1339643247178741</v>
      </c>
      <c r="J23" s="136">
        <f t="shared" ref="J23:N23" si="14">J10/J18</f>
        <v>1.0892755733527479</v>
      </c>
      <c r="K23" s="21">
        <f t="shared" si="14"/>
        <v>1.0892755733527477</v>
      </c>
      <c r="L23" s="21">
        <f t="shared" si="14"/>
        <v>1.0892755733527482</v>
      </c>
      <c r="M23" s="21">
        <f t="shared" si="14"/>
        <v>1.0892755733527475</v>
      </c>
      <c r="N23" s="23">
        <f t="shared" si="14"/>
        <v>1.0892755733527473</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A3" zoomScaleNormal="100" workbookViewId="0">
      <selection activeCell="A25" sqref="A25"/>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9" t="str">
        <f>'1.Income statement'!B2</f>
        <v>NIKE</v>
      </c>
      <c r="C2" s="298"/>
      <c r="D2" s="299"/>
      <c r="E2" s="299"/>
      <c r="F2" s="299"/>
      <c r="G2" s="299"/>
      <c r="H2" s="299"/>
      <c r="I2" s="299"/>
      <c r="J2" s="299"/>
      <c r="K2" s="299"/>
      <c r="L2" s="299"/>
      <c r="M2" s="299"/>
      <c r="N2" s="300"/>
      <c r="O2" s="1"/>
      <c r="P2" s="1"/>
      <c r="Q2" s="1"/>
      <c r="R2" s="1"/>
      <c r="S2" s="1"/>
      <c r="T2" s="1"/>
      <c r="U2" s="1"/>
      <c r="V2" s="1"/>
    </row>
    <row r="3" spans="2:22" ht="15" customHeight="1" x14ac:dyDescent="0.2">
      <c r="B3" s="290"/>
      <c r="C3" s="301"/>
      <c r="D3" s="302"/>
      <c r="E3" s="302"/>
      <c r="F3" s="302"/>
      <c r="G3" s="302"/>
      <c r="H3" s="302"/>
      <c r="I3" s="302"/>
      <c r="J3" s="302"/>
      <c r="K3" s="302"/>
      <c r="L3" s="302"/>
      <c r="M3" s="302"/>
      <c r="N3" s="303"/>
      <c r="O3" s="1"/>
      <c r="P3" s="1"/>
      <c r="Q3" s="1"/>
      <c r="R3" s="1"/>
      <c r="S3" s="1"/>
      <c r="T3" s="1"/>
      <c r="U3" s="1"/>
      <c r="V3" s="1"/>
    </row>
    <row r="4" spans="2:22" ht="15" customHeight="1" x14ac:dyDescent="0.2">
      <c r="B4" s="290"/>
      <c r="C4" s="301"/>
      <c r="D4" s="302"/>
      <c r="E4" s="302"/>
      <c r="F4" s="302"/>
      <c r="G4" s="302"/>
      <c r="H4" s="302"/>
      <c r="I4" s="302"/>
      <c r="J4" s="302"/>
      <c r="K4" s="302"/>
      <c r="L4" s="302"/>
      <c r="M4" s="302"/>
      <c r="N4" s="303"/>
      <c r="O4" s="1"/>
      <c r="P4" s="1"/>
      <c r="Q4" s="1"/>
      <c r="R4" s="1"/>
      <c r="S4" s="1"/>
      <c r="T4" s="1"/>
      <c r="U4" s="1"/>
      <c r="V4" s="1"/>
    </row>
    <row r="5" spans="2:22" ht="15" customHeight="1" x14ac:dyDescent="0.2">
      <c r="B5" s="290"/>
      <c r="C5" s="301"/>
      <c r="D5" s="302"/>
      <c r="E5" s="302"/>
      <c r="F5" s="302"/>
      <c r="G5" s="302"/>
      <c r="H5" s="302"/>
      <c r="I5" s="302"/>
      <c r="J5" s="302"/>
      <c r="K5" s="302"/>
      <c r="L5" s="302"/>
      <c r="M5" s="302"/>
      <c r="N5" s="303"/>
      <c r="O5" s="1"/>
      <c r="P5" s="1"/>
      <c r="Q5" s="1"/>
      <c r="R5" s="1"/>
      <c r="S5" s="1"/>
      <c r="T5" s="1"/>
      <c r="U5" s="1"/>
      <c r="V5" s="1"/>
    </row>
    <row r="6" spans="2:22" ht="15" customHeight="1" x14ac:dyDescent="0.2">
      <c r="B6" s="290"/>
      <c r="C6" s="301"/>
      <c r="D6" s="302"/>
      <c r="E6" s="302"/>
      <c r="F6" s="302"/>
      <c r="G6" s="302"/>
      <c r="H6" s="302"/>
      <c r="I6" s="302"/>
      <c r="J6" s="302"/>
      <c r="K6" s="302"/>
      <c r="L6" s="302"/>
      <c r="M6" s="302"/>
      <c r="N6" s="303"/>
      <c r="O6" s="1"/>
      <c r="P6" s="1"/>
      <c r="Q6" s="1"/>
      <c r="R6" s="1"/>
      <c r="S6" s="1"/>
      <c r="T6" s="1"/>
      <c r="U6" s="1"/>
      <c r="V6" s="1"/>
    </row>
    <row r="7" spans="2:22" ht="48.75" customHeight="1" thickBot="1" x14ac:dyDescent="0.25">
      <c r="B7" s="290"/>
      <c r="C7" s="301"/>
      <c r="D7" s="302"/>
      <c r="E7" s="302"/>
      <c r="F7" s="302"/>
      <c r="G7" s="302"/>
      <c r="H7" s="302"/>
      <c r="I7" s="302"/>
      <c r="J7" s="304"/>
      <c r="K7" s="304"/>
      <c r="L7" s="304"/>
      <c r="M7" s="304"/>
      <c r="N7" s="305"/>
      <c r="O7" s="1"/>
      <c r="P7" s="1"/>
      <c r="Q7" s="1"/>
      <c r="R7" s="1"/>
      <c r="S7" s="1"/>
      <c r="T7" s="1"/>
      <c r="U7" s="1"/>
      <c r="V7" s="1"/>
    </row>
    <row r="8" spans="2:22" ht="18.75" customHeight="1" thickBot="1" x14ac:dyDescent="0.25">
      <c r="B8" s="290"/>
      <c r="C8" s="33">
        <v>2014</v>
      </c>
      <c r="D8" s="33">
        <v>2015</v>
      </c>
      <c r="E8" s="33">
        <v>2016</v>
      </c>
      <c r="F8" s="33">
        <v>2017</v>
      </c>
      <c r="G8" s="33">
        <v>2018</v>
      </c>
      <c r="H8" s="33">
        <v>2019</v>
      </c>
      <c r="I8" s="33">
        <v>2020</v>
      </c>
      <c r="J8" s="104">
        <v>2021</v>
      </c>
      <c r="K8" s="105">
        <v>2022</v>
      </c>
      <c r="L8" s="105">
        <v>2023</v>
      </c>
      <c r="M8" s="105">
        <v>2024</v>
      </c>
      <c r="N8" s="106">
        <v>2025</v>
      </c>
      <c r="O8" s="230"/>
      <c r="P8" s="1"/>
      <c r="Q8" s="1"/>
      <c r="R8" s="1"/>
      <c r="S8" s="1"/>
      <c r="T8" s="1"/>
      <c r="U8" s="1"/>
      <c r="V8" s="1"/>
    </row>
    <row r="9" spans="2:22" ht="17" thickBot="1" x14ac:dyDescent="0.25">
      <c r="B9" s="116" t="s">
        <v>27</v>
      </c>
      <c r="C9" s="119"/>
      <c r="D9" s="30"/>
      <c r="E9" s="30"/>
      <c r="F9" s="30"/>
      <c r="G9" s="30"/>
      <c r="H9" s="30"/>
      <c r="I9" s="108"/>
      <c r="J9" s="30"/>
      <c r="K9" s="30"/>
      <c r="L9" s="30"/>
      <c r="M9" s="60"/>
      <c r="N9" s="120"/>
      <c r="O9" s="291" t="s">
        <v>14</v>
      </c>
      <c r="P9" s="292"/>
      <c r="Q9" s="15">
        <v>133</v>
      </c>
      <c r="R9" s="1"/>
      <c r="S9" s="1"/>
      <c r="T9" s="1"/>
      <c r="U9" s="1"/>
      <c r="V9" s="1"/>
    </row>
    <row r="10" spans="2:22" ht="16" x14ac:dyDescent="0.2">
      <c r="B10" s="64" t="s">
        <v>26</v>
      </c>
      <c r="C10" s="118"/>
      <c r="D10" s="109"/>
      <c r="E10" s="109"/>
      <c r="F10" s="109"/>
      <c r="G10" s="109"/>
      <c r="H10" s="109"/>
      <c r="I10" s="110">
        <f>$Q$9*'1.Income statement'!I27</f>
        <v>211603</v>
      </c>
      <c r="J10" s="109">
        <f>$Q$9*'1.Income statement'!J27</f>
        <v>207613</v>
      </c>
      <c r="K10" s="109">
        <f>$Q$9*'1.Income statement'!K27</f>
        <v>203623</v>
      </c>
      <c r="L10" s="109">
        <f>$Q$9*'1.Income statement'!L27</f>
        <v>199633</v>
      </c>
      <c r="M10" s="109">
        <f>$Q$9*'1.Income statement'!M27</f>
        <v>195643</v>
      </c>
      <c r="N10" s="121">
        <f>$Q$9*'1.Income statement'!N27</f>
        <v>191653</v>
      </c>
      <c r="O10" s="14"/>
      <c r="P10" s="14"/>
      <c r="Q10" s="14"/>
      <c r="R10" s="1"/>
      <c r="S10" s="1"/>
      <c r="T10" s="1"/>
      <c r="U10" s="1"/>
      <c r="V10" s="1"/>
    </row>
    <row r="11" spans="2:22" ht="16" x14ac:dyDescent="0.2">
      <c r="B11" s="64" t="s">
        <v>60</v>
      </c>
      <c r="C11" s="109">
        <f>'3.retornos capital'!C15-'3.retornos capital'!C14</f>
        <v>0</v>
      </c>
      <c r="D11" s="109">
        <f>'3.retornos capital'!D15-'3.retornos capital'!D14</f>
        <v>0</v>
      </c>
      <c r="E11" s="109">
        <f>'3.retornos capital'!E15-'3.retornos capital'!E14</f>
        <v>0</v>
      </c>
      <c r="F11" s="109">
        <f>'3.retornos capital'!F15-'3.retornos capital'!F14</f>
        <v>0</v>
      </c>
      <c r="G11" s="109">
        <f>'3.retornos capital'!G15-'3.retornos capital'!G14</f>
        <v>0</v>
      </c>
      <c r="H11" s="109">
        <f>'3.retornos capital'!H15-'3.retornos capital'!H14</f>
        <v>4994</v>
      </c>
      <c r="I11" s="110">
        <f>'3.retornos capital'!I15-'3.retornos capital'!I14</f>
        <v>-5308</v>
      </c>
      <c r="J11" s="234">
        <v>1168</v>
      </c>
      <c r="K11" s="234">
        <v>500</v>
      </c>
      <c r="L11" s="234">
        <v>300</v>
      </c>
      <c r="M11" s="234">
        <v>-336</v>
      </c>
      <c r="N11" s="231">
        <v>-300</v>
      </c>
      <c r="O11" s="293"/>
      <c r="P11" s="293"/>
      <c r="Q11" s="14"/>
      <c r="R11" s="1"/>
      <c r="S11" s="1"/>
      <c r="T11" s="1"/>
      <c r="U11" s="1"/>
      <c r="V11" s="1"/>
    </row>
    <row r="12" spans="2:22" ht="16" x14ac:dyDescent="0.2">
      <c r="B12" s="112" t="s">
        <v>81</v>
      </c>
      <c r="C12" s="137" t="e">
        <f>C11/'1.Income statement'!C12</f>
        <v>#DIV/0!</v>
      </c>
      <c r="D12" s="137" t="e">
        <f>D11/'1.Income statement'!D12</f>
        <v>#DIV/0!</v>
      </c>
      <c r="E12" s="137" t="e">
        <f>E11/'1.Income statement'!E12</f>
        <v>#DIV/0!</v>
      </c>
      <c r="F12" s="137" t="e">
        <f>F11/'1.Income statement'!F12</f>
        <v>#DIV/0!</v>
      </c>
      <c r="G12" s="137">
        <f>G11/'1.Income statement'!G12</f>
        <v>0</v>
      </c>
      <c r="H12" s="137">
        <f>H11/'1.Income statement'!H12</f>
        <v>0.91181303633375932</v>
      </c>
      <c r="I12" s="12">
        <f>I11/'1.Income statement'!I12</f>
        <v>-1.383733055265902</v>
      </c>
      <c r="J12" s="229">
        <f>J11/'1.Income statement'!J12</f>
        <v>0.28857807010253123</v>
      </c>
      <c r="K12" s="137">
        <f>K11/'1.Income statement'!K12</f>
        <v>0.1133349841737351</v>
      </c>
      <c r="L12" s="137">
        <f>L11/'1.Income statement'!L12</f>
        <v>6.2386229820404634E-2</v>
      </c>
      <c r="M12" s="137">
        <f>M11/'1.Income statement'!M12</f>
        <v>-6.4103282017296509E-2</v>
      </c>
      <c r="N12" s="122">
        <f>N11/'1.Income statement'!N12</f>
        <v>-5.2509241495164248E-2</v>
      </c>
      <c r="O12" s="294"/>
      <c r="P12" s="294"/>
      <c r="Q12" s="14"/>
      <c r="R12" s="1"/>
      <c r="S12" s="1"/>
      <c r="T12" s="1"/>
      <c r="U12" s="1"/>
      <c r="V12" s="1"/>
    </row>
    <row r="13" spans="2:22" ht="16" x14ac:dyDescent="0.2">
      <c r="B13" s="112" t="s">
        <v>82</v>
      </c>
      <c r="C13" s="137" t="e">
        <f>C11/'3.retornos capital'!C17</f>
        <v>#DIV/0!</v>
      </c>
      <c r="D13" s="137" t="e">
        <f>D11/'3.retornos capital'!D17</f>
        <v>#DIV/0!</v>
      </c>
      <c r="E13" s="137" t="e">
        <f>E11/'3.retornos capital'!E17</f>
        <v>#DIV/0!</v>
      </c>
      <c r="F13" s="137" t="e">
        <f>F11/'3.retornos capital'!F17</f>
        <v>#DIV/0!</v>
      </c>
      <c r="G13" s="137" t="e">
        <f>G11/'3.retornos capital'!G17</f>
        <v>#DIV/0!</v>
      </c>
      <c r="H13" s="137">
        <f>H11/'3.retornos capital'!H17</f>
        <v>0.55243362831858411</v>
      </c>
      <c r="I13" s="137">
        <f>I11/'3.retornos capital'!I17</f>
        <v>-0.65896958410924888</v>
      </c>
      <c r="J13" s="229">
        <f>J11/'3.retornos capital'!J17</f>
        <v>0.13303037033240508</v>
      </c>
      <c r="K13" s="137">
        <f>K11/'3.retornos capital'!K17</f>
        <v>5.2245809637899439E-2</v>
      </c>
      <c r="L13" s="137">
        <f>L11/'3.retornos capital'!L17</f>
        <v>2.8759161268568503E-2</v>
      </c>
      <c r="M13" s="137">
        <f>M11/'3.retornos capital'!M17</f>
        <v>-2.9550697817244696E-2</v>
      </c>
      <c r="N13" s="137">
        <f>N11/'3.retornos capital'!N17</f>
        <v>-2.420601066288065E-2</v>
      </c>
      <c r="O13" s="232"/>
      <c r="P13" s="205"/>
      <c r="Q13" s="14"/>
      <c r="R13" s="1"/>
      <c r="S13" s="1"/>
      <c r="T13" s="1"/>
      <c r="U13" s="1"/>
      <c r="V13" s="1"/>
    </row>
    <row r="14" spans="2:22" ht="16" x14ac:dyDescent="0.2">
      <c r="B14" s="113" t="s">
        <v>25</v>
      </c>
      <c r="C14" s="46"/>
      <c r="D14" s="46"/>
      <c r="E14" s="46"/>
      <c r="F14" s="46"/>
      <c r="G14" s="46"/>
      <c r="H14" s="46"/>
      <c r="I14" s="13">
        <f>I10+I11</f>
        <v>206295</v>
      </c>
      <c r="J14" s="46">
        <f t="shared" ref="J14:N14" si="0">J10+J11</f>
        <v>208781</v>
      </c>
      <c r="K14" s="46">
        <f t="shared" si="0"/>
        <v>204123</v>
      </c>
      <c r="L14" s="46">
        <f t="shared" si="0"/>
        <v>199933</v>
      </c>
      <c r="M14" s="46">
        <f t="shared" si="0"/>
        <v>195307</v>
      </c>
      <c r="N14" s="47">
        <f t="shared" si="0"/>
        <v>191353</v>
      </c>
      <c r="O14" s="306"/>
      <c r="P14" s="306"/>
      <c r="Q14" s="14"/>
      <c r="R14" s="1"/>
      <c r="S14" s="1"/>
      <c r="T14" s="1"/>
      <c r="U14" s="1"/>
      <c r="V14" s="1"/>
    </row>
    <row r="15" spans="2:22" ht="16" x14ac:dyDescent="0.2">
      <c r="B15" s="64" t="s">
        <v>6</v>
      </c>
      <c r="C15" s="109">
        <f>'1.Income statement'!C12</f>
        <v>0</v>
      </c>
      <c r="D15" s="109">
        <f>'1.Income statement'!D12</f>
        <v>0</v>
      </c>
      <c r="E15" s="109">
        <f>'1.Income statement'!E12</f>
        <v>0</v>
      </c>
      <c r="F15" s="109">
        <f>'1.Income statement'!F12</f>
        <v>0</v>
      </c>
      <c r="G15" s="109">
        <f>'1.Income statement'!G12</f>
        <v>5192</v>
      </c>
      <c r="H15" s="228">
        <f>'1.Income statement'!H12</f>
        <v>5477</v>
      </c>
      <c r="I15" s="111">
        <f>'1.Income statement'!I12</f>
        <v>3836</v>
      </c>
      <c r="J15" s="109">
        <f>'1.Income statement'!J12</f>
        <v>4047.4315999999999</v>
      </c>
      <c r="K15" s="109">
        <f>'1.Income statement'!K12</f>
        <v>4411.7004439999992</v>
      </c>
      <c r="L15" s="109">
        <f>'1.Income statement'!L12</f>
        <v>4808.7534839599994</v>
      </c>
      <c r="M15" s="109">
        <f>'1.Income statement'!M12</f>
        <v>5241.541297516399</v>
      </c>
      <c r="N15" s="123">
        <f>'1.Income statement'!N12</f>
        <v>5713.2800142928745</v>
      </c>
      <c r="O15" s="294"/>
      <c r="P15" s="294"/>
      <c r="Q15" s="14"/>
      <c r="R15" s="1"/>
      <c r="S15" s="1"/>
      <c r="T15" s="1"/>
      <c r="U15" s="1"/>
      <c r="V15" s="1"/>
    </row>
    <row r="16" spans="2:22" ht="16" x14ac:dyDescent="0.2">
      <c r="B16" s="64" t="s">
        <v>11</v>
      </c>
      <c r="C16" s="109">
        <f>'1.Income statement'!C15</f>
        <v>0</v>
      </c>
      <c r="D16" s="109">
        <f>'1.Income statement'!D15</f>
        <v>0</v>
      </c>
      <c r="E16" s="109">
        <f>'1.Income statement'!E15</f>
        <v>0</v>
      </c>
      <c r="F16" s="109">
        <f>'1.Income statement'!F15</f>
        <v>0</v>
      </c>
      <c r="G16" s="109">
        <f>'1.Income statement'!G15</f>
        <v>4445</v>
      </c>
      <c r="H16" s="109">
        <f>'1.Income statement'!H15</f>
        <v>4772</v>
      </c>
      <c r="I16" s="110">
        <f>'1.Income statement'!I15</f>
        <v>3115</v>
      </c>
      <c r="J16" s="109">
        <f>'1.Income statement'!J15</f>
        <v>3261.5416</v>
      </c>
      <c r="K16" s="109">
        <f>'1.Income statement'!K15</f>
        <v>3555.0803439999995</v>
      </c>
      <c r="L16" s="109">
        <f>'1.Income statement'!L15</f>
        <v>3875.0375749599993</v>
      </c>
      <c r="M16" s="109">
        <f>'1.Income statement'!M15</f>
        <v>4223.7909567063989</v>
      </c>
      <c r="N16" s="121">
        <f>'1.Income statement'!N15</f>
        <v>4603.9321428099747</v>
      </c>
      <c r="O16" s="294"/>
      <c r="P16" s="294"/>
      <c r="Q16" s="14"/>
      <c r="R16" s="1"/>
      <c r="S16" s="1"/>
      <c r="T16" s="1"/>
      <c r="U16" s="1"/>
      <c r="V16" s="1"/>
    </row>
    <row r="17" spans="2:22" ht="16" x14ac:dyDescent="0.2">
      <c r="B17" s="64" t="s">
        <v>12</v>
      </c>
      <c r="C17" s="109">
        <f>'1.Income statement'!C24</f>
        <v>0</v>
      </c>
      <c r="D17" s="109">
        <f>'1.Income statement'!D24</f>
        <v>0</v>
      </c>
      <c r="E17" s="109">
        <f>'1.Income statement'!E24</f>
        <v>0</v>
      </c>
      <c r="F17" s="109">
        <f>'1.Income statement'!F24</f>
        <v>0</v>
      </c>
      <c r="G17" s="109">
        <f>'1.Income statement'!G24</f>
        <v>1999</v>
      </c>
      <c r="H17" s="109">
        <f>'1.Income statement'!H24</f>
        <v>3951</v>
      </c>
      <c r="I17" s="110">
        <f>'1.Income statement'!I24</f>
        <v>2678</v>
      </c>
      <c r="J17" s="109">
        <f>'1.Income statement'!J24</f>
        <v>2499.9799640000001</v>
      </c>
      <c r="K17" s="109">
        <f>'1.Income statement'!K24</f>
        <v>2724.9781607599994</v>
      </c>
      <c r="L17" s="109">
        <f>'1.Income statement'!L24</f>
        <v>2970.2261952283998</v>
      </c>
      <c r="M17" s="109">
        <f>'1.Income statement'!M24</f>
        <v>3237.5465527989554</v>
      </c>
      <c r="N17" s="121">
        <f>'1.Income statement'!N24</f>
        <v>3528.9257425508608</v>
      </c>
      <c r="O17" s="294"/>
      <c r="P17" s="294"/>
      <c r="Q17" s="14"/>
      <c r="R17" s="1"/>
      <c r="S17" s="1"/>
      <c r="T17" s="1"/>
      <c r="U17" s="1"/>
      <c r="V17" s="1"/>
    </row>
    <row r="18" spans="2:22" ht="16" x14ac:dyDescent="0.2">
      <c r="B18" s="64" t="s">
        <v>13</v>
      </c>
      <c r="C18" s="109">
        <f>'2.Flujos de caja'!C15</f>
        <v>0</v>
      </c>
      <c r="D18" s="109">
        <f>'2.Flujos de caja'!D15</f>
        <v>0</v>
      </c>
      <c r="E18" s="109">
        <f>'2.Flujos de caja'!E15</f>
        <v>0</v>
      </c>
      <c r="F18" s="109">
        <f>'2.Flujos de caja'!F15</f>
        <v>0</v>
      </c>
      <c r="G18" s="109">
        <f>'2.Flujos de caja'!G15</f>
        <v>1718</v>
      </c>
      <c r="H18" s="109">
        <f>'2.Flujos de caja'!H15</f>
        <v>3537</v>
      </c>
      <c r="I18" s="110">
        <f>'2.Flujos de caja'!I15</f>
        <v>2313</v>
      </c>
      <c r="J18" s="109">
        <f>'2.Flujos de caja'!J15</f>
        <v>2102.1299639999997</v>
      </c>
      <c r="K18" s="109">
        <f>'2.Flujos de caja'!K15</f>
        <v>2291.3216607599993</v>
      </c>
      <c r="L18" s="109">
        <f>'2.Flujos de caja'!L15</f>
        <v>2497.5406102284001</v>
      </c>
      <c r="M18" s="109">
        <f>'2.Flujos de caja'!M15</f>
        <v>2722.3192651489549</v>
      </c>
      <c r="N18" s="121">
        <f>'2.Flujos de caja'!N15</f>
        <v>2967.3279990123606</v>
      </c>
      <c r="O18" s="294"/>
      <c r="P18" s="294"/>
      <c r="Q18" s="5"/>
      <c r="R18" s="1"/>
      <c r="S18" s="1"/>
      <c r="T18" s="1"/>
      <c r="U18" s="1"/>
      <c r="V18" s="1"/>
    </row>
    <row r="19" spans="2:22" ht="17" thickBot="1" x14ac:dyDescent="0.25">
      <c r="B19" s="64"/>
      <c r="C19" s="118"/>
      <c r="D19" s="109"/>
      <c r="E19" s="109"/>
      <c r="F19" s="109"/>
      <c r="G19" s="109"/>
      <c r="H19" s="109"/>
      <c r="I19" s="110"/>
      <c r="J19" s="109"/>
      <c r="K19" s="109"/>
      <c r="L19" s="109"/>
      <c r="M19" s="109"/>
      <c r="N19" s="121"/>
      <c r="O19" s="19"/>
      <c r="P19" s="19"/>
      <c r="Q19" s="14"/>
      <c r="R19" s="1"/>
      <c r="S19" s="1"/>
      <c r="T19" s="1"/>
      <c r="U19" s="1"/>
      <c r="V19" s="1"/>
    </row>
    <row r="20" spans="2:22" ht="17" thickBot="1" x14ac:dyDescent="0.25">
      <c r="B20" s="128"/>
      <c r="C20" s="129" t="s">
        <v>49</v>
      </c>
      <c r="D20" s="127" t="s">
        <v>50</v>
      </c>
      <c r="E20" s="114"/>
      <c r="F20" s="114"/>
      <c r="G20" s="114"/>
      <c r="H20" s="114"/>
      <c r="I20" s="115"/>
      <c r="J20" s="114"/>
      <c r="K20" s="114"/>
      <c r="L20" s="114"/>
      <c r="M20" s="114"/>
      <c r="N20" s="124"/>
      <c r="O20" s="307"/>
      <c r="P20" s="307"/>
      <c r="Q20" s="5"/>
      <c r="R20" s="1"/>
      <c r="S20" s="1"/>
      <c r="T20" s="1"/>
      <c r="U20" s="1"/>
      <c r="V20" s="1"/>
    </row>
    <row r="21" spans="2:22" ht="20" thickBot="1" x14ac:dyDescent="0.25">
      <c r="B21" s="25" t="s">
        <v>21</v>
      </c>
      <c r="C21" s="117">
        <f>(L21/$Q$9)^(1/3)-1</f>
        <v>-0.28082861366739287</v>
      </c>
      <c r="D21" s="117">
        <f>(N21/$Q$9)^(1/5)-1</f>
        <v>-0.14314321266569674</v>
      </c>
      <c r="E21" s="60"/>
      <c r="F21" s="6" t="s">
        <v>58</v>
      </c>
      <c r="G21" s="6"/>
      <c r="H21" s="6"/>
      <c r="I21" s="256">
        <f>IF(--I11&lt;0,(I17*$Q$21-I11),IF(--I11&gt;0,I17*$Q$21))/'1.Income statement'!I27</f>
        <v>45.416719044626021</v>
      </c>
      <c r="J21" s="257">
        <f>IF(--J11&lt;0,(J17*$Q$21-J11),IF(--J11&gt;0,J17*$Q$21))/'1.Income statement'!J27</f>
        <v>40.038116015374762</v>
      </c>
      <c r="K21" s="257">
        <f>IF(--K11&lt;0,(K17*$Q$21-K11),IF(--K11&gt;0,K17*$Q$21))/'1.Income statement'!K27</f>
        <v>44.496704127367721</v>
      </c>
      <c r="L21" s="257">
        <f>IF(--L11&lt;0,(L17*$Q$21-L11),IF(--L11&gt;0,L17*$Q$21))/'1.Income statement'!L27</f>
        <v>49.47078939421052</v>
      </c>
      <c r="M21" s="257">
        <f>IF(--M11&lt;0,(M17*$Q$21-M11),IF(--M11&gt;0,M17*$Q$21))/'1.Income statement'!M27</f>
        <v>55.251301033292918</v>
      </c>
      <c r="N21" s="258">
        <f>IF(--N11&lt;0,(N17*$Q$21-N11),IF(--N11&gt;0,N17*$Q$21))/'1.Income statement'!N27</f>
        <v>61.431744319064201</v>
      </c>
      <c r="O21" s="130" t="s">
        <v>28</v>
      </c>
      <c r="P21" s="130"/>
      <c r="Q21" s="9">
        <v>25</v>
      </c>
      <c r="R21" s="1"/>
      <c r="S21" s="1"/>
      <c r="T21" s="1"/>
      <c r="U21" s="1"/>
      <c r="V21" s="1"/>
    </row>
    <row r="22" spans="2:22" ht="20" thickBot="1" x14ac:dyDescent="0.25">
      <c r="B22" s="25" t="s">
        <v>22</v>
      </c>
      <c r="C22" s="107">
        <f t="shared" ref="C22:C24" si="1">(L22/$Q$9)^(1/3)-1</f>
        <v>-0.32120274401598392</v>
      </c>
      <c r="D22" s="107">
        <f t="shared" ref="D22:D24" si="2">(N22/$Q$9)^(1/5)-1</f>
        <v>-0.17223217606545271</v>
      </c>
      <c r="E22" s="60"/>
      <c r="F22" s="7" t="s">
        <v>57</v>
      </c>
      <c r="G22" s="60"/>
      <c r="H22" s="60"/>
      <c r="I22" s="256">
        <f>IF(--I11&lt;0,(I18*$Q$22-I11),IF(--I11&gt;0,I18*$Q$22))/'1.Income statement'!I27</f>
        <v>39.681332495285986</v>
      </c>
      <c r="J22" s="257">
        <f>IF(--J11&lt;0,(J18*$Q$22-J11),IF(--J11&gt;0,J18*$Q$22))/'1.Income statement'!J27</f>
        <v>33.66639916720051</v>
      </c>
      <c r="K22" s="257">
        <f>IF(--K11&lt;0,(K18*$Q$22-K11),IF(--K11&gt;0,K18*$Q$22))/'1.Income statement'!K27</f>
        <v>37.415441880470269</v>
      </c>
      <c r="L22" s="257">
        <f>IF(--L11&lt;0,(L18*$Q$22-L11),IF(--L11&gt;0,L18*$Q$22))/'1.Income statement'!L27</f>
        <v>41.597944873890739</v>
      </c>
      <c r="M22" s="257">
        <f>IF(--M11&lt;0,(M18*$Q$22-M11),IF(--M11&gt;0,M18*$Q$22))/'1.Income statement'!M27</f>
        <v>46.494888938629408</v>
      </c>
      <c r="N22" s="257">
        <f>IF(--N11&lt;0,(N18*$Q$22-N11),IF(--N11&gt;0,N18*$Q$22))/'1.Income statement'!N27</f>
        <v>51.688549601185997</v>
      </c>
      <c r="O22" s="295" t="s">
        <v>29</v>
      </c>
      <c r="P22" s="296"/>
      <c r="Q22" s="9">
        <v>25</v>
      </c>
      <c r="R22" s="1"/>
      <c r="S22" s="1"/>
      <c r="T22" s="1"/>
      <c r="U22" s="1"/>
      <c r="V22" s="1"/>
    </row>
    <row r="23" spans="2:22" ht="20" thickBot="1" x14ac:dyDescent="0.25">
      <c r="B23" s="25" t="s">
        <v>23</v>
      </c>
      <c r="C23" s="107">
        <f t="shared" si="1"/>
        <v>-0.25831846189216612</v>
      </c>
      <c r="D23" s="107">
        <f t="shared" si="2"/>
        <v>-0.12656289735898829</v>
      </c>
      <c r="E23" s="60"/>
      <c r="F23" s="7" t="s">
        <v>19</v>
      </c>
      <c r="G23" s="60"/>
      <c r="H23" s="60"/>
      <c r="I23" s="259">
        <f>((I15*$Q$23)-I11)/'1.Income statement'!I27</f>
        <v>44.324324324324323</v>
      </c>
      <c r="J23" s="260">
        <f>((J15*$Q$23)-J11)/'1.Income statement'!J27</f>
        <v>43.330132735426005</v>
      </c>
      <c r="K23" s="260">
        <f>((K15*$Q$23)-K11)/'1.Income statement'!K27</f>
        <v>48.660292323971255</v>
      </c>
      <c r="L23" s="260">
        <f>((L15*$Q$23)-L11)/'1.Income statement'!L27</f>
        <v>54.263030797681537</v>
      </c>
      <c r="M23" s="260">
        <f>((M15*$Q$23)-M11)/'1.Income statement'!M27</f>
        <v>60.803672371025684</v>
      </c>
      <c r="N23" s="261">
        <f>((N15*$Q$23)-N11)/'1.Income statement'!N27</f>
        <v>67.609826677986717</v>
      </c>
      <c r="O23" s="297" t="s">
        <v>30</v>
      </c>
      <c r="P23" s="297"/>
      <c r="Q23" s="9">
        <v>17</v>
      </c>
      <c r="R23" s="1"/>
      <c r="S23" s="1"/>
      <c r="T23" s="1"/>
      <c r="U23" s="1"/>
      <c r="V23" s="1"/>
    </row>
    <row r="24" spans="2:22" ht="20" thickBot="1" x14ac:dyDescent="0.25">
      <c r="B24" s="26" t="s">
        <v>24</v>
      </c>
      <c r="C24" s="107">
        <f t="shared" si="1"/>
        <v>-0.27144378905498079</v>
      </c>
      <c r="D24" s="107">
        <f t="shared" si="2"/>
        <v>-0.13580611053029235</v>
      </c>
      <c r="E24" s="125"/>
      <c r="F24" s="126" t="s">
        <v>20</v>
      </c>
      <c r="G24" s="125"/>
      <c r="H24" s="125"/>
      <c r="I24" s="262">
        <f>((I16*$Q$24)-I11)/'1.Income statement'!I27</f>
        <v>42.494028912633567</v>
      </c>
      <c r="J24" s="263">
        <f>((J16*$Q$24)-J11)/'1.Income statement'!J27</f>
        <v>41.039610506085843</v>
      </c>
      <c r="K24" s="263">
        <f>((K16*$Q$24)-K11)/'1.Income statement'!K27</f>
        <v>46.114700770738075</v>
      </c>
      <c r="L24" s="263">
        <f>((L16*$Q$24)-L11)/'1.Income statement'!L27</f>
        <v>51.432879080079942</v>
      </c>
      <c r="M24" s="263">
        <f>((M16*$Q$24)-M11)/'1.Income statement'!M27</f>
        <v>57.655893361065921</v>
      </c>
      <c r="N24" s="264">
        <f>((N16*$Q$24)-N11)/'1.Income statement'!N27</f>
        <v>64.107316347119706</v>
      </c>
      <c r="O24" s="297" t="s">
        <v>31</v>
      </c>
      <c r="P24" s="297"/>
      <c r="Q24" s="9">
        <v>20</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2" t="s">
        <v>71</v>
      </c>
      <c r="C3" s="169"/>
      <c r="D3" s="169"/>
      <c r="E3" s="169"/>
      <c r="F3" s="169"/>
      <c r="G3" s="169"/>
    </row>
    <row r="4" spans="2:9" ht="46.5" customHeight="1" x14ac:dyDescent="0.2">
      <c r="B4" s="171" t="s">
        <v>59</v>
      </c>
      <c r="C4" s="166"/>
      <c r="D4" s="166"/>
      <c r="E4" s="155"/>
      <c r="F4" s="166"/>
      <c r="G4" s="166"/>
      <c r="H4" s="166"/>
      <c r="I4" s="170"/>
    </row>
    <row r="5" spans="2:9" ht="21" customHeight="1" x14ac:dyDescent="0.2">
      <c r="B5" s="167"/>
      <c r="C5" s="166"/>
      <c r="D5" s="166"/>
      <c r="E5" s="166"/>
      <c r="F5" s="166"/>
      <c r="G5" s="166"/>
      <c r="H5" s="166"/>
      <c r="I5" s="170"/>
    </row>
    <row r="6" spans="2:9" ht="21" customHeight="1" x14ac:dyDescent="0.2">
      <c r="B6" s="308" t="s">
        <v>72</v>
      </c>
      <c r="C6" s="308"/>
      <c r="D6" s="308"/>
      <c r="E6" s="308"/>
      <c r="F6" s="308"/>
      <c r="G6" s="308"/>
      <c r="H6" s="308"/>
      <c r="I6" s="308"/>
    </row>
    <row r="7" spans="2:9" ht="21" customHeight="1" thickBot="1" x14ac:dyDescent="0.3">
      <c r="B7" s="158"/>
      <c r="C7" s="158"/>
      <c r="D7" s="158"/>
      <c r="E7" s="158"/>
      <c r="F7" s="158"/>
      <c r="G7" s="158"/>
      <c r="H7" s="158"/>
      <c r="I7" s="158"/>
    </row>
    <row r="8" spans="2:9" ht="57" customHeight="1" thickBot="1" x14ac:dyDescent="0.3">
      <c r="B8" s="175" t="s">
        <v>73</v>
      </c>
      <c r="C8" s="158"/>
      <c r="D8" s="158"/>
      <c r="E8" s="158"/>
      <c r="F8" s="158"/>
      <c r="G8" s="158"/>
      <c r="H8" s="158"/>
      <c r="I8" s="158"/>
    </row>
    <row r="9" spans="2:9" s="155" customFormat="1" ht="21" customHeight="1" x14ac:dyDescent="0.2">
      <c r="B9" s="163" t="s">
        <v>61</v>
      </c>
      <c r="C9" s="160"/>
      <c r="D9" s="160"/>
      <c r="E9" s="160"/>
      <c r="F9" s="160"/>
      <c r="G9" s="160"/>
      <c r="H9" s="160"/>
      <c r="I9" s="160"/>
    </row>
    <row r="10" spans="2:9" s="155" customFormat="1" ht="21" customHeight="1" x14ac:dyDescent="0.2">
      <c r="B10" s="161" t="s">
        <v>66</v>
      </c>
      <c r="C10" s="160"/>
      <c r="D10" s="160"/>
      <c r="E10" s="160"/>
      <c r="F10" s="160"/>
      <c r="G10" s="160"/>
      <c r="H10" s="160"/>
      <c r="I10" s="160"/>
    </row>
    <row r="11" spans="2:9" s="155" customFormat="1" ht="21" customHeight="1" x14ac:dyDescent="0.2">
      <c r="B11" s="161" t="s">
        <v>62</v>
      </c>
      <c r="C11" s="160"/>
      <c r="D11" s="160"/>
      <c r="E11" s="160"/>
      <c r="F11" s="160"/>
      <c r="G11" s="160"/>
      <c r="H11" s="160"/>
      <c r="I11" s="160"/>
    </row>
    <row r="12" spans="2:9" s="155" customFormat="1" ht="21" customHeight="1" x14ac:dyDescent="0.2">
      <c r="B12" s="161" t="s">
        <v>63</v>
      </c>
      <c r="C12" s="160"/>
      <c r="D12" s="160"/>
      <c r="E12" s="160"/>
      <c r="F12" s="160"/>
      <c r="G12" s="160"/>
      <c r="H12" s="160"/>
      <c r="I12" s="160"/>
    </row>
    <row r="13" spans="2:9" s="155" customFormat="1" ht="21" customHeight="1" x14ac:dyDescent="0.2">
      <c r="B13" s="161" t="s">
        <v>65</v>
      </c>
      <c r="C13" s="160"/>
      <c r="D13" s="160"/>
      <c r="E13" s="160"/>
      <c r="F13" s="160"/>
      <c r="G13" s="160"/>
      <c r="H13" s="160"/>
      <c r="I13" s="160"/>
    </row>
    <row r="14" spans="2:9" s="155" customFormat="1" ht="21" customHeight="1" x14ac:dyDescent="0.2">
      <c r="B14" s="161" t="s">
        <v>79</v>
      </c>
      <c r="C14" s="160"/>
      <c r="D14" s="160"/>
      <c r="E14" s="160"/>
      <c r="F14" s="160"/>
      <c r="G14" s="160"/>
      <c r="H14" s="160"/>
      <c r="I14" s="160"/>
    </row>
    <row r="15" spans="2:9" s="155" customFormat="1" ht="18" customHeight="1" x14ac:dyDescent="0.2">
      <c r="B15" s="309" t="s">
        <v>64</v>
      </c>
      <c r="C15" s="160"/>
      <c r="D15" s="160"/>
      <c r="E15" s="160"/>
      <c r="F15" s="160"/>
      <c r="G15" s="160"/>
      <c r="H15" s="160"/>
      <c r="I15" s="160"/>
    </row>
    <row r="16" spans="2:9" s="155" customFormat="1" ht="39" customHeight="1" thickBot="1" x14ac:dyDescent="0.25">
      <c r="B16" s="310"/>
      <c r="C16" s="160"/>
      <c r="D16" s="160"/>
      <c r="E16" s="160"/>
      <c r="F16" s="160"/>
      <c r="G16" s="160"/>
      <c r="H16" s="160"/>
      <c r="I16" s="160"/>
    </row>
    <row r="17" spans="2:9" s="155" customFormat="1" ht="57" customHeight="1" thickBot="1" x14ac:dyDescent="0.25">
      <c r="B17" s="176" t="s">
        <v>74</v>
      </c>
      <c r="C17" s="156"/>
      <c r="D17" s="156"/>
      <c r="E17" s="156"/>
      <c r="F17" s="156"/>
      <c r="G17" s="156"/>
      <c r="H17" s="156"/>
      <c r="I17" s="156"/>
    </row>
    <row r="18" spans="2:9" s="155" customFormat="1" ht="23.25" customHeight="1" thickBot="1" x14ac:dyDescent="0.25">
      <c r="B18" s="173" t="s">
        <v>77</v>
      </c>
      <c r="C18" s="159"/>
      <c r="D18" s="159"/>
      <c r="E18" s="159"/>
      <c r="F18" s="159"/>
      <c r="G18" s="159"/>
      <c r="H18" s="159"/>
      <c r="I18" s="159"/>
    </row>
    <row r="19" spans="2:9" ht="57" customHeight="1" thickBot="1" x14ac:dyDescent="0.25">
      <c r="B19" s="176" t="s">
        <v>75</v>
      </c>
      <c r="C19" s="159"/>
      <c r="D19" s="159"/>
      <c r="E19" s="159"/>
      <c r="F19" s="159"/>
      <c r="G19" s="159"/>
      <c r="H19" s="159"/>
      <c r="I19" s="159"/>
    </row>
    <row r="20" spans="2:9" ht="21" customHeight="1" x14ac:dyDescent="0.2">
      <c r="B20" s="311" t="s">
        <v>67</v>
      </c>
      <c r="C20" s="155"/>
      <c r="D20" s="155"/>
      <c r="E20" s="155"/>
      <c r="F20" s="155"/>
      <c r="G20" s="155"/>
      <c r="H20" s="155"/>
      <c r="I20" s="155"/>
    </row>
    <row r="21" spans="2:9" ht="21" customHeight="1" x14ac:dyDescent="0.2">
      <c r="B21" s="309"/>
      <c r="C21" s="159"/>
      <c r="D21" s="159"/>
      <c r="E21" s="159"/>
      <c r="F21" s="159"/>
      <c r="G21" s="159"/>
      <c r="H21" s="159"/>
      <c r="I21" s="159"/>
    </row>
    <row r="22" spans="2:9" ht="33" customHeight="1" thickBot="1" x14ac:dyDescent="0.25">
      <c r="B22" s="310"/>
      <c r="C22" s="159"/>
      <c r="D22" s="159"/>
      <c r="E22" s="159"/>
      <c r="F22" s="159"/>
      <c r="G22" s="159"/>
      <c r="H22" s="159"/>
      <c r="I22" s="159"/>
    </row>
    <row r="23" spans="2:9" ht="57" customHeight="1" thickBot="1" x14ac:dyDescent="0.25">
      <c r="B23" s="176" t="s">
        <v>76</v>
      </c>
      <c r="C23" s="159"/>
      <c r="D23" s="159"/>
      <c r="E23" s="159"/>
      <c r="F23" s="159"/>
      <c r="G23" s="159"/>
      <c r="H23" s="159"/>
      <c r="I23" s="159"/>
    </row>
    <row r="24" spans="2:9" ht="35.25" customHeight="1" x14ac:dyDescent="0.2">
      <c r="B24" s="163" t="s">
        <v>78</v>
      </c>
      <c r="C24" s="159"/>
      <c r="D24" s="159"/>
      <c r="E24" s="159"/>
      <c r="F24" s="159"/>
      <c r="G24" s="159"/>
      <c r="H24" s="159"/>
      <c r="I24" s="159"/>
    </row>
    <row r="25" spans="2:9" ht="72" customHeight="1" thickBot="1" x14ac:dyDescent="0.25">
      <c r="B25" s="162" t="s">
        <v>68</v>
      </c>
      <c r="C25" s="159"/>
      <c r="D25" s="159"/>
      <c r="E25" s="159"/>
      <c r="F25" s="159"/>
      <c r="G25" s="159"/>
      <c r="H25" s="159"/>
      <c r="I25" s="159"/>
    </row>
    <row r="26" spans="2:9" ht="26.25" customHeight="1" x14ac:dyDescent="0.2">
      <c r="B26" s="165"/>
      <c r="C26" s="159"/>
      <c r="D26" s="159"/>
      <c r="E26" s="159"/>
      <c r="F26" s="159"/>
      <c r="G26" s="159"/>
      <c r="H26" s="159"/>
      <c r="I26" s="159"/>
    </row>
    <row r="27" spans="2:9" ht="21" x14ac:dyDescent="0.25">
      <c r="B27" s="174" t="s">
        <v>70</v>
      </c>
      <c r="C27" s="164"/>
      <c r="D27" s="164"/>
      <c r="E27" s="164"/>
    </row>
    <row r="28" spans="2:9" ht="61.5" customHeight="1" x14ac:dyDescent="0.2">
      <c r="B28" s="168" t="s">
        <v>69</v>
      </c>
      <c r="C28" s="166"/>
      <c r="D28" s="166"/>
      <c r="E28" s="166"/>
      <c r="F28" s="166"/>
      <c r="G28" s="166"/>
      <c r="H28" s="166"/>
      <c r="I28" s="166"/>
    </row>
    <row r="29" spans="2:9" ht="28.5" customHeight="1" x14ac:dyDescent="0.2">
      <c r="B29" s="312"/>
      <c r="C29" s="312"/>
      <c r="D29" s="312"/>
      <c r="E29" s="312"/>
      <c r="F29" s="312"/>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2021-04-05T01:24:41Z</dcterms:modified>
</cp:coreProperties>
</file>