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ftn1" localSheetId="0">Sheet1!$A$17</definedName>
    <definedName name="_ftn2" localSheetId="0">Sheet1!$A$18</definedName>
    <definedName name="_ftn3" localSheetId="0">Sheet1!$A$19</definedName>
    <definedName name="_ftn4" localSheetId="0">Sheet1!$A$20</definedName>
    <definedName name="_ftn5" localSheetId="0">Sheet1!$A$21</definedName>
    <definedName name="_ftn6" localSheetId="0">Sheet1!$A$22</definedName>
    <definedName name="_ftn7" localSheetId="0">Sheet1!$A$24</definedName>
    <definedName name="_ftnref1" localSheetId="0">Sheet1!$E$1</definedName>
    <definedName name="_ftnref2" localSheetId="0">Sheet1!$F$1</definedName>
    <definedName name="_ftnref3" localSheetId="0">Sheet1!$H$2</definedName>
    <definedName name="_ftnref4" localSheetId="0">Sheet1!$I$1</definedName>
    <definedName name="_ftnref5" localSheetId="0">Sheet1!$J$1</definedName>
    <definedName name="_ftnref6" localSheetId="0">Sheet1!$K$2</definedName>
    <definedName name="_ftnref7" localSheetId="0">Sheet1!$L$2</definedName>
  </definedNames>
  <calcPr calcId="125725"/>
</workbook>
</file>

<file path=xl/calcChain.xml><?xml version="1.0" encoding="utf-8"?>
<calcChain xmlns="http://schemas.openxmlformats.org/spreadsheetml/2006/main">
  <c r="O48" i="2"/>
  <c r="O49"/>
  <c r="O50"/>
  <c r="O51"/>
  <c r="O52"/>
  <c r="O53"/>
  <c r="O54"/>
  <c r="O55"/>
  <c r="O56"/>
  <c r="O47"/>
  <c r="N20"/>
  <c r="L38"/>
  <c r="L51" s="1"/>
  <c r="L42"/>
  <c r="K35"/>
  <c r="K36"/>
  <c r="K37"/>
  <c r="K38"/>
  <c r="K39"/>
  <c r="K40"/>
  <c r="K41"/>
  <c r="K42"/>
  <c r="K43"/>
  <c r="K34"/>
  <c r="J35"/>
  <c r="J36"/>
  <c r="J37"/>
  <c r="J38"/>
  <c r="J51" s="1"/>
  <c r="J39"/>
  <c r="J40"/>
  <c r="J41"/>
  <c r="J42"/>
  <c r="J55" s="1"/>
  <c r="J43"/>
  <c r="J34"/>
  <c r="I35"/>
  <c r="I36"/>
  <c r="I37"/>
  <c r="I38"/>
  <c r="I39"/>
  <c r="I40"/>
  <c r="I41"/>
  <c r="I42"/>
  <c r="I43"/>
  <c r="I34"/>
  <c r="H35"/>
  <c r="H36"/>
  <c r="H37"/>
  <c r="H38"/>
  <c r="H51" s="1"/>
  <c r="H39"/>
  <c r="H40"/>
  <c r="H41"/>
  <c r="H42"/>
  <c r="H55" s="1"/>
  <c r="H43"/>
  <c r="H34"/>
  <c r="G35"/>
  <c r="G36"/>
  <c r="G37"/>
  <c r="G38"/>
  <c r="G39"/>
  <c r="G40"/>
  <c r="G41"/>
  <c r="G42"/>
  <c r="G43"/>
  <c r="G34"/>
  <c r="F35"/>
  <c r="F36"/>
  <c r="F37"/>
  <c r="F38"/>
  <c r="F51" s="1"/>
  <c r="F39"/>
  <c r="F40"/>
  <c r="F41"/>
  <c r="F42"/>
  <c r="F55" s="1"/>
  <c r="F43"/>
  <c r="F34"/>
  <c r="B7"/>
  <c r="L34" s="1"/>
  <c r="B8"/>
  <c r="L35" s="1"/>
  <c r="B9"/>
  <c r="L36" s="1"/>
  <c r="B10"/>
  <c r="L37" s="1"/>
  <c r="B11"/>
  <c r="B12"/>
  <c r="L39" s="1"/>
  <c r="B13"/>
  <c r="L40" s="1"/>
  <c r="B14"/>
  <c r="L41" s="1"/>
  <c r="B15"/>
  <c r="B16"/>
  <c r="L43" s="1"/>
  <c r="E35"/>
  <c r="E36"/>
  <c r="E37"/>
  <c r="E38"/>
  <c r="E51" s="1"/>
  <c r="E39"/>
  <c r="E40"/>
  <c r="E41"/>
  <c r="E42"/>
  <c r="E55" s="1"/>
  <c r="E43"/>
  <c r="E34"/>
  <c r="D35"/>
  <c r="M35" s="1"/>
  <c r="D36"/>
  <c r="D37"/>
  <c r="D38"/>
  <c r="M38" s="1"/>
  <c r="I51" s="1"/>
  <c r="D39"/>
  <c r="M39" s="1"/>
  <c r="D40"/>
  <c r="M40" s="1"/>
  <c r="D41"/>
  <c r="D42"/>
  <c r="M42" s="1"/>
  <c r="D43"/>
  <c r="M43" s="1"/>
  <c r="D34"/>
  <c r="V8"/>
  <c r="V7"/>
  <c r="V5" i="1"/>
  <c r="Z14"/>
  <c r="Z13"/>
  <c r="Z12"/>
  <c r="Z11"/>
  <c r="Z10"/>
  <c r="Z9"/>
  <c r="Z8"/>
  <c r="Z7"/>
  <c r="Z6"/>
  <c r="Z5"/>
  <c r="Q22" i="2"/>
  <c r="Q23"/>
  <c r="Q26"/>
  <c r="Q27"/>
  <c r="R23"/>
  <c r="R24"/>
  <c r="R27"/>
  <c r="R28"/>
  <c r="P21"/>
  <c r="P22"/>
  <c r="P25"/>
  <c r="P26"/>
  <c r="P29"/>
  <c r="O24"/>
  <c r="O25"/>
  <c r="O28"/>
  <c r="O29"/>
  <c r="N23"/>
  <c r="N27"/>
  <c r="E22"/>
  <c r="N22" s="1"/>
  <c r="F22"/>
  <c r="G22"/>
  <c r="O22" s="1"/>
  <c r="H22"/>
  <c r="I22"/>
  <c r="J22"/>
  <c r="R22" s="1"/>
  <c r="K22"/>
  <c r="E23"/>
  <c r="F23"/>
  <c r="G23"/>
  <c r="O23" s="1"/>
  <c r="H23"/>
  <c r="P23" s="1"/>
  <c r="I23"/>
  <c r="J23"/>
  <c r="K23"/>
  <c r="E24"/>
  <c r="N24" s="1"/>
  <c r="F24"/>
  <c r="G24"/>
  <c r="H24"/>
  <c r="P24" s="1"/>
  <c r="I24"/>
  <c r="Q24" s="1"/>
  <c r="T24" s="1"/>
  <c r="J24"/>
  <c r="K24"/>
  <c r="E25"/>
  <c r="N25" s="1"/>
  <c r="F25"/>
  <c r="G25"/>
  <c r="H25"/>
  <c r="I25"/>
  <c r="Q25" s="1"/>
  <c r="J25"/>
  <c r="R25" s="1"/>
  <c r="K25"/>
  <c r="E26"/>
  <c r="N26" s="1"/>
  <c r="F26"/>
  <c r="G26"/>
  <c r="O26" s="1"/>
  <c r="H26"/>
  <c r="I26"/>
  <c r="J26"/>
  <c r="R26" s="1"/>
  <c r="K26"/>
  <c r="E27"/>
  <c r="F27"/>
  <c r="G27"/>
  <c r="O27" s="1"/>
  <c r="H27"/>
  <c r="P27" s="1"/>
  <c r="I27"/>
  <c r="J27"/>
  <c r="K27"/>
  <c r="E28"/>
  <c r="N28" s="1"/>
  <c r="T28" s="1"/>
  <c r="F28"/>
  <c r="G28"/>
  <c r="H28"/>
  <c r="P28" s="1"/>
  <c r="I28"/>
  <c r="Q28" s="1"/>
  <c r="J28"/>
  <c r="K28"/>
  <c r="E29"/>
  <c r="N29" s="1"/>
  <c r="F29"/>
  <c r="G29"/>
  <c r="H29"/>
  <c r="I29"/>
  <c r="Q29" s="1"/>
  <c r="J29"/>
  <c r="R29" s="1"/>
  <c r="K29"/>
  <c r="E21"/>
  <c r="N21" s="1"/>
  <c r="F21"/>
  <c r="G21"/>
  <c r="O21" s="1"/>
  <c r="H21"/>
  <c r="I21"/>
  <c r="Q21" s="1"/>
  <c r="J21"/>
  <c r="R21" s="1"/>
  <c r="K21"/>
  <c r="D24"/>
  <c r="D25"/>
  <c r="D26"/>
  <c r="D27"/>
  <c r="D28"/>
  <c r="D29"/>
  <c r="D21"/>
  <c r="D22"/>
  <c r="D23"/>
  <c r="E20"/>
  <c r="F20"/>
  <c r="G20"/>
  <c r="O20" s="1"/>
  <c r="H20"/>
  <c r="P20" s="1"/>
  <c r="I20"/>
  <c r="Q20" s="1"/>
  <c r="J20"/>
  <c r="R20" s="1"/>
  <c r="K20"/>
  <c r="D20"/>
  <c r="X6" i="1"/>
  <c r="X7"/>
  <c r="X8"/>
  <c r="X9"/>
  <c r="X10"/>
  <c r="X11"/>
  <c r="X12"/>
  <c r="X13"/>
  <c r="X14"/>
  <c r="X5"/>
  <c r="S14"/>
  <c r="T14" s="1"/>
  <c r="S13"/>
  <c r="T13" s="1"/>
  <c r="S12"/>
  <c r="T12" s="1"/>
  <c r="S11"/>
  <c r="T11" s="1"/>
  <c r="S10"/>
  <c r="T10" s="1"/>
  <c r="S9"/>
  <c r="T9" s="1"/>
  <c r="S8"/>
  <c r="T8" s="1"/>
  <c r="S7"/>
  <c r="T7" s="1"/>
  <c r="S6"/>
  <c r="T6" s="1"/>
  <c r="S5"/>
  <c r="T5" s="1"/>
  <c r="V9" i="2"/>
  <c r="V10"/>
  <c r="V11"/>
  <c r="V12"/>
  <c r="V13"/>
  <c r="V14"/>
  <c r="V15"/>
  <c r="V16"/>
  <c r="S8"/>
  <c r="S9"/>
  <c r="S10"/>
  <c r="S11"/>
  <c r="S12"/>
  <c r="S13"/>
  <c r="S14"/>
  <c r="S15"/>
  <c r="S16"/>
  <c r="S7"/>
  <c r="R8"/>
  <c r="R9"/>
  <c r="R10"/>
  <c r="R11"/>
  <c r="R12"/>
  <c r="R13"/>
  <c r="R14"/>
  <c r="R15"/>
  <c r="R16"/>
  <c r="R7"/>
  <c r="Q8"/>
  <c r="Q9"/>
  <c r="Q10"/>
  <c r="Q11"/>
  <c r="Q12"/>
  <c r="Q13"/>
  <c r="Q14"/>
  <c r="Q15"/>
  <c r="Q16"/>
  <c r="Q7"/>
  <c r="P8"/>
  <c r="T8" s="1"/>
  <c r="P9"/>
  <c r="P10"/>
  <c r="P11"/>
  <c r="T11" s="1"/>
  <c r="P12"/>
  <c r="T12" s="1"/>
  <c r="P13"/>
  <c r="P14"/>
  <c r="P15"/>
  <c r="T15" s="1"/>
  <c r="P16"/>
  <c r="T16" s="1"/>
  <c r="P7"/>
  <c r="O8"/>
  <c r="O9"/>
  <c r="T9" s="1"/>
  <c r="U9" s="1"/>
  <c r="O10"/>
  <c r="T10" s="1"/>
  <c r="U10" s="1"/>
  <c r="O11"/>
  <c r="O12"/>
  <c r="O13"/>
  <c r="T13" s="1"/>
  <c r="U13" s="1"/>
  <c r="O14"/>
  <c r="T14" s="1"/>
  <c r="U14" s="1"/>
  <c r="O15"/>
  <c r="O16"/>
  <c r="O7"/>
  <c r="T7" s="1"/>
  <c r="U7" s="1"/>
  <c r="N8"/>
  <c r="U8" s="1"/>
  <c r="N9"/>
  <c r="N10"/>
  <c r="N11"/>
  <c r="U11" s="1"/>
  <c r="N12"/>
  <c r="U12" s="1"/>
  <c r="N13"/>
  <c r="N14"/>
  <c r="N15"/>
  <c r="U15" s="1"/>
  <c r="N16"/>
  <c r="U16" s="1"/>
  <c r="N7"/>
  <c r="Q6" i="1"/>
  <c r="Q7"/>
  <c r="Q8"/>
  <c r="Q9"/>
  <c r="Q10"/>
  <c r="Q11"/>
  <c r="Q12"/>
  <c r="Q13"/>
  <c r="Q14"/>
  <c r="Q5"/>
  <c r="C6"/>
  <c r="J6" s="1"/>
  <c r="C7"/>
  <c r="J7" s="1"/>
  <c r="C8"/>
  <c r="P8" s="1"/>
  <c r="C9"/>
  <c r="P9" s="1"/>
  <c r="C10"/>
  <c r="J10" s="1"/>
  <c r="C11"/>
  <c r="J11" s="1"/>
  <c r="C12"/>
  <c r="P12" s="1"/>
  <c r="C13"/>
  <c r="P13" s="1"/>
  <c r="C14"/>
  <c r="J14" s="1"/>
  <c r="C5"/>
  <c r="J5" s="1"/>
  <c r="I52" i="2" l="1"/>
  <c r="H52"/>
  <c r="D52"/>
  <c r="I55"/>
  <c r="K55"/>
  <c r="T23"/>
  <c r="L47"/>
  <c r="G52"/>
  <c r="K52"/>
  <c r="K48"/>
  <c r="T27"/>
  <c r="D47"/>
  <c r="D49"/>
  <c r="L56"/>
  <c r="L52"/>
  <c r="L48"/>
  <c r="G49"/>
  <c r="I47"/>
  <c r="I53"/>
  <c r="K47"/>
  <c r="K53"/>
  <c r="K49"/>
  <c r="T20"/>
  <c r="T26"/>
  <c r="T22"/>
  <c r="E56"/>
  <c r="N56" s="1"/>
  <c r="P56" s="1"/>
  <c r="Q56" s="1"/>
  <c r="E52"/>
  <c r="E48"/>
  <c r="F52"/>
  <c r="T29"/>
  <c r="T25"/>
  <c r="F47"/>
  <c r="F53"/>
  <c r="G55"/>
  <c r="N55" s="1"/>
  <c r="P55" s="1"/>
  <c r="Q55" s="1"/>
  <c r="G51"/>
  <c r="N51" s="1"/>
  <c r="P51" s="1"/>
  <c r="Q51" s="1"/>
  <c r="J53"/>
  <c r="J49"/>
  <c r="K51"/>
  <c r="L55"/>
  <c r="I56"/>
  <c r="H56"/>
  <c r="D56"/>
  <c r="I48"/>
  <c r="D48"/>
  <c r="H48"/>
  <c r="H53"/>
  <c r="E53"/>
  <c r="G56"/>
  <c r="G48"/>
  <c r="K56"/>
  <c r="G53"/>
  <c r="T21"/>
  <c r="L53"/>
  <c r="F56"/>
  <c r="F48"/>
  <c r="J56"/>
  <c r="J52"/>
  <c r="J48"/>
  <c r="M34"/>
  <c r="M36"/>
  <c r="M37"/>
  <c r="D53"/>
  <c r="D55"/>
  <c r="D51"/>
  <c r="M41"/>
  <c r="P14" i="1"/>
  <c r="Y14" s="1"/>
  <c r="P5"/>
  <c r="Y5" s="1"/>
  <c r="V9"/>
  <c r="V13"/>
  <c r="I14"/>
  <c r="I6"/>
  <c r="P10"/>
  <c r="I10"/>
  <c r="P6"/>
  <c r="Y6" s="1"/>
  <c r="I11"/>
  <c r="P7"/>
  <c r="Y7" s="1"/>
  <c r="I5"/>
  <c r="I7"/>
  <c r="P11"/>
  <c r="Y11" s="1"/>
  <c r="V7"/>
  <c r="Y10"/>
  <c r="V10"/>
  <c r="V8"/>
  <c r="Y12"/>
  <c r="Y8"/>
  <c r="V12"/>
  <c r="Y9"/>
  <c r="Y13"/>
  <c r="J12"/>
  <c r="J8"/>
  <c r="I12"/>
  <c r="I8"/>
  <c r="J13"/>
  <c r="J9"/>
  <c r="I13"/>
  <c r="I9"/>
  <c r="H54" i="2" l="1"/>
  <c r="E54"/>
  <c r="E50"/>
  <c r="H50"/>
  <c r="E47"/>
  <c r="H47"/>
  <c r="E49"/>
  <c r="N49" s="1"/>
  <c r="P49" s="1"/>
  <c r="Q49" s="1"/>
  <c r="H49"/>
  <c r="K54"/>
  <c r="I50"/>
  <c r="L50"/>
  <c r="J54"/>
  <c r="K50"/>
  <c r="G54"/>
  <c r="N52"/>
  <c r="P52" s="1"/>
  <c r="Q52" s="1"/>
  <c r="J50"/>
  <c r="G50"/>
  <c r="N53"/>
  <c r="P53" s="1"/>
  <c r="Q53" s="1"/>
  <c r="J47"/>
  <c r="N48"/>
  <c r="P48" s="1"/>
  <c r="Q48" s="1"/>
  <c r="D54"/>
  <c r="F50"/>
  <c r="I54"/>
  <c r="F54"/>
  <c r="F49"/>
  <c r="L54"/>
  <c r="L49"/>
  <c r="D50"/>
  <c r="I49"/>
  <c r="G47"/>
  <c r="V11" i="1"/>
  <c r="V14"/>
  <c r="V6"/>
  <c r="N54" i="2" l="1"/>
  <c r="P54" s="1"/>
  <c r="Q54" s="1"/>
  <c r="N50"/>
  <c r="P50" s="1"/>
  <c r="Q50" s="1"/>
  <c r="N47"/>
  <c r="P47" s="1"/>
  <c r="Q47" s="1"/>
</calcChain>
</file>

<file path=xl/sharedStrings.xml><?xml version="1.0" encoding="utf-8"?>
<sst xmlns="http://schemas.openxmlformats.org/spreadsheetml/2006/main" count="215" uniqueCount="117">
  <si>
    <t>Test</t>
  </si>
  <si>
    <t>Eng</t>
  </si>
  <si>
    <t>Speed</t>
  </si>
  <si>
    <t>Power</t>
  </si>
  <si>
    <t>BMEP</t>
  </si>
  <si>
    <t>A/F[1]</t>
  </si>
  <si>
    <t>l[2]</t>
  </si>
  <si>
    <t>Fuel</t>
  </si>
  <si>
    <t>Flow</t>
  </si>
  <si>
    <t>Comb.</t>
  </si>
  <si>
    <t>Eff.[3]</t>
  </si>
  <si>
    <r>
      <t>(</t>
    </r>
    <r>
      <rPr>
        <i/>
        <sz val="9"/>
        <color theme="1"/>
        <rFont val="Symbol"/>
        <family val="1"/>
        <charset val="2"/>
      </rPr>
      <t>h</t>
    </r>
    <r>
      <rPr>
        <i/>
        <vertAlign val="subscript"/>
        <sz val="9"/>
        <color theme="1"/>
        <rFont val="Calibri"/>
        <family val="2"/>
        <scheme val="minor"/>
      </rPr>
      <t>c</t>
    </r>
    <r>
      <rPr>
        <sz val="9"/>
        <color theme="1"/>
        <rFont val="Calibri"/>
        <family val="2"/>
        <scheme val="minor"/>
      </rPr>
      <t>)</t>
    </r>
  </si>
  <si>
    <t>BSFC[4]</t>
  </si>
  <si>
    <t>Fuel Conv Eff.[5]</t>
  </si>
  <si>
    <t>NOx</t>
  </si>
  <si>
    <t>BSE[6]</t>
  </si>
  <si>
    <t>PM</t>
  </si>
  <si>
    <t>BSE[7]</t>
  </si>
  <si>
    <t>(rpm)</t>
  </si>
  <si>
    <t>(kW)</t>
  </si>
  <si>
    <t>(BAR)</t>
  </si>
  <si>
    <t>(-)</t>
  </si>
  <si>
    <t>(kg/min)</t>
  </si>
  <si>
    <t>(%)</t>
  </si>
  <si>
    <r>
      <t>(g/kW</t>
    </r>
    <r>
      <rPr>
        <sz val="9"/>
        <color theme="1"/>
        <rFont val="Symbol"/>
        <family val="1"/>
        <charset val="2"/>
      </rPr>
      <t>×</t>
    </r>
    <r>
      <rPr>
        <sz val="9"/>
        <color theme="1"/>
        <rFont val="Calibri"/>
        <family val="2"/>
        <scheme val="minor"/>
      </rPr>
      <t>h)</t>
    </r>
  </si>
  <si>
    <t>(g/bhp-h)</t>
  </si>
  <si>
    <t>ISM-1</t>
  </si>
  <si>
    <t>ISM-2</t>
  </si>
  <si>
    <t>ISM-3</t>
  </si>
  <si>
    <t>ISM-4</t>
  </si>
  <si>
    <t>ISM-5</t>
  </si>
  <si>
    <t>ISL-2</t>
  </si>
  <si>
    <t>ISL-1</t>
  </si>
  <si>
    <t>ISL-4</t>
  </si>
  <si>
    <t>ISL-5</t>
  </si>
  <si>
    <t>ISL-3</t>
  </si>
  <si>
    <t xml:space="preserve">[1] </t>
  </si>
  <si>
    <t xml:space="preserve">See Heywood section 4.9 (e.g., solving for unknowns in equation 4.57). A/F needs to be calculated based upon information on emissions. </t>
  </si>
  <si>
    <t xml:space="preserve">[2] </t>
  </si>
  <si>
    <t>Provide calculation of stoichiometric A/F from fuel data.</t>
  </si>
  <si>
    <t xml:space="preserve">[3] </t>
  </si>
  <si>
    <t>Heywood equation 3.27 including PM</t>
  </si>
  <si>
    <t xml:space="preserve">[4] </t>
  </si>
  <si>
    <t>Heywood equation 2.22</t>
  </si>
  <si>
    <t xml:space="preserve">[5] </t>
  </si>
  <si>
    <t>Heywood equation 2.23</t>
  </si>
  <si>
    <t xml:space="preserve">[6]   </t>
  </si>
  <si>
    <r>
      <t>BSE is brake specific emissions in the units (g/bhp-h) regulated by EPA. Compare in a separate table to 2004 standard of 2.0 g/bhp-h and 2007 standard of 0.2 g/bhp-h. NOx molar mass for both NO and NO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are evaluated at 46.0 gm/gmol. See</t>
    </r>
  </si>
  <si>
    <t xml:space="preserve">http://www.dieselnet.com/standards/us/hd.php. </t>
  </si>
  <si>
    <t xml:space="preserve">[7] </t>
  </si>
  <si>
    <t>Again compare to 1994 standard of 0.1g/bhp-h and 2007 standard of 0.01 bhp-h in the same table as for NOx BSE.</t>
  </si>
  <si>
    <t>Torque</t>
  </si>
  <si>
    <t>N-m</t>
  </si>
  <si>
    <t>phi</t>
  </si>
  <si>
    <t>m_Nox</t>
  </si>
  <si>
    <t>P_bhp</t>
  </si>
  <si>
    <t>H_R</t>
  </si>
  <si>
    <t>O2</t>
  </si>
  <si>
    <t>CO2</t>
  </si>
  <si>
    <t>CO</t>
  </si>
  <si>
    <t>NO</t>
  </si>
  <si>
    <t>NO2</t>
  </si>
  <si>
    <t>HC</t>
  </si>
  <si>
    <t>H2O</t>
  </si>
  <si>
    <t>H2</t>
  </si>
  <si>
    <t>m_exhaust</t>
  </si>
  <si>
    <t>hCO</t>
  </si>
  <si>
    <t>hNO</t>
  </si>
  <si>
    <t>hNO2</t>
  </si>
  <si>
    <t>hHC</t>
  </si>
  <si>
    <t>hH2O</t>
  </si>
  <si>
    <t>np*sum</t>
  </si>
  <si>
    <t>Numerator</t>
  </si>
  <si>
    <t>m_fuel</t>
  </si>
  <si>
    <t>Denominator</t>
  </si>
  <si>
    <t>Exhaust flow rate</t>
  </si>
  <si>
    <t>V_scm</t>
  </si>
  <si>
    <t>Engine PM conc(mg/scm)</t>
  </si>
  <si>
    <t>PM(g/bhp-h)</t>
  </si>
  <si>
    <t>Nox/PM</t>
  </si>
  <si>
    <t>Nox(mg/scm)</t>
  </si>
  <si>
    <t>BSE Nox</t>
  </si>
  <si>
    <t>nP</t>
  </si>
  <si>
    <t>moles</t>
  </si>
  <si>
    <t>Heats of formation</t>
  </si>
  <si>
    <t>H_products</t>
  </si>
  <si>
    <t>x_O2</t>
  </si>
  <si>
    <t>x_CO2</t>
  </si>
  <si>
    <t>x_CO</t>
  </si>
  <si>
    <t>x_NO</t>
  </si>
  <si>
    <t>x_NO2</t>
  </si>
  <si>
    <t>x_HC</t>
  </si>
  <si>
    <t>x_H2O</t>
  </si>
  <si>
    <t>x_H2</t>
  </si>
  <si>
    <t>n_p</t>
  </si>
  <si>
    <t>meDOT</t>
  </si>
  <si>
    <t>mf_fuel</t>
  </si>
  <si>
    <t>lambda</t>
  </si>
  <si>
    <t>AF_actual</t>
  </si>
  <si>
    <t>mfDOT</t>
  </si>
  <si>
    <t>m_NOx</t>
  </si>
  <si>
    <t>ISM</t>
  </si>
  <si>
    <t>ISL</t>
  </si>
  <si>
    <t xml:space="preserve">CPF Temperature </t>
  </si>
  <si>
    <t>mass fractions</t>
  </si>
  <si>
    <t>masses</t>
  </si>
  <si>
    <t>N2</t>
  </si>
  <si>
    <t>Total</t>
  </si>
  <si>
    <t xml:space="preserve">co2 </t>
  </si>
  <si>
    <t>co</t>
  </si>
  <si>
    <t>no</t>
  </si>
  <si>
    <t>no2</t>
  </si>
  <si>
    <t>ch</t>
  </si>
  <si>
    <t>h2o</t>
  </si>
  <si>
    <t>Combustion efficiency</t>
  </si>
  <si>
    <t>H_Reactants</t>
  </si>
  <si>
    <t>Hp - Hr</t>
  </si>
</sst>
</file>

<file path=xl/styles.xml><?xml version="1.0" encoding="utf-8"?>
<styleSheet xmlns="http://schemas.openxmlformats.org/spreadsheetml/2006/main">
  <numFmts count="3">
    <numFmt numFmtId="164" formatCode="0.0"/>
    <numFmt numFmtId="168" formatCode="0.0000"/>
    <numFmt numFmtId="169" formatCode="0.000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ymbol"/>
      <family val="1"/>
      <charset val="2"/>
    </font>
    <font>
      <i/>
      <sz val="9"/>
      <color theme="1"/>
      <name val="Symbol"/>
      <family val="1"/>
      <charset val="2"/>
    </font>
    <font>
      <i/>
      <vertAlign val="sub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9" fillId="0" borderId="5" xfId="1" applyBorder="1" applyAlignment="1" applyProtection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9" fillId="0" borderId="8" xfId="1" applyBorder="1" applyAlignment="1" applyProtection="1">
      <alignment horizontal="center" wrapText="1"/>
    </xf>
    <xf numFmtId="0" fontId="0" fillId="0" borderId="9" xfId="0" applyBorder="1" applyAlignment="1">
      <alignment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 vertical="top" wrapText="1"/>
    </xf>
    <xf numFmtId="0" fontId="5" fillId="2" borderId="12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wrapText="1"/>
    </xf>
    <xf numFmtId="0" fontId="7" fillId="0" borderId="0" xfId="0" applyFont="1" applyAlignment="1">
      <alignment horizontal="left" indent="2"/>
    </xf>
    <xf numFmtId="0" fontId="9" fillId="0" borderId="0" xfId="1" applyAlignment="1" applyProtection="1">
      <alignment horizontal="left" indent="2"/>
    </xf>
    <xf numFmtId="0" fontId="6" fillId="0" borderId="0" xfId="0" applyFont="1" applyAlignment="1">
      <alignment horizontal="left" indent="2"/>
    </xf>
    <xf numFmtId="0" fontId="1" fillId="0" borderId="0" xfId="0" applyFont="1" applyFill="1" applyBorder="1" applyAlignment="1">
      <alignment horizontal="center" wrapText="1"/>
    </xf>
    <xf numFmtId="2" fontId="1" fillId="0" borderId="6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 wrapText="1"/>
    </xf>
    <xf numFmtId="2" fontId="1" fillId="0" borderId="10" xfId="0" applyNumberFormat="1" applyFont="1" applyBorder="1" applyAlignment="1">
      <alignment horizontal="center" vertical="top" wrapText="1"/>
    </xf>
    <xf numFmtId="2" fontId="5" fillId="0" borderId="6" xfId="0" applyNumberFormat="1" applyFont="1" applyBorder="1" applyAlignment="1">
      <alignment horizontal="center" vertical="top" wrapText="1"/>
    </xf>
    <xf numFmtId="2" fontId="5" fillId="0" borderId="10" xfId="0" applyNumberFormat="1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9" fillId="0" borderId="13" xfId="1" applyBorder="1" applyAlignment="1" applyProtection="1">
      <alignment horizontal="center" wrapText="1"/>
    </xf>
    <xf numFmtId="0" fontId="9" fillId="0" borderId="14" xfId="1" applyBorder="1" applyAlignment="1" applyProtection="1">
      <alignment horizontal="center" wrapText="1"/>
    </xf>
    <xf numFmtId="0" fontId="9" fillId="0" borderId="15" xfId="1" applyBorder="1" applyAlignment="1" applyProtection="1">
      <alignment horizontal="center" wrapText="1"/>
    </xf>
    <xf numFmtId="169" fontId="1" fillId="0" borderId="6" xfId="0" applyNumberFormat="1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 wrapText="1"/>
    </xf>
    <xf numFmtId="0" fontId="0" fillId="0" borderId="0" xfId="0" applyNumberFormat="1"/>
    <xf numFmtId="1" fontId="1" fillId="0" borderId="6" xfId="0" applyNumberFormat="1" applyFont="1" applyBorder="1" applyAlignment="1">
      <alignment horizontal="center" wrapText="1"/>
    </xf>
    <xf numFmtId="168" fontId="1" fillId="0" borderId="9" xfId="0" applyNumberFormat="1" applyFont="1" applyBorder="1" applyAlignment="1">
      <alignment horizontal="center" vertical="top" wrapText="1"/>
    </xf>
    <xf numFmtId="168" fontId="1" fillId="0" borderId="11" xfId="0" applyNumberFormat="1" applyFont="1" applyBorder="1" applyAlignment="1">
      <alignment horizontal="center" vertical="top" wrapText="1"/>
    </xf>
    <xf numFmtId="168" fontId="5" fillId="0" borderId="9" xfId="0" applyNumberFormat="1" applyFont="1" applyBorder="1" applyAlignment="1">
      <alignment horizontal="center" vertical="top" wrapText="1"/>
    </xf>
    <xf numFmtId="168" fontId="5" fillId="0" borderId="11" xfId="0" applyNumberFormat="1" applyFont="1" applyBorder="1" applyAlignment="1">
      <alignment horizontal="center" vertical="top" wrapText="1"/>
    </xf>
    <xf numFmtId="169" fontId="1" fillId="0" borderId="10" xfId="0" applyNumberFormat="1" applyFont="1" applyBorder="1" applyAlignment="1">
      <alignment horizontal="center" wrapText="1"/>
    </xf>
    <xf numFmtId="169" fontId="5" fillId="0" borderId="6" xfId="0" applyNumberFormat="1" applyFont="1" applyBorder="1" applyAlignment="1">
      <alignment horizontal="center" wrapText="1"/>
    </xf>
    <xf numFmtId="169" fontId="5" fillId="0" borderId="10" xfId="0" applyNumberFormat="1" applyFont="1" applyBorder="1" applyAlignment="1">
      <alignment horizontal="center" wrapText="1"/>
    </xf>
    <xf numFmtId="2" fontId="0" fillId="0" borderId="0" xfId="0" applyNumberFormat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/>
    </xf>
    <xf numFmtId="0" fontId="11" fillId="0" borderId="16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0" fillId="0" borderId="16" xfId="0" applyFont="1" applyBorder="1" applyAlignment="1">
      <alignment wrapText="1"/>
    </xf>
    <xf numFmtId="0" fontId="10" fillId="0" borderId="1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14</xdr:col>
      <xdr:colOff>466725</xdr:colOff>
      <xdr:row>45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5695950"/>
          <a:ext cx="7953375" cy="3162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eselnet.com/standards/us/hd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5"/>
  <sheetViews>
    <sheetView workbookViewId="0">
      <selection activeCell="A14" sqref="A5:A14"/>
    </sheetView>
  </sheetViews>
  <sheetFormatPr defaultRowHeight="15"/>
  <cols>
    <col min="6" max="6" width="10" bestFit="1" customWidth="1"/>
    <col min="9" max="10" width="10" bestFit="1" customWidth="1"/>
    <col min="19" max="19" width="8.42578125" customWidth="1"/>
    <col min="21" max="21" width="11.7109375" customWidth="1"/>
    <col min="22" max="22" width="15.85546875" customWidth="1"/>
  </cols>
  <sheetData>
    <row r="1" spans="1:26" ht="15.75" thickTop="1">
      <c r="A1" s="30" t="s">
        <v>0</v>
      </c>
      <c r="B1" s="1" t="s">
        <v>1</v>
      </c>
      <c r="C1" s="1" t="s">
        <v>1</v>
      </c>
      <c r="D1" s="1" t="s">
        <v>1</v>
      </c>
      <c r="E1" s="33" t="s">
        <v>5</v>
      </c>
      <c r="F1" s="33" t="s">
        <v>6</v>
      </c>
      <c r="G1" s="1" t="s">
        <v>7</v>
      </c>
      <c r="H1" s="1" t="s">
        <v>9</v>
      </c>
      <c r="I1" s="33" t="s">
        <v>12</v>
      </c>
      <c r="J1" s="33" t="s">
        <v>13</v>
      </c>
      <c r="K1" s="1" t="s">
        <v>14</v>
      </c>
      <c r="L1" s="6" t="s">
        <v>16</v>
      </c>
    </row>
    <row r="2" spans="1:26">
      <c r="A2" s="31"/>
      <c r="B2" s="2" t="s">
        <v>2</v>
      </c>
      <c r="C2" s="2" t="s">
        <v>3</v>
      </c>
      <c r="D2" s="2" t="s">
        <v>4</v>
      </c>
      <c r="E2" s="34"/>
      <c r="F2" s="34"/>
      <c r="G2" s="2" t="s">
        <v>8</v>
      </c>
      <c r="H2" s="4" t="s">
        <v>10</v>
      </c>
      <c r="I2" s="34"/>
      <c r="J2" s="34"/>
      <c r="K2" s="4" t="s">
        <v>15</v>
      </c>
      <c r="L2" s="7" t="s">
        <v>17</v>
      </c>
    </row>
    <row r="3" spans="1:26" ht="15.75" thickBot="1">
      <c r="A3" s="31"/>
      <c r="B3" s="3"/>
      <c r="C3" s="3"/>
      <c r="D3" s="3"/>
      <c r="E3" s="35"/>
      <c r="F3" s="35"/>
      <c r="G3" s="3"/>
      <c r="H3" s="5" t="s">
        <v>11</v>
      </c>
      <c r="I3" s="35"/>
      <c r="J3" s="35"/>
      <c r="K3" s="3"/>
      <c r="L3" s="8"/>
      <c r="M3" t="s">
        <v>51</v>
      </c>
      <c r="N3" t="s">
        <v>53</v>
      </c>
    </row>
    <row r="4" spans="1:26" ht="25.5" thickBot="1">
      <c r="A4" s="32"/>
      <c r="B4" s="9" t="s">
        <v>18</v>
      </c>
      <c r="C4" s="9" t="s">
        <v>19</v>
      </c>
      <c r="D4" s="9" t="s">
        <v>20</v>
      </c>
      <c r="E4" s="9" t="s">
        <v>21</v>
      </c>
      <c r="F4" s="9" t="s">
        <v>21</v>
      </c>
      <c r="G4" s="9" t="s">
        <v>22</v>
      </c>
      <c r="H4" s="9" t="s">
        <v>23</v>
      </c>
      <c r="I4" s="9" t="s">
        <v>24</v>
      </c>
      <c r="J4" s="9" t="s">
        <v>23</v>
      </c>
      <c r="K4" s="9" t="s">
        <v>25</v>
      </c>
      <c r="L4" s="10" t="s">
        <v>25</v>
      </c>
      <c r="M4" s="24" t="s">
        <v>52</v>
      </c>
      <c r="O4" s="24" t="s">
        <v>54</v>
      </c>
      <c r="P4" s="24" t="s">
        <v>55</v>
      </c>
      <c r="Q4" s="24" t="s">
        <v>56</v>
      </c>
      <c r="R4" s="51" t="s">
        <v>75</v>
      </c>
      <c r="S4" s="51" t="s">
        <v>103</v>
      </c>
      <c r="T4" s="51" t="s">
        <v>76</v>
      </c>
      <c r="U4" s="51" t="s">
        <v>77</v>
      </c>
      <c r="V4" s="51" t="s">
        <v>78</v>
      </c>
      <c r="W4" s="51" t="s">
        <v>79</v>
      </c>
      <c r="X4" s="51" t="s">
        <v>80</v>
      </c>
      <c r="Y4" s="51" t="s">
        <v>81</v>
      </c>
      <c r="Z4" s="51" t="s">
        <v>55</v>
      </c>
    </row>
    <row r="5" spans="1:26" ht="16.5" thickTop="1" thickBot="1">
      <c r="A5" s="11" t="s">
        <v>26</v>
      </c>
      <c r="B5" s="12">
        <v>1170</v>
      </c>
      <c r="C5" s="26">
        <f>2*3.14*B5*M5/60000</f>
        <v>62.454599999999999</v>
      </c>
      <c r="D5" s="25">
        <v>2.9677113010446301</v>
      </c>
      <c r="E5" s="5">
        <v>26.25</v>
      </c>
      <c r="F5" s="37">
        <v>1.81</v>
      </c>
      <c r="G5" s="5">
        <v>0.24959999999999999</v>
      </c>
      <c r="H5" s="12"/>
      <c r="I5" s="39">
        <f>G5*60*1000/C5</f>
        <v>239.79018358935932</v>
      </c>
      <c r="J5" s="37">
        <f>C5*60/(42800*G5)</f>
        <v>0.35077394859813082</v>
      </c>
      <c r="K5" s="36">
        <v>2.7699737089021473E-2</v>
      </c>
      <c r="L5" s="40">
        <v>2.1472664410094201E-3</v>
      </c>
      <c r="M5">
        <v>510</v>
      </c>
      <c r="N5">
        <v>0.52680000000000005</v>
      </c>
      <c r="O5">
        <v>8.4580000000000002E-3</v>
      </c>
      <c r="P5">
        <f>C5*1.341</f>
        <v>83.7516186</v>
      </c>
      <c r="Q5">
        <f>G5*86.66</f>
        <v>21.630336</v>
      </c>
      <c r="R5" s="48">
        <v>0.188</v>
      </c>
      <c r="S5" s="48">
        <f>327+273</f>
        <v>600</v>
      </c>
      <c r="T5" s="48">
        <f>R5*298/S5</f>
        <v>9.3373333333333336E-2</v>
      </c>
      <c r="U5" s="48">
        <v>32.1</v>
      </c>
      <c r="V5" s="48">
        <f>T5*U5*(60/1000)/P5</f>
        <v>2.1472664410094157E-3</v>
      </c>
      <c r="W5" s="48">
        <v>12.9</v>
      </c>
      <c r="X5" s="48">
        <f>U5*W5</f>
        <v>414.09000000000003</v>
      </c>
      <c r="Y5" s="48">
        <f>X5*T5*(60/1000)/P5</f>
        <v>2.7699737089021473E-2</v>
      </c>
      <c r="Z5" s="48">
        <f>M5*1.341</f>
        <v>683.91</v>
      </c>
    </row>
    <row r="6" spans="1:26" ht="15.75" thickBot="1">
      <c r="A6" s="11" t="s">
        <v>27</v>
      </c>
      <c r="B6" s="12">
        <v>1130</v>
      </c>
      <c r="C6" s="26">
        <f t="shared" ref="C6:C14" si="0">2*3.14*B6*M6/60000</f>
        <v>68.598533333333336</v>
      </c>
      <c r="D6" s="25">
        <v>3.3726647000983299</v>
      </c>
      <c r="E6" s="5">
        <v>24.66</v>
      </c>
      <c r="F6" s="37">
        <v>1.7010000000000001</v>
      </c>
      <c r="G6" s="5">
        <v>0.26500000000000001</v>
      </c>
      <c r="H6" s="12"/>
      <c r="I6" s="39">
        <f t="shared" ref="I6:I14" si="1">G6*60*1000/C6</f>
        <v>231.78338118016129</v>
      </c>
      <c r="J6" s="37">
        <f t="shared" ref="J6:J14" si="2">C6*60/(42800*G6)</f>
        <v>0.36289120084641158</v>
      </c>
      <c r="K6" s="36">
        <v>2.8056430045503712E-2</v>
      </c>
      <c r="L6" s="40">
        <v>1.8580417248677955E-3</v>
      </c>
      <c r="M6">
        <v>580</v>
      </c>
      <c r="N6">
        <v>0.49070000000000003</v>
      </c>
      <c r="O6">
        <v>0.1022</v>
      </c>
      <c r="P6">
        <f t="shared" ref="P6:P14" si="3">C6*1.341</f>
        <v>91.990633200000005</v>
      </c>
      <c r="Q6">
        <f t="shared" ref="Q6:Q14" si="4">G6*86.66</f>
        <v>22.9649</v>
      </c>
      <c r="R6" s="48">
        <v>0.19400000000000001</v>
      </c>
      <c r="S6" s="48">
        <f>348+273</f>
        <v>621</v>
      </c>
      <c r="T6" s="48">
        <f t="shared" ref="T6:T14" si="5">R6*298/S6</f>
        <v>9.3095008051529801E-2</v>
      </c>
      <c r="U6" s="48">
        <v>30.6</v>
      </c>
      <c r="V6" s="48">
        <f>T6*U6*(60/1000)/P6</f>
        <v>1.8580417248677955E-3</v>
      </c>
      <c r="W6" s="48">
        <v>15.1</v>
      </c>
      <c r="X6" s="48">
        <f>U6*W6</f>
        <v>462.06</v>
      </c>
      <c r="Y6" s="48">
        <f t="shared" ref="Y6:Y14" si="6">X6*T6*(60/1000)/P6</f>
        <v>2.8056430045503712E-2</v>
      </c>
      <c r="Z6" s="48">
        <f>M6*1.341</f>
        <v>777.78</v>
      </c>
    </row>
    <row r="7" spans="1:26" ht="15.75" thickBot="1">
      <c r="A7" s="11" t="s">
        <v>28</v>
      </c>
      <c r="B7" s="12">
        <v>1300</v>
      </c>
      <c r="C7" s="26">
        <f t="shared" si="0"/>
        <v>157.83733333333333</v>
      </c>
      <c r="D7" s="25">
        <v>6.7435897435897401</v>
      </c>
      <c r="E7" s="5">
        <v>23.96</v>
      </c>
      <c r="F7" s="37">
        <v>1.6519999999999999</v>
      </c>
      <c r="G7" s="5">
        <v>0.57689999999999997</v>
      </c>
      <c r="H7" s="12"/>
      <c r="I7" s="39">
        <f t="shared" si="1"/>
        <v>219.30172836168882</v>
      </c>
      <c r="J7" s="37">
        <f t="shared" si="2"/>
        <v>0.38354531065977843</v>
      </c>
      <c r="K7" s="36">
        <v>4.7086518565416229E-2</v>
      </c>
      <c r="L7" s="40">
        <v>2.9410692420622254E-4</v>
      </c>
      <c r="M7">
        <v>1160</v>
      </c>
      <c r="N7">
        <v>0.47349999999999998</v>
      </c>
      <c r="O7">
        <v>0.15620000000000001</v>
      </c>
      <c r="P7">
        <f t="shared" si="3"/>
        <v>211.659864</v>
      </c>
      <c r="Q7">
        <f t="shared" si="4"/>
        <v>49.994153999999995</v>
      </c>
      <c r="R7" s="48">
        <v>0.441</v>
      </c>
      <c r="S7" s="48">
        <f>411+273</f>
        <v>684</v>
      </c>
      <c r="T7" s="48">
        <f t="shared" si="5"/>
        <v>0.19213157894736843</v>
      </c>
      <c r="U7" s="48">
        <v>5.4</v>
      </c>
      <c r="V7" s="48">
        <f>T7*U7*(60/1000)/P7</f>
        <v>2.9410692420622254E-4</v>
      </c>
      <c r="W7" s="48">
        <v>160.1</v>
      </c>
      <c r="X7" s="48">
        <f>U7*W7</f>
        <v>864.54000000000008</v>
      </c>
      <c r="Y7" s="48">
        <f t="shared" si="6"/>
        <v>4.7086518565416229E-2</v>
      </c>
      <c r="Z7" s="48">
        <f>M7*1.341</f>
        <v>1555.56</v>
      </c>
    </row>
    <row r="8" spans="1:26" ht="15.75" thickBot="1">
      <c r="A8" s="11" t="s">
        <v>29</v>
      </c>
      <c r="B8" s="12">
        <v>1270</v>
      </c>
      <c r="C8" s="26">
        <f t="shared" si="0"/>
        <v>199.39</v>
      </c>
      <c r="D8" s="25">
        <v>8.72265966754156</v>
      </c>
      <c r="E8" s="5">
        <v>20.91</v>
      </c>
      <c r="F8" s="37">
        <v>1.4419999999999999</v>
      </c>
      <c r="G8" s="5">
        <v>0.77149999999999996</v>
      </c>
      <c r="H8" s="12"/>
      <c r="I8" s="39">
        <f t="shared" si="1"/>
        <v>232.15808215055921</v>
      </c>
      <c r="J8" s="37">
        <f t="shared" si="2"/>
        <v>0.36230549784677263</v>
      </c>
      <c r="K8" s="36">
        <v>3.8671978519993225E-2</v>
      </c>
      <c r="L8" s="40">
        <v>3.5544097904405541E-4</v>
      </c>
      <c r="M8">
        <v>1500</v>
      </c>
      <c r="N8">
        <v>0.3836</v>
      </c>
      <c r="O8">
        <v>0.1187</v>
      </c>
      <c r="P8">
        <f t="shared" si="3"/>
        <v>267.38198999999997</v>
      </c>
      <c r="Q8">
        <f t="shared" si="4"/>
        <v>66.858189999999993</v>
      </c>
      <c r="R8" s="48">
        <v>0.55100000000000005</v>
      </c>
      <c r="S8" s="48">
        <f>463+273</f>
        <v>736</v>
      </c>
      <c r="T8" s="48">
        <f t="shared" si="5"/>
        <v>0.22309510869565219</v>
      </c>
      <c r="U8" s="48">
        <v>7.1</v>
      </c>
      <c r="V8" s="48">
        <f>T8*U8*(60/1000)/P8</f>
        <v>3.5544097904405541E-4</v>
      </c>
      <c r="W8" s="48">
        <v>108.8</v>
      </c>
      <c r="X8" s="48">
        <f>U8*W8</f>
        <v>772.4799999999999</v>
      </c>
      <c r="Y8" s="48">
        <f t="shared" si="6"/>
        <v>3.8671978519993225E-2</v>
      </c>
      <c r="Z8" s="48">
        <f>M8*1.341</f>
        <v>2011.5</v>
      </c>
    </row>
    <row r="9" spans="1:26" ht="15.75" thickBot="1">
      <c r="A9" s="13" t="s">
        <v>30</v>
      </c>
      <c r="B9" s="14">
        <v>1780</v>
      </c>
      <c r="C9" s="26">
        <f t="shared" si="0"/>
        <v>111.78400000000001</v>
      </c>
      <c r="D9" s="27">
        <v>3.4893882646691599</v>
      </c>
      <c r="E9" s="9">
        <v>24.23</v>
      </c>
      <c r="F9" s="37">
        <v>1.671</v>
      </c>
      <c r="G9" s="9">
        <v>0.26550000000000001</v>
      </c>
      <c r="H9" s="14"/>
      <c r="I9" s="39">
        <f t="shared" si="1"/>
        <v>142.50697774278967</v>
      </c>
      <c r="J9" s="37">
        <f t="shared" si="2"/>
        <v>0.59023179682137383</v>
      </c>
      <c r="K9" s="44">
        <v>1.9775698276152463E-2</v>
      </c>
      <c r="L9" s="41">
        <v>1.4227121061980187E-3</v>
      </c>
      <c r="M9">
        <v>600</v>
      </c>
      <c r="N9">
        <v>0.4819</v>
      </c>
      <c r="O9">
        <v>1.4239999999999999E-2</v>
      </c>
      <c r="P9">
        <f t="shared" si="3"/>
        <v>149.902344</v>
      </c>
      <c r="Q9">
        <f t="shared" si="4"/>
        <v>23.008230000000001</v>
      </c>
      <c r="R9" s="48">
        <v>0.192</v>
      </c>
      <c r="S9" s="48">
        <f>358+273</f>
        <v>631</v>
      </c>
      <c r="T9" s="48">
        <f t="shared" si="5"/>
        <v>9.0675118858954046E-2</v>
      </c>
      <c r="U9" s="48">
        <v>39.200000000000003</v>
      </c>
      <c r="V9" s="48">
        <f>T9*U9*(60/1000)/P9</f>
        <v>1.4227121061980187E-3</v>
      </c>
      <c r="W9" s="48">
        <v>13.9</v>
      </c>
      <c r="X9" s="48">
        <f>U9*W9</f>
        <v>544.88000000000011</v>
      </c>
      <c r="Y9" s="48">
        <f t="shared" si="6"/>
        <v>1.9775698276152463E-2</v>
      </c>
      <c r="Z9" s="48">
        <f>M9*1.341</f>
        <v>804.6</v>
      </c>
    </row>
    <row r="10" spans="1:26" ht="16.5" thickTop="1" thickBot="1">
      <c r="A10" s="11" t="s">
        <v>31</v>
      </c>
      <c r="B10" s="12">
        <v>1290</v>
      </c>
      <c r="C10" s="26">
        <f t="shared" si="0"/>
        <v>74.260999999999996</v>
      </c>
      <c r="D10" s="25">
        <v>3.88293702639143</v>
      </c>
      <c r="E10" s="5">
        <v>24.92</v>
      </c>
      <c r="F10" s="37">
        <v>1.718</v>
      </c>
      <c r="G10" s="5">
        <v>0.29709999999999998</v>
      </c>
      <c r="H10" s="12"/>
      <c r="I10" s="39">
        <f t="shared" si="1"/>
        <v>240.04524582216771</v>
      </c>
      <c r="J10" s="37">
        <f t="shared" si="2"/>
        <v>0.35040123058726569</v>
      </c>
      <c r="K10" s="36">
        <v>2.3973382283731057E-2</v>
      </c>
      <c r="L10" s="40">
        <v>4.27333017535313E-4</v>
      </c>
      <c r="M10">
        <v>550</v>
      </c>
      <c r="N10">
        <v>0.49730000000000002</v>
      </c>
      <c r="O10">
        <v>7.5600000000000001E-2</v>
      </c>
      <c r="P10">
        <f t="shared" si="3"/>
        <v>99.584000999999986</v>
      </c>
      <c r="Q10">
        <f t="shared" si="4"/>
        <v>25.746685999999997</v>
      </c>
      <c r="R10" s="48">
        <v>0.218</v>
      </c>
      <c r="S10" s="48">
        <f>359+273</f>
        <v>632</v>
      </c>
      <c r="T10" s="48">
        <f t="shared" si="5"/>
        <v>0.10279113924050633</v>
      </c>
      <c r="U10" s="48">
        <v>6.9</v>
      </c>
      <c r="V10" s="48">
        <f>T10*U10*(60/1000)/P10</f>
        <v>4.27333017535313E-4</v>
      </c>
      <c r="W10" s="48">
        <v>56.1</v>
      </c>
      <c r="X10" s="48">
        <f>U10*W10</f>
        <v>387.09000000000003</v>
      </c>
      <c r="Y10" s="48">
        <f t="shared" si="6"/>
        <v>2.3973382283731057E-2</v>
      </c>
      <c r="Z10" s="48">
        <f>M10*1.341</f>
        <v>737.55</v>
      </c>
    </row>
    <row r="11" spans="1:26" ht="15.75" thickBot="1">
      <c r="A11" s="11" t="s">
        <v>32</v>
      </c>
      <c r="B11" s="12">
        <v>1200</v>
      </c>
      <c r="C11" s="26">
        <f t="shared" si="0"/>
        <v>35.167999999999999</v>
      </c>
      <c r="D11" s="25">
        <v>1.97752808988764</v>
      </c>
      <c r="E11" s="5">
        <v>35.89</v>
      </c>
      <c r="F11" s="37">
        <v>2.4750000000000001</v>
      </c>
      <c r="G11" s="5">
        <v>0.15179999999999999</v>
      </c>
      <c r="H11" s="12"/>
      <c r="I11" s="39">
        <f t="shared" si="1"/>
        <v>258.98544131028206</v>
      </c>
      <c r="J11" s="37">
        <f t="shared" si="2"/>
        <v>0.32477559011488305</v>
      </c>
      <c r="K11" s="36">
        <v>5.2269162442046886E-2</v>
      </c>
      <c r="L11" s="40">
        <v>5.8928029810650386E-4</v>
      </c>
      <c r="M11">
        <v>280</v>
      </c>
      <c r="N11">
        <v>0.66559999999999997</v>
      </c>
      <c r="O11">
        <v>0.15529999999999999</v>
      </c>
      <c r="P11">
        <f t="shared" si="3"/>
        <v>47.160288000000001</v>
      </c>
      <c r="Q11">
        <f t="shared" si="4"/>
        <v>13.154987999999999</v>
      </c>
      <c r="R11" s="48">
        <v>0.13600000000000001</v>
      </c>
      <c r="S11" s="48">
        <f>273+252</f>
        <v>525</v>
      </c>
      <c r="T11" s="48">
        <f t="shared" si="5"/>
        <v>7.7196190476190488E-2</v>
      </c>
      <c r="U11" s="48">
        <v>6</v>
      </c>
      <c r="V11" s="48">
        <f>T11*U11*(60/1000)/P11</f>
        <v>5.8928029810650386E-4</v>
      </c>
      <c r="W11" s="48">
        <v>88.7</v>
      </c>
      <c r="X11" s="48">
        <f>U11*W11</f>
        <v>532.20000000000005</v>
      </c>
      <c r="Y11" s="48">
        <f t="shared" si="6"/>
        <v>5.2269162442046886E-2</v>
      </c>
      <c r="Z11" s="48">
        <f>M11*1.341</f>
        <v>375.48</v>
      </c>
    </row>
    <row r="12" spans="1:26" ht="15.75" thickBot="1">
      <c r="A12" s="11" t="s">
        <v>33</v>
      </c>
      <c r="B12" s="12">
        <v>1520</v>
      </c>
      <c r="C12" s="26">
        <f t="shared" si="0"/>
        <v>165.45706666666666</v>
      </c>
      <c r="D12" s="25">
        <v>7.34033116499113</v>
      </c>
      <c r="E12" s="5">
        <v>21.78</v>
      </c>
      <c r="F12" s="37">
        <v>1.502</v>
      </c>
      <c r="G12" s="5">
        <v>0.66279999999999994</v>
      </c>
      <c r="H12" s="12"/>
      <c r="I12" s="39">
        <f t="shared" si="1"/>
        <v>240.35238144356478</v>
      </c>
      <c r="J12" s="37">
        <f t="shared" si="2"/>
        <v>0.34995346843467817</v>
      </c>
      <c r="K12" s="36">
        <v>2.0243009507443451E-2</v>
      </c>
      <c r="L12" s="40">
        <v>3.5022507798345071E-4</v>
      </c>
      <c r="M12">
        <v>1040</v>
      </c>
      <c r="N12">
        <v>0.41289999999999999</v>
      </c>
      <c r="O12">
        <v>6.6320000000000004E-2</v>
      </c>
      <c r="P12">
        <f t="shared" si="3"/>
        <v>221.87792639999998</v>
      </c>
      <c r="Q12">
        <f t="shared" si="4"/>
        <v>57.438247999999994</v>
      </c>
      <c r="R12" s="48">
        <v>0.45600000000000002</v>
      </c>
      <c r="S12" s="48">
        <f>273+409</f>
        <v>682</v>
      </c>
      <c r="T12" s="48">
        <f t="shared" si="5"/>
        <v>0.19924926686217009</v>
      </c>
      <c r="U12" s="48">
        <v>6.5</v>
      </c>
      <c r="V12" s="48">
        <f>T12*U12*(60/1000)/P12</f>
        <v>3.5022507798345071E-4</v>
      </c>
      <c r="W12" s="48">
        <v>57.8</v>
      </c>
      <c r="X12" s="48">
        <f>U12*W12</f>
        <v>375.7</v>
      </c>
      <c r="Y12" s="48">
        <f t="shared" si="6"/>
        <v>2.0243009507443451E-2</v>
      </c>
      <c r="Z12" s="48">
        <f>M12*1.341</f>
        <v>1394.6399999999999</v>
      </c>
    </row>
    <row r="13" spans="1:26" ht="15.75" thickBot="1">
      <c r="A13" s="15" t="s">
        <v>34</v>
      </c>
      <c r="B13" s="16">
        <v>1650</v>
      </c>
      <c r="C13" s="26">
        <f t="shared" si="0"/>
        <v>215.875</v>
      </c>
      <c r="D13" s="28">
        <v>8.82124616956078</v>
      </c>
      <c r="E13" s="17">
        <v>19.73</v>
      </c>
      <c r="F13" s="37">
        <v>1.361</v>
      </c>
      <c r="G13" s="17">
        <v>0.86819999999999997</v>
      </c>
      <c r="H13" s="16"/>
      <c r="I13" s="39">
        <f t="shared" si="1"/>
        <v>241.30631152287202</v>
      </c>
      <c r="J13" s="37">
        <f t="shared" si="2"/>
        <v>0.34857003532929876</v>
      </c>
      <c r="K13" s="45">
        <v>1.57963871241345E-2</v>
      </c>
      <c r="L13" s="42">
        <v>6.4212955789164636E-4</v>
      </c>
      <c r="M13">
        <v>1250</v>
      </c>
      <c r="N13">
        <v>0.34100000000000003</v>
      </c>
      <c r="O13">
        <v>5.3519999999999998E-2</v>
      </c>
      <c r="P13">
        <f t="shared" si="3"/>
        <v>289.48837500000002</v>
      </c>
      <c r="Q13">
        <f t="shared" si="4"/>
        <v>75.23821199999999</v>
      </c>
      <c r="R13" s="48">
        <v>0.55500000000000005</v>
      </c>
      <c r="S13" s="48">
        <f>437+273</f>
        <v>710</v>
      </c>
      <c r="T13" s="48">
        <f t="shared" si="5"/>
        <v>0.232943661971831</v>
      </c>
      <c r="U13" s="48">
        <v>13.3</v>
      </c>
      <c r="V13" s="48">
        <f>T13*U13*(60/1000)/P13</f>
        <v>6.4212955789164636E-4</v>
      </c>
      <c r="W13" s="48">
        <v>24.6</v>
      </c>
      <c r="X13" s="48">
        <f>U13*W13</f>
        <v>327.18000000000006</v>
      </c>
      <c r="Y13" s="48">
        <f t="shared" si="6"/>
        <v>1.57963871241345E-2</v>
      </c>
      <c r="Z13" s="48">
        <f>M13*1.341</f>
        <v>1676.25</v>
      </c>
    </row>
    <row r="14" spans="1:26" ht="15.75" thickBot="1">
      <c r="A14" s="18" t="s">
        <v>35</v>
      </c>
      <c r="B14" s="19">
        <v>1290</v>
      </c>
      <c r="C14" s="26">
        <f t="shared" si="0"/>
        <v>75.611199999999997</v>
      </c>
      <c r="D14" s="29">
        <v>3.95087535928926</v>
      </c>
      <c r="E14" s="20">
        <v>24.08</v>
      </c>
      <c r="F14" s="37">
        <v>1.661</v>
      </c>
      <c r="G14" s="20">
        <v>0.307</v>
      </c>
      <c r="H14" s="19"/>
      <c r="I14" s="39">
        <f t="shared" si="1"/>
        <v>243.61470258374416</v>
      </c>
      <c r="J14" s="37">
        <f t="shared" si="2"/>
        <v>0.34526713141952564</v>
      </c>
      <c r="K14" s="46">
        <v>2.5032864050327619E-2</v>
      </c>
      <c r="L14" s="43">
        <v>4.1791091903718892E-4</v>
      </c>
      <c r="M14">
        <v>560</v>
      </c>
      <c r="N14">
        <v>0.47710000000000002</v>
      </c>
      <c r="O14">
        <v>7.9579999999999998E-2</v>
      </c>
      <c r="P14">
        <f t="shared" si="3"/>
        <v>101.39461919999999</v>
      </c>
      <c r="Q14">
        <f t="shared" si="4"/>
        <v>26.604619999999997</v>
      </c>
      <c r="R14" s="48">
        <v>0.216</v>
      </c>
      <c r="S14" s="48">
        <f>365+273</f>
        <v>638</v>
      </c>
      <c r="T14" s="48">
        <f t="shared" si="5"/>
        <v>0.10089028213166143</v>
      </c>
      <c r="U14" s="48">
        <v>7</v>
      </c>
      <c r="V14" s="48">
        <f>T14*U14*(60/1000)/P14</f>
        <v>4.1791091903718892E-4</v>
      </c>
      <c r="W14" s="48">
        <v>59.9</v>
      </c>
      <c r="X14" s="48">
        <f>U14*W14</f>
        <v>419.3</v>
      </c>
      <c r="Y14" s="48">
        <f t="shared" si="6"/>
        <v>2.5032864050327619E-2</v>
      </c>
      <c r="Z14" s="48">
        <f>M14*1.341</f>
        <v>750.96</v>
      </c>
    </row>
    <row r="15" spans="1:26" ht="15.75" thickTop="1"/>
    <row r="16" spans="1:26" ht="16.5">
      <c r="A16" s="21"/>
    </row>
    <row r="17" spans="1:26">
      <c r="A17" s="22" t="s">
        <v>36</v>
      </c>
      <c r="B17" s="23" t="s">
        <v>37</v>
      </c>
    </row>
    <row r="18" spans="1:26">
      <c r="A18" s="22" t="s">
        <v>38</v>
      </c>
      <c r="B18" s="23" t="s">
        <v>39</v>
      </c>
    </row>
    <row r="19" spans="1:26">
      <c r="A19" s="22" t="s">
        <v>40</v>
      </c>
      <c r="B19" s="23" t="s">
        <v>41</v>
      </c>
    </row>
    <row r="20" spans="1:26">
      <c r="A20" s="22" t="s">
        <v>42</v>
      </c>
      <c r="B20" s="23" t="s">
        <v>43</v>
      </c>
    </row>
    <row r="21" spans="1:26">
      <c r="A21" s="22" t="s">
        <v>44</v>
      </c>
      <c r="B21" s="23" t="s">
        <v>45</v>
      </c>
    </row>
    <row r="22" spans="1:26">
      <c r="A22" s="22" t="s">
        <v>46</v>
      </c>
      <c r="B22" s="23" t="s">
        <v>47</v>
      </c>
    </row>
    <row r="23" spans="1:26">
      <c r="A23" s="22" t="s">
        <v>48</v>
      </c>
    </row>
    <row r="24" spans="1:26">
      <c r="A24" s="22" t="s">
        <v>49</v>
      </c>
      <c r="B24" s="23" t="s">
        <v>50</v>
      </c>
    </row>
    <row r="27" spans="1:26" ht="45">
      <c r="R27" s="53" t="s">
        <v>75</v>
      </c>
      <c r="S27" s="53" t="s">
        <v>103</v>
      </c>
      <c r="T27" s="53" t="s">
        <v>76</v>
      </c>
      <c r="U27" s="53" t="s">
        <v>55</v>
      </c>
      <c r="V27" s="53" t="s">
        <v>77</v>
      </c>
      <c r="W27" s="53" t="s">
        <v>78</v>
      </c>
      <c r="X27" s="53" t="s">
        <v>79</v>
      </c>
      <c r="Y27" s="53" t="s">
        <v>80</v>
      </c>
      <c r="Z27" s="53" t="s">
        <v>81</v>
      </c>
    </row>
    <row r="28" spans="1:26">
      <c r="R28" s="48">
        <v>0.188</v>
      </c>
      <c r="S28" s="48">
        <v>600</v>
      </c>
      <c r="T28" s="48">
        <v>9.3373333333333336E-2</v>
      </c>
      <c r="U28" s="48">
        <v>683.91</v>
      </c>
      <c r="V28" s="48">
        <v>32.1</v>
      </c>
      <c r="W28" s="48">
        <v>2.1472664410094157E-3</v>
      </c>
      <c r="X28" s="48">
        <v>12.9</v>
      </c>
      <c r="Y28" s="48">
        <v>414.09000000000003</v>
      </c>
      <c r="Z28" s="48">
        <v>2.7699737089021473E-2</v>
      </c>
    </row>
    <row r="29" spans="1:26">
      <c r="R29" s="48">
        <v>0.19400000000000001</v>
      </c>
      <c r="S29" s="48">
        <v>621</v>
      </c>
      <c r="T29" s="48">
        <v>9.3095008051529801E-2</v>
      </c>
      <c r="U29" s="48">
        <v>777.78</v>
      </c>
      <c r="V29" s="48">
        <v>30.6</v>
      </c>
      <c r="W29" s="48">
        <v>1.8580417248677955E-3</v>
      </c>
      <c r="X29" s="48">
        <v>15.1</v>
      </c>
      <c r="Y29" s="48">
        <v>462.06</v>
      </c>
      <c r="Z29" s="48">
        <v>2.8056430045503712E-2</v>
      </c>
    </row>
    <row r="30" spans="1:26">
      <c r="R30" s="48">
        <v>0.441</v>
      </c>
      <c r="S30" s="48">
        <v>684</v>
      </c>
      <c r="T30" s="48">
        <v>0.19213157894736843</v>
      </c>
      <c r="U30" s="48">
        <v>1555.56</v>
      </c>
      <c r="V30" s="48">
        <v>5.4</v>
      </c>
      <c r="W30" s="48">
        <v>2.9410692420622254E-4</v>
      </c>
      <c r="X30" s="48">
        <v>160.1</v>
      </c>
      <c r="Y30" s="48">
        <v>864.54000000000008</v>
      </c>
      <c r="Z30" s="48">
        <v>4.7086518565416229E-2</v>
      </c>
    </row>
    <row r="31" spans="1:26">
      <c r="R31" s="48">
        <v>0.55100000000000005</v>
      </c>
      <c r="S31" s="48">
        <v>736</v>
      </c>
      <c r="T31" s="48">
        <v>0.22309510869565219</v>
      </c>
      <c r="U31" s="48">
        <v>2011.5</v>
      </c>
      <c r="V31" s="48">
        <v>7.1</v>
      </c>
      <c r="W31" s="48">
        <v>3.5544097904405541E-4</v>
      </c>
      <c r="X31" s="48">
        <v>108.8</v>
      </c>
      <c r="Y31" s="48">
        <v>772.4799999999999</v>
      </c>
      <c r="Z31" s="48">
        <v>3.8671978519993225E-2</v>
      </c>
    </row>
    <row r="32" spans="1:26">
      <c r="R32" s="48">
        <v>0.192</v>
      </c>
      <c r="S32" s="48">
        <v>631</v>
      </c>
      <c r="T32" s="48">
        <v>9.0675118858954046E-2</v>
      </c>
      <c r="U32" s="48">
        <v>804.6</v>
      </c>
      <c r="V32" s="48">
        <v>39.200000000000003</v>
      </c>
      <c r="W32" s="48">
        <v>1.4227121061980187E-3</v>
      </c>
      <c r="X32" s="48">
        <v>13.9</v>
      </c>
      <c r="Y32" s="48">
        <v>544.88000000000011</v>
      </c>
      <c r="Z32" s="48">
        <v>1.9775698276152463E-2</v>
      </c>
    </row>
    <row r="33" spans="18:26">
      <c r="R33" s="48">
        <v>0.218</v>
      </c>
      <c r="S33" s="48">
        <v>632</v>
      </c>
      <c r="T33" s="48">
        <v>0.10279113924050633</v>
      </c>
      <c r="U33" s="48">
        <v>737.55</v>
      </c>
      <c r="V33" s="48">
        <v>6.9</v>
      </c>
      <c r="W33" s="48">
        <v>4.27333017535313E-4</v>
      </c>
      <c r="X33" s="48">
        <v>56.1</v>
      </c>
      <c r="Y33" s="48">
        <v>387.09000000000003</v>
      </c>
      <c r="Z33" s="48">
        <v>2.3973382283731057E-2</v>
      </c>
    </row>
    <row r="34" spans="18:26">
      <c r="R34" s="48">
        <v>0.13600000000000001</v>
      </c>
      <c r="S34" s="48">
        <v>525</v>
      </c>
      <c r="T34" s="48">
        <v>7.7196190476190488E-2</v>
      </c>
      <c r="U34" s="48">
        <v>375.48</v>
      </c>
      <c r="V34" s="48">
        <v>6</v>
      </c>
      <c r="W34" s="48">
        <v>5.8928029810650386E-4</v>
      </c>
      <c r="X34" s="48">
        <v>88.7</v>
      </c>
      <c r="Y34" s="48">
        <v>532.20000000000005</v>
      </c>
      <c r="Z34" s="48">
        <v>5.2269162442046886E-2</v>
      </c>
    </row>
    <row r="35" spans="18:26">
      <c r="R35" s="48">
        <v>0.45600000000000002</v>
      </c>
      <c r="S35" s="48">
        <v>682</v>
      </c>
      <c r="T35" s="48">
        <v>0.19924926686217009</v>
      </c>
      <c r="U35" s="48">
        <v>1394.6399999999999</v>
      </c>
      <c r="V35" s="48">
        <v>6.5</v>
      </c>
      <c r="W35" s="48">
        <v>3.5022507798345071E-4</v>
      </c>
      <c r="X35" s="48">
        <v>57.8</v>
      </c>
      <c r="Y35" s="48">
        <v>375.7</v>
      </c>
      <c r="Z35" s="48">
        <v>2.0243009507443451E-2</v>
      </c>
    </row>
    <row r="36" spans="18:26">
      <c r="R36" s="48">
        <v>0.55500000000000005</v>
      </c>
      <c r="S36" s="48">
        <v>710</v>
      </c>
      <c r="T36" s="48">
        <v>0.232943661971831</v>
      </c>
      <c r="U36" s="48">
        <v>1676.25</v>
      </c>
      <c r="V36" s="48">
        <v>13.3</v>
      </c>
      <c r="W36" s="48">
        <v>6.4212955789164636E-4</v>
      </c>
      <c r="X36" s="48">
        <v>24.6</v>
      </c>
      <c r="Y36" s="48">
        <v>327.18000000000006</v>
      </c>
      <c r="Z36" s="48">
        <v>1.57963871241345E-2</v>
      </c>
    </row>
    <row r="37" spans="18:26">
      <c r="R37" s="48">
        <v>0.216</v>
      </c>
      <c r="S37" s="48">
        <v>638</v>
      </c>
      <c r="T37" s="48">
        <v>0.10089028213166143</v>
      </c>
      <c r="U37" s="48">
        <v>750.96</v>
      </c>
      <c r="V37" s="48">
        <v>7</v>
      </c>
      <c r="W37" s="48">
        <v>4.1791091903718892E-4</v>
      </c>
      <c r="X37" s="48">
        <v>59.9</v>
      </c>
      <c r="Y37" s="48">
        <v>419.3</v>
      </c>
      <c r="Z37" s="48">
        <v>2.5032864050327619E-2</v>
      </c>
    </row>
    <row r="50" spans="4:20">
      <c r="D50">
        <v>9.0200000000000002E-2</v>
      </c>
      <c r="E50">
        <v>8.6199999999999999E-2</v>
      </c>
      <c r="F50">
        <v>0</v>
      </c>
      <c r="G50">
        <v>8.2000000000000001E-5</v>
      </c>
      <c r="H50">
        <v>1.3799999999999999E-4</v>
      </c>
      <c r="I50">
        <v>3.0000000000000001E-6</v>
      </c>
      <c r="J50">
        <v>2.2349999999999998E-2</v>
      </c>
      <c r="K50">
        <v>1.9159999999999999</v>
      </c>
      <c r="L50">
        <v>21.24</v>
      </c>
      <c r="M50">
        <v>0.49070000000000003</v>
      </c>
    </row>
    <row r="52" spans="4:20">
      <c r="N52">
        <v>9.6299999999999997E-2</v>
      </c>
    </row>
    <row r="53" spans="4:20">
      <c r="N53">
        <v>9.0200000000000002E-2</v>
      </c>
      <c r="P53">
        <v>7.9699999999999993E-2</v>
      </c>
      <c r="Q53">
        <v>1.2799999999999999E-4</v>
      </c>
      <c r="R53">
        <v>2.0999999999999999E-5</v>
      </c>
      <c r="S53">
        <v>9.9999999999999995E-7</v>
      </c>
      <c r="T53">
        <v>9.7E-5</v>
      </c>
    </row>
    <row r="54" spans="4:20">
      <c r="N54">
        <v>8.7499999999999994E-2</v>
      </c>
      <c r="P54">
        <v>8.6199999999999999E-2</v>
      </c>
      <c r="Q54">
        <v>0</v>
      </c>
      <c r="R54">
        <v>8.2000000000000001E-5</v>
      </c>
      <c r="S54">
        <v>1.3799999999999999E-4</v>
      </c>
      <c r="T54">
        <v>3.0000000000000001E-6</v>
      </c>
    </row>
    <row r="55" spans="4:20">
      <c r="N55">
        <v>6.9099999999999995E-2</v>
      </c>
      <c r="P55">
        <v>8.9599999999999999E-2</v>
      </c>
      <c r="Q55">
        <v>0</v>
      </c>
      <c r="R55">
        <v>4.5600000000000003E-4</v>
      </c>
      <c r="S55">
        <v>6.9999999999999999E-6</v>
      </c>
      <c r="T55">
        <v>6.0999999999999999E-5</v>
      </c>
    </row>
    <row r="56" spans="4:20">
      <c r="N56">
        <v>8.8599999999999998E-2</v>
      </c>
      <c r="P56">
        <v>0.1022</v>
      </c>
      <c r="Q56">
        <v>8.5000000000000006E-5</v>
      </c>
      <c r="R56">
        <v>3.88E-4</v>
      </c>
      <c r="S56">
        <v>1.1E-5</v>
      </c>
      <c r="T56">
        <v>3.0000000000000001E-6</v>
      </c>
    </row>
    <row r="57" spans="4:20">
      <c r="D57" s="38">
        <v>9.0200000000000002E-2</v>
      </c>
      <c r="E57" s="38">
        <v>8.6199999999999999E-2</v>
      </c>
      <c r="F57" s="38">
        <v>0</v>
      </c>
      <c r="G57" s="38">
        <v>8.2000000000000001E-5</v>
      </c>
      <c r="H57" s="38">
        <v>1.3799999999999999E-4</v>
      </c>
      <c r="I57" s="38">
        <v>3.0000000000000001E-6</v>
      </c>
      <c r="N57">
        <v>9.1700000000000004E-2</v>
      </c>
      <c r="P57">
        <v>8.7800000000000003E-2</v>
      </c>
      <c r="Q57">
        <v>1.5100000000000001E-4</v>
      </c>
      <c r="R57">
        <v>2.8E-5</v>
      </c>
      <c r="S57">
        <v>9.0000000000000002E-6</v>
      </c>
      <c r="T57">
        <v>9.1000000000000003E-5</v>
      </c>
    </row>
    <row r="58" spans="4:20">
      <c r="D58" s="38">
        <v>8.7499999999999994E-2</v>
      </c>
      <c r="E58" s="38">
        <v>8.9599999999999999E-2</v>
      </c>
      <c r="F58" s="38">
        <v>0</v>
      </c>
      <c r="G58" s="38">
        <v>4.5600000000000003E-4</v>
      </c>
      <c r="H58" s="38">
        <v>6.9999999999999999E-6</v>
      </c>
      <c r="I58" s="38">
        <v>6.0999999999999999E-5</v>
      </c>
      <c r="N58">
        <v>0.1268</v>
      </c>
      <c r="P58">
        <v>8.5400000000000004E-2</v>
      </c>
      <c r="Q58">
        <v>6.0999999999999999E-5</v>
      </c>
      <c r="R58">
        <v>1.9100000000000001E-4</v>
      </c>
      <c r="S58">
        <v>1.5999999999999999E-5</v>
      </c>
      <c r="T58">
        <v>6.7000000000000002E-5</v>
      </c>
    </row>
    <row r="59" spans="4:20">
      <c r="D59" s="38">
        <v>6.9099999999999995E-2</v>
      </c>
      <c r="E59" s="38">
        <v>0.1022</v>
      </c>
      <c r="F59" s="38">
        <v>8.5000000000000006E-5</v>
      </c>
      <c r="G59" s="38">
        <v>3.88E-4</v>
      </c>
      <c r="H59" s="38">
        <v>1.1E-5</v>
      </c>
      <c r="I59" s="38">
        <v>3.0000000000000001E-6</v>
      </c>
      <c r="N59">
        <v>7.46E-2</v>
      </c>
      <c r="P59">
        <v>5.8599999999999999E-2</v>
      </c>
      <c r="Q59">
        <v>7.2000000000000002E-5</v>
      </c>
      <c r="R59">
        <v>2.4600000000000002E-4</v>
      </c>
      <c r="S59">
        <v>3.8000000000000002E-5</v>
      </c>
      <c r="T59">
        <v>8.7999999999999998E-5</v>
      </c>
    </row>
    <row r="60" spans="4:20">
      <c r="D60" s="38">
        <v>8.8599999999999998E-2</v>
      </c>
      <c r="E60" s="38">
        <v>8.7800000000000003E-2</v>
      </c>
      <c r="F60" s="38">
        <v>1.5100000000000001E-4</v>
      </c>
      <c r="G60" s="38">
        <v>2.8E-5</v>
      </c>
      <c r="H60" s="38">
        <v>9.0000000000000002E-6</v>
      </c>
      <c r="I60" s="38">
        <v>9.1000000000000003E-5</v>
      </c>
      <c r="N60">
        <v>6.0299999999999999E-2</v>
      </c>
      <c r="P60">
        <v>9.7699999999999995E-2</v>
      </c>
      <c r="Q60">
        <v>6.2000000000000003E-5</v>
      </c>
      <c r="R60">
        <v>1.84E-4</v>
      </c>
      <c r="S60">
        <v>2.0999999999999999E-5</v>
      </c>
      <c r="T60">
        <v>3.1000000000000001E-5</v>
      </c>
    </row>
    <row r="61" spans="4:20">
      <c r="D61" s="38">
        <v>9.1700000000000004E-2</v>
      </c>
      <c r="E61" s="38">
        <v>8.5400000000000004E-2</v>
      </c>
      <c r="F61" s="38">
        <v>6.0999999999999999E-5</v>
      </c>
      <c r="G61" s="38">
        <v>1.9100000000000001E-4</v>
      </c>
      <c r="H61" s="38">
        <v>1.5999999999999999E-5</v>
      </c>
      <c r="I61" s="38">
        <v>6.7000000000000002E-5</v>
      </c>
      <c r="N61">
        <v>8.7999999999999995E-2</v>
      </c>
      <c r="P61">
        <v>0.10730000000000001</v>
      </c>
      <c r="Q61">
        <v>8.2000000000000001E-5</v>
      </c>
      <c r="R61">
        <v>1.64E-4</v>
      </c>
      <c r="S61">
        <v>1.8E-5</v>
      </c>
      <c r="T61">
        <v>1.4E-5</v>
      </c>
    </row>
    <row r="62" spans="4:20">
      <c r="D62" s="38">
        <v>0.1268</v>
      </c>
      <c r="E62" s="38">
        <v>5.8599999999999999E-2</v>
      </c>
      <c r="F62" s="38">
        <v>7.2000000000000002E-5</v>
      </c>
      <c r="G62" s="38">
        <v>2.4600000000000002E-4</v>
      </c>
      <c r="H62" s="38">
        <v>3.8000000000000002E-5</v>
      </c>
      <c r="I62" s="38">
        <v>8.7999999999999998E-5</v>
      </c>
      <c r="P62">
        <v>8.8900000000000007E-2</v>
      </c>
      <c r="Q62">
        <v>6.0000000000000002E-6</v>
      </c>
      <c r="R62">
        <v>2.13E-4</v>
      </c>
      <c r="S62">
        <v>1.5E-5</v>
      </c>
      <c r="T62">
        <v>6.2000000000000003E-5</v>
      </c>
    </row>
    <row r="63" spans="4:20">
      <c r="D63" s="38">
        <v>7.46E-2</v>
      </c>
      <c r="E63" s="38">
        <v>9.7699999999999995E-2</v>
      </c>
      <c r="F63" s="38">
        <v>6.2000000000000003E-5</v>
      </c>
      <c r="G63" s="38">
        <v>1.84E-4</v>
      </c>
      <c r="H63" s="38">
        <v>2.0999999999999999E-5</v>
      </c>
      <c r="I63" s="38">
        <v>3.1000000000000001E-5</v>
      </c>
    </row>
    <row r="64" spans="4:20">
      <c r="D64" s="38">
        <v>6.0299999999999999E-2</v>
      </c>
      <c r="E64" s="38">
        <v>0.10730000000000001</v>
      </c>
      <c r="F64" s="38">
        <v>8.2000000000000001E-5</v>
      </c>
      <c r="G64" s="38">
        <v>1.64E-4</v>
      </c>
      <c r="H64" s="38">
        <v>1.8E-5</v>
      </c>
      <c r="I64" s="38">
        <v>1.4E-5</v>
      </c>
    </row>
    <row r="65" spans="4:9">
      <c r="D65" s="38">
        <v>8.7999999999999995E-2</v>
      </c>
      <c r="E65" s="38">
        <v>8.8900000000000007E-2</v>
      </c>
      <c r="F65" s="38">
        <v>6.0000000000000002E-6</v>
      </c>
      <c r="G65" s="38">
        <v>2.13E-4</v>
      </c>
      <c r="H65" s="38">
        <v>1.5E-5</v>
      </c>
      <c r="I65" s="38">
        <v>6.2000000000000003E-5</v>
      </c>
    </row>
  </sheetData>
  <mergeCells count="5">
    <mergeCell ref="A1:A4"/>
    <mergeCell ref="E1:E3"/>
    <mergeCell ref="F1:F3"/>
    <mergeCell ref="I1:I3"/>
    <mergeCell ref="J1:J3"/>
  </mergeCells>
  <hyperlinks>
    <hyperlink ref="E1" location="_ftn1" display="_ftn1"/>
    <hyperlink ref="F1" location="_ftn2" display="_ftn2"/>
    <hyperlink ref="H2" location="_ftn3" display="_ftn3"/>
    <hyperlink ref="I1" location="_ftn4" display="_ftn4"/>
    <hyperlink ref="J1" location="_ftn5" display="_ftn5"/>
    <hyperlink ref="K2" location="_ftn6" display="_ftn6"/>
    <hyperlink ref="L2" location="_ftn7" display="_ftn7"/>
    <hyperlink ref="A17" location="_ftnref1" display="_ftnref1"/>
    <hyperlink ref="A18" location="_ftnref2" display="_ftnref2"/>
    <hyperlink ref="A19" location="_ftnref3" display="_ftnref3"/>
    <hyperlink ref="A20" location="_ftnref4" display="_ftnref4"/>
    <hyperlink ref="A21" location="_ftnref5" display="_ftnref5"/>
    <hyperlink ref="A22" location="_ftnref6" display="_ftnref6"/>
    <hyperlink ref="A23" r:id="rId1" display="http://www.dieselnet.com/standards/us/hd.php"/>
    <hyperlink ref="A24" location="_ftnref7" display="_ftnref7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6:V71"/>
  <sheetViews>
    <sheetView tabSelected="1" topLeftCell="D52" workbookViewId="0">
      <selection activeCell="R71" sqref="M61:R71"/>
    </sheetView>
  </sheetViews>
  <sheetFormatPr defaultRowHeight="15"/>
  <cols>
    <col min="8" max="8" width="11" bestFit="1" customWidth="1"/>
    <col min="11" max="11" width="11" bestFit="1" customWidth="1"/>
    <col min="12" max="12" width="11" customWidth="1"/>
    <col min="13" max="13" width="10.7109375" bestFit="1" customWidth="1"/>
    <col min="14" max="14" width="10.7109375" customWidth="1"/>
    <col min="15" max="15" width="13.28515625" customWidth="1"/>
    <col min="16" max="16" width="11.85546875" customWidth="1"/>
    <col min="17" max="17" width="12.140625" customWidth="1"/>
    <col min="18" max="18" width="12" customWidth="1"/>
    <col min="20" max="22" width="12.7109375" bestFit="1" customWidth="1"/>
  </cols>
  <sheetData>
    <row r="6" spans="2:22">
      <c r="B6" t="s">
        <v>106</v>
      </c>
      <c r="C6" t="s">
        <v>82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K6" t="s">
        <v>64</v>
      </c>
      <c r="L6" t="s">
        <v>73</v>
      </c>
      <c r="M6" t="s">
        <v>65</v>
      </c>
      <c r="O6" t="s">
        <v>66</v>
      </c>
      <c r="P6" t="s">
        <v>67</v>
      </c>
      <c r="Q6" t="s">
        <v>68</v>
      </c>
      <c r="R6" t="s">
        <v>69</v>
      </c>
      <c r="S6" t="s">
        <v>70</v>
      </c>
      <c r="T6" t="s">
        <v>71</v>
      </c>
      <c r="U6" t="s">
        <v>72</v>
      </c>
      <c r="V6" t="s">
        <v>74</v>
      </c>
    </row>
    <row r="7" spans="2:22">
      <c r="B7">
        <f>1-SUM(D7:K7)</f>
        <v>0.75704481999999995</v>
      </c>
      <c r="C7">
        <v>12.51</v>
      </c>
      <c r="D7">
        <v>9.6299999999999997E-2</v>
      </c>
      <c r="E7">
        <v>7.9699999999999993E-2</v>
      </c>
      <c r="F7">
        <v>1.2799999999999999E-4</v>
      </c>
      <c r="G7">
        <v>2.0999999999999999E-5</v>
      </c>
      <c r="H7">
        <v>9.9999999999999995E-7</v>
      </c>
      <c r="I7">
        <v>9.7E-5</v>
      </c>
      <c r="J7">
        <v>6.6680000000000003E-2</v>
      </c>
      <c r="K7" s="38">
        <v>2.8180000000000001E-5</v>
      </c>
      <c r="L7" s="38">
        <v>0.24959999999999999</v>
      </c>
      <c r="M7">
        <v>6.8</v>
      </c>
      <c r="N7">
        <f>-86.66*13.79</f>
        <v>-1195.0413999999998</v>
      </c>
      <c r="O7">
        <f>-110.54*F7</f>
        <v>-1.4149119999999999E-2</v>
      </c>
      <c r="P7">
        <f>90.29*G7</f>
        <v>1.89609E-3</v>
      </c>
      <c r="Q7">
        <f>33.2*H7</f>
        <v>3.3200000000000001E-5</v>
      </c>
      <c r="R7">
        <f>-86.66*I7</f>
        <v>-8.4060200000000002E-3</v>
      </c>
      <c r="S7">
        <f>-241.83*J7</f>
        <v>-16.1252244</v>
      </c>
      <c r="T7" t="e">
        <f>-12.51*(#REF!+O7+P7+Q7+R7+S7)</f>
        <v>#REF!</v>
      </c>
      <c r="U7" t="e">
        <f>M7*(N7+T7)</f>
        <v>#REF!</v>
      </c>
      <c r="V7">
        <f>L7*(-42.8)</f>
        <v>-10.682879999999999</v>
      </c>
    </row>
    <row r="8" spans="2:22">
      <c r="B8">
        <f t="shared" ref="B8:B16" si="0">1-SUM(D8:K8)</f>
        <v>0.75175700000000001</v>
      </c>
      <c r="C8">
        <v>11.6</v>
      </c>
      <c r="D8">
        <v>9.0200000000000002E-2</v>
      </c>
      <c r="E8">
        <v>8.6199999999999999E-2</v>
      </c>
      <c r="F8">
        <v>0</v>
      </c>
      <c r="G8">
        <v>8.2000000000000001E-5</v>
      </c>
      <c r="H8">
        <v>1.3799999999999999E-4</v>
      </c>
      <c r="I8">
        <v>3.0000000000000001E-6</v>
      </c>
      <c r="J8">
        <v>7.1620000000000003E-2</v>
      </c>
      <c r="K8" s="38">
        <v>0</v>
      </c>
      <c r="L8" s="38">
        <v>0.26500000000000001</v>
      </c>
      <c r="M8">
        <v>6.8</v>
      </c>
      <c r="N8">
        <f t="shared" ref="N8:N16" si="1">-86.66*13.79</f>
        <v>-1195.0413999999998</v>
      </c>
      <c r="O8">
        <f t="shared" ref="O8:O16" si="2">-110.54*F8</f>
        <v>0</v>
      </c>
      <c r="P8">
        <f t="shared" ref="P8:P16" si="3">90.29*G8</f>
        <v>7.4037800000000004E-3</v>
      </c>
      <c r="Q8">
        <f t="shared" ref="Q8:Q16" si="4">33.2*H8</f>
        <v>4.5815999999999999E-3</v>
      </c>
      <c r="R8">
        <f t="shared" ref="R8:R16" si="5">-86.66*I8</f>
        <v>-2.5997999999999999E-4</v>
      </c>
      <c r="S8">
        <f t="shared" ref="S8:S16" si="6">-241.83*J8</f>
        <v>-17.319864600000002</v>
      </c>
      <c r="T8" t="e">
        <f>-12.51*(#REF!+O8+P8+Q8+R8+S8)</f>
        <v>#REF!</v>
      </c>
      <c r="U8" t="e">
        <f>M8*(N8+T8)</f>
        <v>#REF!</v>
      </c>
      <c r="V8">
        <f>L8*(-42.8)</f>
        <v>-11.342000000000001</v>
      </c>
    </row>
    <row r="9" spans="2:22">
      <c r="B9">
        <f t="shared" si="0"/>
        <v>0.74813600000000002</v>
      </c>
      <c r="C9">
        <v>11.15</v>
      </c>
      <c r="D9">
        <v>8.7499999999999994E-2</v>
      </c>
      <c r="E9">
        <v>8.9599999999999999E-2</v>
      </c>
      <c r="F9">
        <v>0</v>
      </c>
      <c r="G9">
        <v>4.5600000000000003E-4</v>
      </c>
      <c r="H9">
        <v>6.9999999999999999E-6</v>
      </c>
      <c r="I9">
        <v>6.0999999999999999E-5</v>
      </c>
      <c r="J9">
        <v>7.424E-2</v>
      </c>
      <c r="K9" s="38">
        <v>0</v>
      </c>
      <c r="L9" s="38">
        <v>0.57689999999999997</v>
      </c>
      <c r="M9">
        <v>14.4</v>
      </c>
      <c r="N9">
        <f t="shared" si="1"/>
        <v>-1195.0413999999998</v>
      </c>
      <c r="O9">
        <f t="shared" si="2"/>
        <v>0</v>
      </c>
      <c r="P9">
        <f t="shared" si="3"/>
        <v>4.1172240000000006E-2</v>
      </c>
      <c r="Q9">
        <f t="shared" si="4"/>
        <v>2.3240000000000001E-4</v>
      </c>
      <c r="R9">
        <f t="shared" si="5"/>
        <v>-5.2862600000000001E-3</v>
      </c>
      <c r="S9">
        <f t="shared" si="6"/>
        <v>-17.953459200000001</v>
      </c>
      <c r="T9" t="e">
        <f>-12.51*(#REF!+O9+P9+Q9+R9+S9)</f>
        <v>#REF!</v>
      </c>
      <c r="U9" t="e">
        <f>M9*(N9+T9)</f>
        <v>#REF!</v>
      </c>
      <c r="V9">
        <f t="shared" ref="V8:V16" si="7">L9*(-42.8)</f>
        <v>-24.691319999999997</v>
      </c>
    </row>
    <row r="10" spans="2:22">
      <c r="B10">
        <f t="shared" si="0"/>
        <v>0.74432463999999998</v>
      </c>
      <c r="C10">
        <v>9.7759999999999998</v>
      </c>
      <c r="D10">
        <v>6.9099999999999995E-2</v>
      </c>
      <c r="E10">
        <v>0.1022</v>
      </c>
      <c r="F10">
        <v>8.5000000000000006E-5</v>
      </c>
      <c r="G10">
        <v>3.88E-4</v>
      </c>
      <c r="H10">
        <v>1.1E-5</v>
      </c>
      <c r="I10">
        <v>3.0000000000000001E-6</v>
      </c>
      <c r="J10">
        <v>8.387E-2</v>
      </c>
      <c r="K10" s="38">
        <v>1.836E-5</v>
      </c>
      <c r="L10" s="38">
        <v>0.77149999999999996</v>
      </c>
      <c r="M10">
        <v>16.899999999999999</v>
      </c>
      <c r="N10">
        <f t="shared" si="1"/>
        <v>-1195.0413999999998</v>
      </c>
      <c r="O10">
        <f t="shared" si="2"/>
        <v>-9.3959000000000004E-3</v>
      </c>
      <c r="P10">
        <f t="shared" si="3"/>
        <v>3.5032520000000004E-2</v>
      </c>
      <c r="Q10">
        <f t="shared" si="4"/>
        <v>3.6520000000000004E-4</v>
      </c>
      <c r="R10">
        <f t="shared" si="5"/>
        <v>-2.5997999999999999E-4</v>
      </c>
      <c r="S10">
        <f t="shared" si="6"/>
        <v>-20.2822821</v>
      </c>
      <c r="T10" t="e">
        <f>-12.51*(#REF!+O10+P10+Q10+R10+S10)</f>
        <v>#REF!</v>
      </c>
      <c r="U10" t="e">
        <f>M10*(N10+T10)</f>
        <v>#REF!</v>
      </c>
      <c r="V10">
        <f t="shared" si="7"/>
        <v>-33.020199999999996</v>
      </c>
    </row>
    <row r="11" spans="2:22">
      <c r="B11">
        <f t="shared" si="0"/>
        <v>0.75031797</v>
      </c>
      <c r="C11">
        <v>11.36</v>
      </c>
      <c r="D11">
        <v>8.8599999999999998E-2</v>
      </c>
      <c r="E11">
        <v>8.7800000000000003E-2</v>
      </c>
      <c r="F11">
        <v>1.5100000000000001E-4</v>
      </c>
      <c r="G11">
        <v>2.8E-5</v>
      </c>
      <c r="H11">
        <v>9.0000000000000002E-6</v>
      </c>
      <c r="I11">
        <v>9.1000000000000003E-5</v>
      </c>
      <c r="J11">
        <v>7.2969999999999993E-2</v>
      </c>
      <c r="K11" s="38">
        <v>3.3030000000000001E-5</v>
      </c>
      <c r="L11" s="38">
        <v>0.26550000000000001</v>
      </c>
      <c r="M11">
        <v>6.7</v>
      </c>
      <c r="N11">
        <f t="shared" si="1"/>
        <v>-1195.0413999999998</v>
      </c>
      <c r="O11">
        <f t="shared" si="2"/>
        <v>-1.6691540000000001E-2</v>
      </c>
      <c r="P11">
        <f t="shared" si="3"/>
        <v>2.52812E-3</v>
      </c>
      <c r="Q11">
        <f t="shared" si="4"/>
        <v>2.9880000000000005E-4</v>
      </c>
      <c r="R11">
        <f t="shared" si="5"/>
        <v>-7.8860600000000003E-3</v>
      </c>
      <c r="S11">
        <f t="shared" si="6"/>
        <v>-17.646335099999998</v>
      </c>
      <c r="T11" t="e">
        <f>-12.51*(#REF!+O11+P11+Q11+R11+S11)</f>
        <v>#REF!</v>
      </c>
      <c r="U11" t="e">
        <f>M11*(N11+T11)</f>
        <v>#REF!</v>
      </c>
      <c r="V11">
        <f t="shared" si="7"/>
        <v>-11.3634</v>
      </c>
    </row>
    <row r="12" spans="2:22">
      <c r="B12">
        <f t="shared" si="0"/>
        <v>0.75150163999999997</v>
      </c>
      <c r="C12">
        <v>11.69</v>
      </c>
      <c r="D12">
        <v>9.1700000000000004E-2</v>
      </c>
      <c r="E12">
        <v>8.5400000000000004E-2</v>
      </c>
      <c r="F12">
        <v>6.0999999999999999E-5</v>
      </c>
      <c r="G12">
        <v>1.9100000000000001E-4</v>
      </c>
      <c r="H12">
        <v>1.5999999999999999E-5</v>
      </c>
      <c r="I12">
        <v>6.7000000000000002E-5</v>
      </c>
      <c r="J12">
        <v>7.1050000000000002E-2</v>
      </c>
      <c r="K12" s="38">
        <v>1.3360000000000001E-5</v>
      </c>
      <c r="L12" s="38">
        <v>0.29709999999999998</v>
      </c>
      <c r="M12">
        <v>7.7</v>
      </c>
      <c r="N12">
        <f t="shared" si="1"/>
        <v>-1195.0413999999998</v>
      </c>
      <c r="O12">
        <f t="shared" si="2"/>
        <v>-6.7429400000000002E-3</v>
      </c>
      <c r="P12">
        <f t="shared" si="3"/>
        <v>1.7245390000000003E-2</v>
      </c>
      <c r="Q12">
        <f t="shared" si="4"/>
        <v>5.3120000000000001E-4</v>
      </c>
      <c r="R12">
        <f t="shared" si="5"/>
        <v>-5.80622E-3</v>
      </c>
      <c r="S12">
        <f t="shared" si="6"/>
        <v>-17.182021500000001</v>
      </c>
      <c r="T12" t="e">
        <f>-12.51*(#REF!+O12+P12+Q12+R12+S12)</f>
        <v>#REF!</v>
      </c>
      <c r="U12" t="e">
        <f>M12*(N12+T12)</f>
        <v>#REF!</v>
      </c>
      <c r="V12">
        <f t="shared" si="7"/>
        <v>-12.715879999999999</v>
      </c>
    </row>
    <row r="13" spans="2:22">
      <c r="B13">
        <f t="shared" si="0"/>
        <v>0.76424987</v>
      </c>
      <c r="C13">
        <v>17.02</v>
      </c>
      <c r="D13">
        <v>0.1268</v>
      </c>
      <c r="E13">
        <v>5.8599999999999999E-2</v>
      </c>
      <c r="F13">
        <v>7.2000000000000002E-5</v>
      </c>
      <c r="G13">
        <v>2.4600000000000002E-4</v>
      </c>
      <c r="H13">
        <v>3.8000000000000002E-5</v>
      </c>
      <c r="I13">
        <v>8.7999999999999998E-5</v>
      </c>
      <c r="J13">
        <v>4.9889999999999997E-2</v>
      </c>
      <c r="K13" s="38">
        <v>1.613E-5</v>
      </c>
      <c r="L13" s="38">
        <v>0.15179999999999999</v>
      </c>
      <c r="M13">
        <v>5.6</v>
      </c>
      <c r="N13">
        <f t="shared" si="1"/>
        <v>-1195.0413999999998</v>
      </c>
      <c r="O13">
        <f t="shared" si="2"/>
        <v>-7.9588800000000015E-3</v>
      </c>
      <c r="P13">
        <f t="shared" si="3"/>
        <v>2.2211340000000003E-2</v>
      </c>
      <c r="Q13">
        <f t="shared" si="4"/>
        <v>1.2616000000000001E-3</v>
      </c>
      <c r="R13">
        <f t="shared" si="5"/>
        <v>-7.6260799999999995E-3</v>
      </c>
      <c r="S13">
        <f t="shared" si="6"/>
        <v>-12.064898700000001</v>
      </c>
      <c r="T13" t="e">
        <f>-12.51*(#REF!+O13+P13+Q13+R13+S13)</f>
        <v>#REF!</v>
      </c>
      <c r="U13" t="e">
        <f>M13*(N13+T13)</f>
        <v>#REF!</v>
      </c>
      <c r="V13">
        <f t="shared" si="7"/>
        <v>-6.4970399999999993</v>
      </c>
    </row>
    <row r="14" spans="2:22">
      <c r="B14">
        <f t="shared" si="0"/>
        <v>0.74692855999999996</v>
      </c>
      <c r="C14">
        <v>10.23</v>
      </c>
      <c r="D14">
        <v>7.46E-2</v>
      </c>
      <c r="E14">
        <v>9.7699999999999995E-2</v>
      </c>
      <c r="F14">
        <v>6.2000000000000003E-5</v>
      </c>
      <c r="G14">
        <v>1.84E-4</v>
      </c>
      <c r="H14">
        <v>2.0999999999999999E-5</v>
      </c>
      <c r="I14">
        <v>3.1000000000000001E-5</v>
      </c>
      <c r="J14">
        <v>8.0460000000000004E-2</v>
      </c>
      <c r="K14" s="38">
        <v>1.344E-5</v>
      </c>
      <c r="L14" s="38">
        <v>0.66279999999999994</v>
      </c>
      <c r="M14">
        <v>15.1</v>
      </c>
      <c r="N14">
        <f t="shared" si="1"/>
        <v>-1195.0413999999998</v>
      </c>
      <c r="O14">
        <f t="shared" si="2"/>
        <v>-6.8534800000000003E-3</v>
      </c>
      <c r="P14">
        <f t="shared" si="3"/>
        <v>1.6613360000000001E-2</v>
      </c>
      <c r="Q14">
        <f t="shared" si="4"/>
        <v>6.9720000000000003E-4</v>
      </c>
      <c r="R14">
        <f t="shared" si="5"/>
        <v>-2.6864599999999999E-3</v>
      </c>
      <c r="S14">
        <f t="shared" si="6"/>
        <v>-19.457641800000001</v>
      </c>
      <c r="T14" t="e">
        <f>-12.51*(#REF!+O14+P14+Q14+R14+S14)</f>
        <v>#REF!</v>
      </c>
      <c r="U14" t="e">
        <f>M14*(N14+T14)</f>
        <v>#REF!</v>
      </c>
      <c r="V14">
        <f t="shared" si="7"/>
        <v>-28.367839999999998</v>
      </c>
    </row>
    <row r="15" spans="2:22">
      <c r="B15">
        <f t="shared" si="0"/>
        <v>0.74442437000000006</v>
      </c>
      <c r="C15">
        <v>9.3109999999999999</v>
      </c>
      <c r="D15">
        <v>6.0299999999999999E-2</v>
      </c>
      <c r="E15">
        <v>0.10730000000000001</v>
      </c>
      <c r="F15">
        <v>8.2000000000000001E-5</v>
      </c>
      <c r="G15">
        <v>1.64E-4</v>
      </c>
      <c r="H15">
        <v>1.8E-5</v>
      </c>
      <c r="I15">
        <v>1.4E-5</v>
      </c>
      <c r="J15">
        <v>8.7679999999999994E-2</v>
      </c>
      <c r="K15" s="38">
        <v>1.7629999999999999E-5</v>
      </c>
      <c r="L15" s="38">
        <v>0.86819999999999997</v>
      </c>
      <c r="M15">
        <v>18</v>
      </c>
      <c r="N15">
        <f t="shared" si="1"/>
        <v>-1195.0413999999998</v>
      </c>
      <c r="O15">
        <f t="shared" si="2"/>
        <v>-9.0642800000000009E-3</v>
      </c>
      <c r="P15">
        <f t="shared" si="3"/>
        <v>1.4807560000000001E-2</v>
      </c>
      <c r="Q15">
        <f t="shared" si="4"/>
        <v>5.9760000000000011E-4</v>
      </c>
      <c r="R15">
        <f t="shared" si="5"/>
        <v>-1.21324E-3</v>
      </c>
      <c r="S15">
        <f t="shared" si="6"/>
        <v>-21.203654400000001</v>
      </c>
      <c r="T15" t="e">
        <f>-12.51*(#REF!+O15+P15+Q15+R15+S15)</f>
        <v>#REF!</v>
      </c>
      <c r="U15" t="e">
        <f>M15*(N15+T15)</f>
        <v>#REF!</v>
      </c>
      <c r="V15">
        <f t="shared" si="7"/>
        <v>-37.158959999999993</v>
      </c>
    </row>
    <row r="16" spans="2:22">
      <c r="B16">
        <f t="shared" si="0"/>
        <v>0.74909269099999998</v>
      </c>
      <c r="C16">
        <v>11.24</v>
      </c>
      <c r="D16">
        <v>8.7999999999999995E-2</v>
      </c>
      <c r="E16">
        <v>8.8900000000000007E-2</v>
      </c>
      <c r="F16">
        <v>6.0000000000000002E-6</v>
      </c>
      <c r="G16">
        <v>2.13E-4</v>
      </c>
      <c r="H16">
        <v>1.5E-5</v>
      </c>
      <c r="I16">
        <v>6.2000000000000003E-5</v>
      </c>
      <c r="J16">
        <v>7.3709999999999998E-2</v>
      </c>
      <c r="K16" s="38">
        <v>1.3090000000000001E-6</v>
      </c>
      <c r="L16" s="38">
        <v>0.307</v>
      </c>
      <c r="M16">
        <v>7.7</v>
      </c>
      <c r="N16">
        <f t="shared" si="1"/>
        <v>-1195.0413999999998</v>
      </c>
      <c r="O16">
        <f t="shared" si="2"/>
        <v>-6.6324000000000005E-4</v>
      </c>
      <c r="P16">
        <f t="shared" si="3"/>
        <v>1.9231770000000002E-2</v>
      </c>
      <c r="Q16">
        <f t="shared" si="4"/>
        <v>4.9800000000000007E-4</v>
      </c>
      <c r="R16">
        <f t="shared" si="5"/>
        <v>-5.3729199999999998E-3</v>
      </c>
      <c r="S16">
        <f t="shared" si="6"/>
        <v>-17.825289300000001</v>
      </c>
      <c r="T16" t="e">
        <f>-12.51*(#REF!+O16+P16+Q16+R16+S16)</f>
        <v>#REF!</v>
      </c>
      <c r="U16" t="e">
        <f>M16*(N16+T16)</f>
        <v>#REF!</v>
      </c>
      <c r="V16">
        <f t="shared" si="7"/>
        <v>-13.1396</v>
      </c>
    </row>
    <row r="18" spans="4:20">
      <c r="D18" t="s">
        <v>83</v>
      </c>
      <c r="M18" t="s">
        <v>84</v>
      </c>
    </row>
    <row r="19" spans="4:20">
      <c r="D19" t="s">
        <v>57</v>
      </c>
      <c r="E19" t="s">
        <v>58</v>
      </c>
      <c r="F19" t="s">
        <v>59</v>
      </c>
      <c r="G19" t="s">
        <v>60</v>
      </c>
      <c r="H19" t="s">
        <v>61</v>
      </c>
      <c r="I19" t="s">
        <v>62</v>
      </c>
      <c r="J19" t="s">
        <v>63</v>
      </c>
      <c r="K19" t="s">
        <v>64</v>
      </c>
      <c r="M19" t="s">
        <v>57</v>
      </c>
      <c r="N19" t="s">
        <v>58</v>
      </c>
      <c r="O19" t="s">
        <v>60</v>
      </c>
      <c r="P19" t="s">
        <v>61</v>
      </c>
      <c r="Q19" t="s">
        <v>62</v>
      </c>
      <c r="R19" t="s">
        <v>63</v>
      </c>
      <c r="S19" t="s">
        <v>64</v>
      </c>
      <c r="T19" t="s">
        <v>85</v>
      </c>
    </row>
    <row r="20" spans="4:20">
      <c r="D20">
        <f>D7*($C7)</f>
        <v>1.2047129999999999</v>
      </c>
      <c r="E20">
        <f t="shared" ref="E20:K20" si="8">E7*($C7)</f>
        <v>0.99704699999999991</v>
      </c>
      <c r="F20">
        <f t="shared" si="8"/>
        <v>1.6012799999999998E-3</v>
      </c>
      <c r="G20">
        <f t="shared" si="8"/>
        <v>2.6270999999999998E-4</v>
      </c>
      <c r="H20" s="38">
        <f t="shared" si="8"/>
        <v>1.2509999999999999E-5</v>
      </c>
      <c r="I20">
        <f t="shared" si="8"/>
        <v>1.2134699999999999E-3</v>
      </c>
      <c r="J20">
        <f t="shared" si="8"/>
        <v>0.83416679999999999</v>
      </c>
      <c r="K20">
        <f t="shared" si="8"/>
        <v>3.525318E-4</v>
      </c>
      <c r="N20">
        <f>(-393.52)*E20</f>
        <v>-392.35793543999995</v>
      </c>
      <c r="O20">
        <f>90.29*G20</f>
        <v>2.37200859E-2</v>
      </c>
      <c r="P20">
        <f>33.2*H20</f>
        <v>4.1533199999999997E-4</v>
      </c>
      <c r="Q20">
        <f>-74.906*I20</f>
        <v>-9.0896183820000004E-2</v>
      </c>
      <c r="R20">
        <f>-241.83*J20</f>
        <v>-201.72655724400002</v>
      </c>
      <c r="T20" s="47">
        <f>SUM(N20:R20)</f>
        <v>-594.15125344991998</v>
      </c>
    </row>
    <row r="21" spans="4:20">
      <c r="D21">
        <f t="shared" ref="D21:K29" si="9">D8*($C8)</f>
        <v>1.0463199999999999</v>
      </c>
      <c r="E21" s="38">
        <f t="shared" si="9"/>
        <v>0.99991999999999992</v>
      </c>
      <c r="F21" s="38">
        <f t="shared" si="9"/>
        <v>0</v>
      </c>
      <c r="G21" s="38">
        <f t="shared" si="9"/>
        <v>9.5120000000000003E-4</v>
      </c>
      <c r="H21" s="38">
        <f t="shared" si="9"/>
        <v>1.6007999999999999E-3</v>
      </c>
      <c r="I21" s="38">
        <f t="shared" si="9"/>
        <v>3.4799999999999999E-5</v>
      </c>
      <c r="J21" s="38">
        <f t="shared" si="9"/>
        <v>0.83079199999999997</v>
      </c>
      <c r="K21" s="38">
        <f t="shared" si="9"/>
        <v>0</v>
      </c>
      <c r="N21">
        <f t="shared" ref="N21:N29" si="10">(-393.52)*E21</f>
        <v>-393.48851839999998</v>
      </c>
      <c r="O21">
        <f t="shared" ref="O21:O29" si="11">90.29*G21</f>
        <v>8.5883848000000013E-2</v>
      </c>
      <c r="P21">
        <f t="shared" ref="P21:P29" si="12">33.2*H21</f>
        <v>5.3146560000000002E-2</v>
      </c>
      <c r="Q21">
        <f t="shared" ref="Q21:Q29" si="13">-1184.56*I21</f>
        <v>-4.1222687999999993E-2</v>
      </c>
      <c r="R21">
        <f t="shared" ref="R21:R29" si="14">-241.83*J21</f>
        <v>-200.91042935999999</v>
      </c>
      <c r="T21" s="47">
        <f t="shared" ref="T21:T29" si="15">SUM(N21:R21)</f>
        <v>-594.30114003999995</v>
      </c>
    </row>
    <row r="22" spans="4:20">
      <c r="D22">
        <f t="shared" si="9"/>
        <v>0.97562499999999996</v>
      </c>
      <c r="E22" s="38">
        <f t="shared" ref="E22:K22" si="16">E9*($C9)</f>
        <v>0.99904000000000004</v>
      </c>
      <c r="F22" s="38">
        <f t="shared" si="16"/>
        <v>0</v>
      </c>
      <c r="G22" s="38">
        <f t="shared" si="16"/>
        <v>5.0844000000000002E-3</v>
      </c>
      <c r="H22" s="38">
        <f t="shared" si="16"/>
        <v>7.805E-5</v>
      </c>
      <c r="I22" s="38">
        <f t="shared" si="16"/>
        <v>6.8015000000000003E-4</v>
      </c>
      <c r="J22" s="38">
        <f t="shared" si="16"/>
        <v>0.82777600000000007</v>
      </c>
      <c r="K22" s="38">
        <f t="shared" si="16"/>
        <v>0</v>
      </c>
      <c r="N22">
        <f t="shared" si="10"/>
        <v>-393.14222080000002</v>
      </c>
      <c r="O22">
        <f t="shared" si="11"/>
        <v>0.45907047600000006</v>
      </c>
      <c r="P22">
        <f t="shared" si="12"/>
        <v>2.5912600000000002E-3</v>
      </c>
      <c r="Q22">
        <f t="shared" si="13"/>
        <v>-0.80567848399999997</v>
      </c>
      <c r="R22">
        <f t="shared" si="14"/>
        <v>-200.18107008000004</v>
      </c>
      <c r="T22" s="47">
        <f t="shared" si="15"/>
        <v>-593.66730762800012</v>
      </c>
    </row>
    <row r="23" spans="4:20">
      <c r="D23">
        <f t="shared" si="9"/>
        <v>0.67552159999999994</v>
      </c>
      <c r="E23" s="38">
        <f t="shared" ref="E23:K23" si="17">E10*($C10)</f>
        <v>0.99910719999999997</v>
      </c>
      <c r="F23" s="38">
        <f t="shared" si="17"/>
        <v>8.3096000000000005E-4</v>
      </c>
      <c r="G23" s="38">
        <f t="shared" si="17"/>
        <v>3.793088E-3</v>
      </c>
      <c r="H23" s="38">
        <f t="shared" si="17"/>
        <v>1.0753599999999999E-4</v>
      </c>
      <c r="I23" s="38">
        <f t="shared" si="17"/>
        <v>2.9328000000000001E-5</v>
      </c>
      <c r="J23" s="38">
        <f t="shared" si="17"/>
        <v>0.81991311999999994</v>
      </c>
      <c r="K23" s="38">
        <f t="shared" si="17"/>
        <v>1.7948736000000001E-4</v>
      </c>
      <c r="N23">
        <f t="shared" si="10"/>
        <v>-393.16866534399998</v>
      </c>
      <c r="O23">
        <f t="shared" si="11"/>
        <v>0.34247791552000001</v>
      </c>
      <c r="P23">
        <f t="shared" si="12"/>
        <v>3.5701952E-3</v>
      </c>
      <c r="Q23">
        <f t="shared" si="13"/>
        <v>-3.4740775680000002E-2</v>
      </c>
      <c r="R23">
        <f t="shared" si="14"/>
        <v>-198.2795898096</v>
      </c>
      <c r="T23" s="47">
        <f t="shared" si="15"/>
        <v>-591.13694781855997</v>
      </c>
    </row>
    <row r="24" spans="4:20">
      <c r="D24">
        <f t="shared" si="9"/>
        <v>1.0064959999999998</v>
      </c>
      <c r="E24" s="38">
        <f t="shared" ref="E24:K24" si="18">E11*($C11)</f>
        <v>0.99740799999999996</v>
      </c>
      <c r="F24" s="38">
        <f t="shared" si="18"/>
        <v>1.71536E-3</v>
      </c>
      <c r="G24" s="38">
        <f t="shared" si="18"/>
        <v>3.1807999999999999E-4</v>
      </c>
      <c r="H24" s="38">
        <f t="shared" si="18"/>
        <v>1.0224E-4</v>
      </c>
      <c r="I24" s="38">
        <f t="shared" si="18"/>
        <v>1.0337599999999999E-3</v>
      </c>
      <c r="J24" s="38">
        <f t="shared" si="18"/>
        <v>0.82893919999999988</v>
      </c>
      <c r="K24" s="38">
        <f t="shared" si="18"/>
        <v>3.752208E-4</v>
      </c>
      <c r="N24">
        <f t="shared" si="10"/>
        <v>-392.49999615999997</v>
      </c>
      <c r="O24">
        <f t="shared" si="11"/>
        <v>2.87194432E-2</v>
      </c>
      <c r="P24">
        <f t="shared" si="12"/>
        <v>3.394368E-3</v>
      </c>
      <c r="Q24">
        <f t="shared" si="13"/>
        <v>-1.2245507455999998</v>
      </c>
      <c r="R24">
        <f t="shared" si="14"/>
        <v>-200.46236673599998</v>
      </c>
      <c r="T24" s="47">
        <f t="shared" si="15"/>
        <v>-594.15479983039995</v>
      </c>
    </row>
    <row r="25" spans="4:20">
      <c r="D25">
        <f t="shared" si="9"/>
        <v>1.0719730000000001</v>
      </c>
      <c r="E25" s="38">
        <f t="shared" ref="E25:K25" si="19">E12*($C12)</f>
        <v>0.99832600000000005</v>
      </c>
      <c r="F25" s="38">
        <f t="shared" si="19"/>
        <v>7.1308999999999999E-4</v>
      </c>
      <c r="G25" s="38">
        <f t="shared" si="19"/>
        <v>2.2327900000000001E-3</v>
      </c>
      <c r="H25" s="38">
        <f t="shared" si="19"/>
        <v>1.8703999999999997E-4</v>
      </c>
      <c r="I25" s="38">
        <f t="shared" si="19"/>
        <v>7.8322999999999999E-4</v>
      </c>
      <c r="J25" s="38">
        <f t="shared" si="19"/>
        <v>0.83057449999999999</v>
      </c>
      <c r="K25" s="38">
        <f t="shared" si="19"/>
        <v>1.5617840000000001E-4</v>
      </c>
      <c r="N25">
        <f t="shared" si="10"/>
        <v>-392.86124752000001</v>
      </c>
      <c r="O25">
        <f t="shared" si="11"/>
        <v>0.20159860910000002</v>
      </c>
      <c r="P25">
        <f t="shared" si="12"/>
        <v>6.2097279999999994E-3</v>
      </c>
      <c r="Q25">
        <f t="shared" si="13"/>
        <v>-0.92778292879999991</v>
      </c>
      <c r="R25">
        <f t="shared" si="14"/>
        <v>-200.85783133500001</v>
      </c>
      <c r="T25" s="47">
        <f t="shared" si="15"/>
        <v>-594.43905344669997</v>
      </c>
    </row>
    <row r="26" spans="4:20">
      <c r="D26">
        <f t="shared" si="9"/>
        <v>2.1581359999999998</v>
      </c>
      <c r="E26" s="38">
        <f t="shared" ref="E26:K26" si="20">E13*($C13)</f>
        <v>0.99737199999999993</v>
      </c>
      <c r="F26" s="38">
        <f t="shared" si="20"/>
        <v>1.2254399999999999E-3</v>
      </c>
      <c r="G26" s="38">
        <f t="shared" si="20"/>
        <v>4.1869200000000002E-3</v>
      </c>
      <c r="H26" s="38">
        <f t="shared" si="20"/>
        <v>6.4676000000000002E-4</v>
      </c>
      <c r="I26" s="38">
        <f t="shared" si="20"/>
        <v>1.4977599999999999E-3</v>
      </c>
      <c r="J26" s="38">
        <f t="shared" si="20"/>
        <v>0.84912779999999988</v>
      </c>
      <c r="K26" s="38">
        <f t="shared" si="20"/>
        <v>2.7453260000000001E-4</v>
      </c>
      <c r="N26">
        <f t="shared" si="10"/>
        <v>-392.48582943999997</v>
      </c>
      <c r="O26">
        <f t="shared" si="11"/>
        <v>0.37803700680000002</v>
      </c>
      <c r="P26">
        <f t="shared" si="12"/>
        <v>2.1472432000000003E-2</v>
      </c>
      <c r="Q26">
        <f t="shared" si="13"/>
        <v>-1.7741865855999999</v>
      </c>
      <c r="R26">
        <f t="shared" si="14"/>
        <v>-205.34457587399999</v>
      </c>
      <c r="T26" s="47">
        <f t="shared" si="15"/>
        <v>-599.20508246079999</v>
      </c>
    </row>
    <row r="27" spans="4:20">
      <c r="D27">
        <f t="shared" si="9"/>
        <v>0.763158</v>
      </c>
      <c r="E27" s="38">
        <f t="shared" ref="E27:K27" si="21">E14*($C14)</f>
        <v>0.999471</v>
      </c>
      <c r="F27" s="38">
        <f t="shared" si="21"/>
        <v>6.342600000000001E-4</v>
      </c>
      <c r="G27" s="38">
        <f t="shared" si="21"/>
        <v>1.88232E-3</v>
      </c>
      <c r="H27" s="38">
        <f t="shared" si="21"/>
        <v>2.1483E-4</v>
      </c>
      <c r="I27" s="38">
        <f t="shared" si="21"/>
        <v>3.1713000000000005E-4</v>
      </c>
      <c r="J27" s="38">
        <f t="shared" si="21"/>
        <v>0.82310580000000011</v>
      </c>
      <c r="K27" s="38">
        <f t="shared" si="21"/>
        <v>1.3749120000000002E-4</v>
      </c>
      <c r="N27">
        <f t="shared" si="10"/>
        <v>-393.31182791999998</v>
      </c>
      <c r="O27">
        <f t="shared" si="11"/>
        <v>0.16995467280000001</v>
      </c>
      <c r="P27">
        <f t="shared" si="12"/>
        <v>7.1323560000000003E-3</v>
      </c>
      <c r="Q27">
        <f t="shared" si="13"/>
        <v>-0.37565951280000004</v>
      </c>
      <c r="R27">
        <f t="shared" si="14"/>
        <v>-199.05167561400003</v>
      </c>
      <c r="T27" s="47">
        <f t="shared" si="15"/>
        <v>-592.56207601799997</v>
      </c>
    </row>
    <row r="28" spans="4:20">
      <c r="D28">
        <f t="shared" si="9"/>
        <v>0.56145330000000004</v>
      </c>
      <c r="E28" s="38">
        <f t="shared" ref="E28:K28" si="22">E15*($C15)</f>
        <v>0.99907030000000008</v>
      </c>
      <c r="F28" s="38">
        <f t="shared" si="22"/>
        <v>7.63502E-4</v>
      </c>
      <c r="G28" s="38">
        <f t="shared" si="22"/>
        <v>1.527004E-3</v>
      </c>
      <c r="H28" s="38">
        <f t="shared" si="22"/>
        <v>1.67598E-4</v>
      </c>
      <c r="I28" s="38">
        <f t="shared" si="22"/>
        <v>1.3035400000000001E-4</v>
      </c>
      <c r="J28" s="38">
        <f t="shared" si="22"/>
        <v>0.81638847999999997</v>
      </c>
      <c r="K28" s="38">
        <f t="shared" si="22"/>
        <v>1.6415292999999998E-4</v>
      </c>
      <c r="N28">
        <f t="shared" si="10"/>
        <v>-393.15414445600004</v>
      </c>
      <c r="O28">
        <f t="shared" si="11"/>
        <v>0.13787319116000002</v>
      </c>
      <c r="P28">
        <f t="shared" si="12"/>
        <v>5.564253600000001E-3</v>
      </c>
      <c r="Q28">
        <f t="shared" si="13"/>
        <v>-0.15441213424</v>
      </c>
      <c r="R28">
        <f t="shared" si="14"/>
        <v>-197.4272261184</v>
      </c>
      <c r="T28" s="47">
        <f t="shared" si="15"/>
        <v>-590.59234526388002</v>
      </c>
    </row>
    <row r="29" spans="4:20">
      <c r="D29">
        <f t="shared" si="9"/>
        <v>0.98912</v>
      </c>
      <c r="E29" s="38">
        <f t="shared" ref="E29:K29" si="23">E16*($C16)</f>
        <v>0.99923600000000012</v>
      </c>
      <c r="F29" s="38">
        <f t="shared" si="23"/>
        <v>6.7440000000000005E-5</v>
      </c>
      <c r="G29" s="38">
        <f t="shared" si="23"/>
        <v>2.39412E-3</v>
      </c>
      <c r="H29" s="38">
        <f t="shared" si="23"/>
        <v>1.6860000000000001E-4</v>
      </c>
      <c r="I29" s="38">
        <f t="shared" si="23"/>
        <v>6.9688000000000009E-4</v>
      </c>
      <c r="J29" s="38">
        <f t="shared" si="23"/>
        <v>0.82850040000000003</v>
      </c>
      <c r="K29" s="38">
        <f t="shared" si="23"/>
        <v>1.4713160000000001E-5</v>
      </c>
      <c r="N29">
        <f t="shared" si="10"/>
        <v>-393.21935072000002</v>
      </c>
      <c r="O29">
        <f t="shared" si="11"/>
        <v>0.21616509480000001</v>
      </c>
      <c r="P29">
        <f t="shared" si="12"/>
        <v>5.5975200000000008E-3</v>
      </c>
      <c r="Q29">
        <f t="shared" si="13"/>
        <v>-0.82549617280000009</v>
      </c>
      <c r="R29">
        <f t="shared" si="14"/>
        <v>-200.356251732</v>
      </c>
      <c r="T29" s="47">
        <f t="shared" si="15"/>
        <v>-594.17933601000004</v>
      </c>
    </row>
    <row r="32" spans="4:20">
      <c r="D32" t="s">
        <v>105</v>
      </c>
    </row>
    <row r="33" spans="3:17">
      <c r="D33" t="s">
        <v>57</v>
      </c>
      <c r="E33" t="s">
        <v>58</v>
      </c>
      <c r="F33" t="s">
        <v>59</v>
      </c>
      <c r="G33" t="s">
        <v>60</v>
      </c>
      <c r="H33" t="s">
        <v>61</v>
      </c>
      <c r="I33" t="s">
        <v>62</v>
      </c>
      <c r="J33" t="s">
        <v>63</v>
      </c>
      <c r="K33" t="s">
        <v>64</v>
      </c>
      <c r="L33" t="s">
        <v>106</v>
      </c>
      <c r="M33" t="s">
        <v>107</v>
      </c>
    </row>
    <row r="34" spans="3:17">
      <c r="D34">
        <f>D7*32</f>
        <v>3.0815999999999999</v>
      </c>
      <c r="E34">
        <f>E7*44</f>
        <v>3.5067999999999997</v>
      </c>
      <c r="F34">
        <f>F7*28</f>
        <v>3.5839999999999999E-3</v>
      </c>
      <c r="G34">
        <f>30*G7</f>
        <v>6.2999999999999992E-4</v>
      </c>
      <c r="H34">
        <f>46*H7</f>
        <v>4.6E-5</v>
      </c>
      <c r="I34">
        <f>13.79*I7</f>
        <v>1.3376299999999998E-3</v>
      </c>
      <c r="J34">
        <f>18*J7</f>
        <v>1.20024</v>
      </c>
      <c r="K34">
        <f>2*K7</f>
        <v>5.6360000000000002E-5</v>
      </c>
      <c r="L34">
        <f>28*B7</f>
        <v>21.197254959999999</v>
      </c>
      <c r="M34">
        <f>SUM(D34:L34)</f>
        <v>28.991548949999999</v>
      </c>
    </row>
    <row r="35" spans="3:17">
      <c r="D35">
        <f t="shared" ref="D35:D43" si="24">D8*32</f>
        <v>2.8864000000000001</v>
      </c>
      <c r="E35">
        <f t="shared" ref="E35:E43" si="25">E8*44</f>
        <v>3.7927999999999997</v>
      </c>
      <c r="F35">
        <f t="shared" ref="F35:F43" si="26">F8*28</f>
        <v>0</v>
      </c>
      <c r="G35">
        <f t="shared" ref="G35:G43" si="27">30*G8</f>
        <v>2.4599999999999999E-3</v>
      </c>
      <c r="H35">
        <f t="shared" ref="H35:H43" si="28">46*H8</f>
        <v>6.3479999999999995E-3</v>
      </c>
      <c r="I35">
        <f t="shared" ref="I35:I43" si="29">13.79*I8</f>
        <v>4.1369999999999999E-5</v>
      </c>
      <c r="J35">
        <f t="shared" ref="J35:J43" si="30">18*J8</f>
        <v>1.2891600000000001</v>
      </c>
      <c r="K35">
        <f t="shared" ref="K35:K43" si="31">2*K8</f>
        <v>0</v>
      </c>
      <c r="L35">
        <f t="shared" ref="L35:L43" si="32">28*B8</f>
        <v>21.049196000000002</v>
      </c>
      <c r="M35">
        <f t="shared" ref="M35:M43" si="33">SUM(D35:L35)</f>
        <v>29.026405370000003</v>
      </c>
    </row>
    <row r="36" spans="3:17">
      <c r="D36">
        <f t="shared" si="24"/>
        <v>2.8</v>
      </c>
      <c r="E36">
        <f t="shared" si="25"/>
        <v>3.9424000000000001</v>
      </c>
      <c r="F36">
        <f t="shared" si="26"/>
        <v>0</v>
      </c>
      <c r="G36">
        <f t="shared" si="27"/>
        <v>1.3680000000000001E-2</v>
      </c>
      <c r="H36">
        <f t="shared" si="28"/>
        <v>3.2200000000000002E-4</v>
      </c>
      <c r="I36">
        <f t="shared" si="29"/>
        <v>8.4118999999999991E-4</v>
      </c>
      <c r="J36">
        <f t="shared" si="30"/>
        <v>1.33632</v>
      </c>
      <c r="K36">
        <f t="shared" si="31"/>
        <v>0</v>
      </c>
      <c r="L36">
        <f t="shared" si="32"/>
        <v>20.947808000000002</v>
      </c>
      <c r="M36">
        <f t="shared" si="33"/>
        <v>29.04137119</v>
      </c>
      <c r="O36" t="s">
        <v>108</v>
      </c>
      <c r="P36">
        <v>-8.94</v>
      </c>
    </row>
    <row r="37" spans="3:17">
      <c r="D37">
        <f t="shared" si="24"/>
        <v>2.2111999999999998</v>
      </c>
      <c r="E37">
        <f t="shared" si="25"/>
        <v>4.4968000000000004</v>
      </c>
      <c r="F37">
        <f t="shared" si="26"/>
        <v>2.3800000000000002E-3</v>
      </c>
      <c r="G37">
        <f t="shared" si="27"/>
        <v>1.1639999999999999E-2</v>
      </c>
      <c r="H37">
        <f t="shared" si="28"/>
        <v>5.0599999999999994E-4</v>
      </c>
      <c r="I37">
        <f t="shared" si="29"/>
        <v>4.1369999999999999E-5</v>
      </c>
      <c r="J37">
        <f t="shared" si="30"/>
        <v>1.50966</v>
      </c>
      <c r="K37">
        <f t="shared" si="31"/>
        <v>3.6720000000000001E-5</v>
      </c>
      <c r="L37">
        <f t="shared" si="32"/>
        <v>20.841089919999998</v>
      </c>
      <c r="M37">
        <f t="shared" si="33"/>
        <v>29.073354009999996</v>
      </c>
      <c r="O37" t="s">
        <v>109</v>
      </c>
      <c r="P37">
        <v>-3.94</v>
      </c>
    </row>
    <row r="38" spans="3:17">
      <c r="D38">
        <f t="shared" si="24"/>
        <v>2.8351999999999999</v>
      </c>
      <c r="E38">
        <f t="shared" si="25"/>
        <v>3.8632</v>
      </c>
      <c r="F38">
        <f t="shared" si="26"/>
        <v>4.228E-3</v>
      </c>
      <c r="G38">
        <f t="shared" si="27"/>
        <v>8.4000000000000003E-4</v>
      </c>
      <c r="H38">
        <f t="shared" si="28"/>
        <v>4.1400000000000003E-4</v>
      </c>
      <c r="I38">
        <f t="shared" si="29"/>
        <v>1.25489E-3</v>
      </c>
      <c r="J38">
        <f t="shared" si="30"/>
        <v>1.3134599999999998</v>
      </c>
      <c r="K38">
        <f t="shared" si="31"/>
        <v>6.6060000000000001E-5</v>
      </c>
      <c r="L38">
        <f t="shared" si="32"/>
        <v>21.008903159999999</v>
      </c>
      <c r="M38">
        <f t="shared" si="33"/>
        <v>29.027566109999999</v>
      </c>
      <c r="O38" t="s">
        <v>110</v>
      </c>
      <c r="P38">
        <v>3</v>
      </c>
    </row>
    <row r="39" spans="3:17">
      <c r="D39">
        <f t="shared" si="24"/>
        <v>2.9344000000000001</v>
      </c>
      <c r="E39">
        <f t="shared" si="25"/>
        <v>3.7576000000000001</v>
      </c>
      <c r="F39">
        <f t="shared" si="26"/>
        <v>1.7079999999999999E-3</v>
      </c>
      <c r="G39">
        <f t="shared" si="27"/>
        <v>5.7299999999999999E-3</v>
      </c>
      <c r="H39">
        <f t="shared" si="28"/>
        <v>7.36E-4</v>
      </c>
      <c r="I39">
        <f t="shared" si="29"/>
        <v>9.2393E-4</v>
      </c>
      <c r="J39">
        <f t="shared" si="30"/>
        <v>1.2789000000000001</v>
      </c>
      <c r="K39">
        <f t="shared" si="31"/>
        <v>2.6720000000000002E-5</v>
      </c>
      <c r="L39">
        <f t="shared" si="32"/>
        <v>21.04204592</v>
      </c>
      <c r="M39">
        <f t="shared" si="33"/>
        <v>29.02207057</v>
      </c>
      <c r="O39" t="s">
        <v>111</v>
      </c>
      <c r="P39">
        <v>0.72</v>
      </c>
    </row>
    <row r="40" spans="3:17">
      <c r="D40">
        <f t="shared" si="24"/>
        <v>4.0575999999999999</v>
      </c>
      <c r="E40">
        <f t="shared" si="25"/>
        <v>2.5783999999999998</v>
      </c>
      <c r="F40">
        <f t="shared" si="26"/>
        <v>2.016E-3</v>
      </c>
      <c r="G40">
        <f t="shared" si="27"/>
        <v>7.3800000000000003E-3</v>
      </c>
      <c r="H40">
        <f t="shared" si="28"/>
        <v>1.748E-3</v>
      </c>
      <c r="I40">
        <f t="shared" si="29"/>
        <v>1.2135199999999998E-3</v>
      </c>
      <c r="J40">
        <f t="shared" si="30"/>
        <v>0.89801999999999993</v>
      </c>
      <c r="K40">
        <f t="shared" si="31"/>
        <v>3.2259999999999999E-5</v>
      </c>
      <c r="L40">
        <f t="shared" si="32"/>
        <v>21.398996359999998</v>
      </c>
      <c r="M40">
        <f t="shared" si="33"/>
        <v>28.945406139999999</v>
      </c>
      <c r="O40" t="s">
        <v>112</v>
      </c>
      <c r="P40">
        <v>-5.43</v>
      </c>
    </row>
    <row r="41" spans="3:17">
      <c r="D41">
        <f t="shared" si="24"/>
        <v>2.3872</v>
      </c>
      <c r="E41">
        <f t="shared" si="25"/>
        <v>4.2988</v>
      </c>
      <c r="F41">
        <f t="shared" si="26"/>
        <v>1.7360000000000001E-3</v>
      </c>
      <c r="G41">
        <f t="shared" si="27"/>
        <v>5.5199999999999997E-3</v>
      </c>
      <c r="H41">
        <f t="shared" si="28"/>
        <v>9.6599999999999995E-4</v>
      </c>
      <c r="I41">
        <f t="shared" si="29"/>
        <v>4.2748999999999999E-4</v>
      </c>
      <c r="J41">
        <f t="shared" si="30"/>
        <v>1.44828</v>
      </c>
      <c r="K41">
        <f t="shared" si="31"/>
        <v>2.688E-5</v>
      </c>
      <c r="L41">
        <f t="shared" si="32"/>
        <v>20.91399968</v>
      </c>
      <c r="M41">
        <f t="shared" si="33"/>
        <v>29.05695605</v>
      </c>
      <c r="O41" t="s">
        <v>113</v>
      </c>
      <c r="P41">
        <v>-13.45</v>
      </c>
    </row>
    <row r="42" spans="3:17">
      <c r="D42">
        <f t="shared" si="24"/>
        <v>1.9296</v>
      </c>
      <c r="E42">
        <f t="shared" si="25"/>
        <v>4.7212000000000005</v>
      </c>
      <c r="F42">
        <f t="shared" si="26"/>
        <v>2.2959999999999999E-3</v>
      </c>
      <c r="G42">
        <f t="shared" si="27"/>
        <v>4.9199999999999999E-3</v>
      </c>
      <c r="H42">
        <f t="shared" si="28"/>
        <v>8.2800000000000007E-4</v>
      </c>
      <c r="I42">
        <f t="shared" si="29"/>
        <v>1.9306E-4</v>
      </c>
      <c r="J42">
        <f t="shared" si="30"/>
        <v>1.5782399999999999</v>
      </c>
      <c r="K42">
        <f t="shared" si="31"/>
        <v>3.5259999999999998E-5</v>
      </c>
      <c r="L42">
        <f t="shared" si="32"/>
        <v>20.843882360000002</v>
      </c>
      <c r="M42">
        <f t="shared" si="33"/>
        <v>29.081194680000003</v>
      </c>
    </row>
    <row r="43" spans="3:17">
      <c r="D43">
        <f t="shared" si="24"/>
        <v>2.8159999999999998</v>
      </c>
      <c r="E43">
        <f t="shared" si="25"/>
        <v>3.9116000000000004</v>
      </c>
      <c r="F43">
        <f t="shared" si="26"/>
        <v>1.6800000000000002E-4</v>
      </c>
      <c r="G43">
        <f t="shared" si="27"/>
        <v>6.3899999999999998E-3</v>
      </c>
      <c r="H43">
        <f t="shared" si="28"/>
        <v>6.8999999999999997E-4</v>
      </c>
      <c r="I43">
        <f t="shared" si="29"/>
        <v>8.5497999999999998E-4</v>
      </c>
      <c r="J43">
        <f t="shared" si="30"/>
        <v>1.3267799999999998</v>
      </c>
      <c r="K43">
        <f t="shared" si="31"/>
        <v>2.6180000000000002E-6</v>
      </c>
      <c r="L43">
        <f t="shared" si="32"/>
        <v>20.974595348000001</v>
      </c>
      <c r="M43">
        <f t="shared" si="33"/>
        <v>29.037080946000003</v>
      </c>
    </row>
    <row r="45" spans="3:17">
      <c r="C45" s="48"/>
      <c r="D45" s="48" t="s">
        <v>104</v>
      </c>
      <c r="E45" s="48"/>
      <c r="F45" s="48"/>
      <c r="G45" s="48"/>
      <c r="H45" s="48"/>
      <c r="I45" s="48"/>
      <c r="J45" s="48"/>
      <c r="K45" s="48"/>
      <c r="L45" s="48"/>
    </row>
    <row r="46" spans="3:17" ht="30">
      <c r="C46" s="48"/>
      <c r="D46" s="48" t="s">
        <v>57</v>
      </c>
      <c r="E46" s="48" t="s">
        <v>58</v>
      </c>
      <c r="F46" s="48" t="s">
        <v>59</v>
      </c>
      <c r="G46" s="48" t="s">
        <v>60</v>
      </c>
      <c r="H46" s="48" t="s">
        <v>61</v>
      </c>
      <c r="I46" s="48" t="s">
        <v>62</v>
      </c>
      <c r="J46" s="48" t="s">
        <v>63</v>
      </c>
      <c r="K46" s="48" t="s">
        <v>64</v>
      </c>
      <c r="L46" s="48" t="s">
        <v>106</v>
      </c>
      <c r="M46" t="s">
        <v>65</v>
      </c>
      <c r="N46" t="s">
        <v>85</v>
      </c>
      <c r="O46" t="s">
        <v>115</v>
      </c>
      <c r="P46" t="s">
        <v>116</v>
      </c>
      <c r="Q46" s="52" t="s">
        <v>114</v>
      </c>
    </row>
    <row r="47" spans="3:17">
      <c r="C47" s="48" t="s">
        <v>26</v>
      </c>
      <c r="D47" s="48">
        <f>D34/($M34)</f>
        <v>0.10629304440803257</v>
      </c>
      <c r="E47" s="48">
        <f t="shared" ref="E47:L47" si="34">E34/($M34)</f>
        <v>0.12095938737347112</v>
      </c>
      <c r="F47" s="48">
        <f t="shared" si="34"/>
        <v>1.2362223233332968E-4</v>
      </c>
      <c r="G47" s="48">
        <f t="shared" si="34"/>
        <v>2.1730470527343105E-5</v>
      </c>
      <c r="H47" s="48">
        <f t="shared" si="34"/>
        <v>1.5866692765996554E-6</v>
      </c>
      <c r="I47" s="48">
        <f t="shared" si="34"/>
        <v>4.6138617922999929E-5</v>
      </c>
      <c r="J47" s="48">
        <f t="shared" si="34"/>
        <v>4.13996507075211E-2</v>
      </c>
      <c r="K47" s="48">
        <f t="shared" si="34"/>
        <v>1.9440147919381867E-6</v>
      </c>
      <c r="L47" s="48">
        <f t="shared" si="34"/>
        <v>0.73115289550612295</v>
      </c>
      <c r="M47">
        <v>6.8</v>
      </c>
      <c r="N47">
        <f>M47*(E47*-8.94+F47*-3.94+G47*3+H47*0.72+I47*-5.43+J47*-13.45)</f>
        <v>-11.144339770163262</v>
      </c>
      <c r="O47">
        <f>L7*-5.59</f>
        <v>-1.3952639999999998</v>
      </c>
      <c r="P47">
        <f>N47-O47</f>
        <v>-9.7490757701632624</v>
      </c>
      <c r="Q47" s="47">
        <f>P47/V7</f>
        <v>0.91258871860053314</v>
      </c>
    </row>
    <row r="48" spans="3:17">
      <c r="C48" s="48" t="s">
        <v>27</v>
      </c>
      <c r="D48" s="48">
        <f>D35/($M35)</f>
        <v>9.9440490932549794E-2</v>
      </c>
      <c r="E48" s="48">
        <f t="shared" ref="E48:L48" si="35">E35/($M35)</f>
        <v>0.13066723046319806</v>
      </c>
      <c r="F48" s="48">
        <f t="shared" si="35"/>
        <v>0</v>
      </c>
      <c r="G48" s="48">
        <f t="shared" si="35"/>
        <v>8.4750418408423116E-5</v>
      </c>
      <c r="H48" s="48">
        <f t="shared" si="35"/>
        <v>2.1869742116124795E-4</v>
      </c>
      <c r="I48" s="48">
        <f t="shared" si="35"/>
        <v>1.425253987624579E-6</v>
      </c>
      <c r="J48" s="48">
        <f t="shared" si="35"/>
        <v>4.4413353412765352E-2</v>
      </c>
      <c r="K48" s="48">
        <f t="shared" si="35"/>
        <v>0</v>
      </c>
      <c r="L48" s="48">
        <f t="shared" si="35"/>
        <v>0.72517405209792951</v>
      </c>
      <c r="M48">
        <v>6.8</v>
      </c>
      <c r="N48">
        <f t="shared" ref="N48:N56" si="36">M48*(E48*-8.94+F48*-3.94+G48*3+H48*0.72+I48*-5.43+J48*-13.45)</f>
        <v>-12.002820552418957</v>
      </c>
      <c r="O48">
        <f t="shared" ref="O48:O56" si="37">L8*-5.59</f>
        <v>-1.4813499999999999</v>
      </c>
      <c r="P48">
        <f>N48-O48</f>
        <v>-10.521470552418958</v>
      </c>
      <c r="Q48" s="47">
        <f t="shared" ref="Q48:Q56" si="38">P48/V8</f>
        <v>0.92765566499902641</v>
      </c>
    </row>
    <row r="49" spans="3:18">
      <c r="C49" s="48" t="s">
        <v>28</v>
      </c>
      <c r="D49" s="48">
        <f t="shared" ref="D49:L56" si="39">D36/($M36)</f>
        <v>9.6414180366391988E-2</v>
      </c>
      <c r="E49" s="48">
        <f t="shared" si="39"/>
        <v>0.13575116595587994</v>
      </c>
      <c r="F49" s="48">
        <f t="shared" si="39"/>
        <v>0</v>
      </c>
      <c r="G49" s="48">
        <f t="shared" si="39"/>
        <v>4.7105213836151519E-4</v>
      </c>
      <c r="H49" s="48">
        <f t="shared" si="39"/>
        <v>1.108763074213508E-5</v>
      </c>
      <c r="I49" s="48">
        <f t="shared" si="39"/>
        <v>2.8965230136573309E-5</v>
      </c>
      <c r="J49" s="48">
        <f t="shared" si="39"/>
        <v>4.6014356252577479E-2</v>
      </c>
      <c r="K49" s="48">
        <f t="shared" si="39"/>
        <v>0</v>
      </c>
      <c r="L49" s="48">
        <f t="shared" si="39"/>
        <v>0.72130919242591052</v>
      </c>
      <c r="M49">
        <v>14.4</v>
      </c>
      <c r="N49">
        <f t="shared" si="36"/>
        <v>-26.369923059837451</v>
      </c>
      <c r="O49">
        <f t="shared" si="37"/>
        <v>-3.2248709999999998</v>
      </c>
      <c r="P49">
        <f>N49-O49</f>
        <v>-23.14505205983745</v>
      </c>
      <c r="Q49" s="47">
        <f t="shared" si="38"/>
        <v>0.93737605198253693</v>
      </c>
    </row>
    <row r="50" spans="3:18">
      <c r="C50" s="48" t="s">
        <v>29</v>
      </c>
      <c r="D50" s="48">
        <f t="shared" si="39"/>
        <v>7.6055896379875573E-2</v>
      </c>
      <c r="E50" s="48">
        <f t="shared" si="39"/>
        <v>0.15467083703013049</v>
      </c>
      <c r="F50" s="48">
        <f t="shared" si="39"/>
        <v>8.1861900047080276E-5</v>
      </c>
      <c r="G50" s="48">
        <f t="shared" si="39"/>
        <v>4.0036660359160262E-4</v>
      </c>
      <c r="H50" s="48">
        <f t="shared" si="39"/>
        <v>1.7404252699085132E-5</v>
      </c>
      <c r="I50" s="48">
        <f t="shared" si="39"/>
        <v>1.4229524390536599E-6</v>
      </c>
      <c r="J50" s="48">
        <f t="shared" si="39"/>
        <v>5.1925897489527396E-2</v>
      </c>
      <c r="K50" s="48">
        <f t="shared" si="39"/>
        <v>1.2630121721549527E-6</v>
      </c>
      <c r="L50" s="48">
        <f t="shared" si="39"/>
        <v>0.71684505037951762</v>
      </c>
      <c r="M50">
        <v>16.899999999999999</v>
      </c>
      <c r="N50">
        <f t="shared" si="36"/>
        <v>-35.156685287195387</v>
      </c>
      <c r="O50">
        <f t="shared" si="37"/>
        <v>-4.3126850000000001</v>
      </c>
      <c r="P50">
        <f>N50-O50</f>
        <v>-30.844000287195385</v>
      </c>
      <c r="Q50" s="47">
        <f t="shared" si="38"/>
        <v>0.93409489606953888</v>
      </c>
    </row>
    <row r="51" spans="3:18">
      <c r="C51" s="48" t="s">
        <v>30</v>
      </c>
      <c r="D51" s="48">
        <f t="shared" si="39"/>
        <v>9.7672673942279756E-2</v>
      </c>
      <c r="E51" s="48">
        <f t="shared" si="39"/>
        <v>0.13308728624922939</v>
      </c>
      <c r="F51" s="48">
        <f t="shared" si="39"/>
        <v>1.4565465061652048E-4</v>
      </c>
      <c r="G51" s="48">
        <f t="shared" si="39"/>
        <v>2.8938010056262345E-5</v>
      </c>
      <c r="H51" s="48">
        <f t="shared" si="39"/>
        <v>1.4262304956300728E-5</v>
      </c>
      <c r="I51" s="48">
        <f t="shared" si="39"/>
        <v>4.3230975523217921E-5</v>
      </c>
      <c r="J51" s="48">
        <f t="shared" si="39"/>
        <v>4.5248712724402777E-2</v>
      </c>
      <c r="K51" s="48">
        <f t="shared" si="39"/>
        <v>2.2757677908532029E-6</v>
      </c>
      <c r="L51" s="48">
        <f t="shared" si="39"/>
        <v>0.72375696537514489</v>
      </c>
      <c r="M51">
        <v>6.7</v>
      </c>
      <c r="N51">
        <f t="shared" si="36"/>
        <v>-12.054017341142144</v>
      </c>
      <c r="O51">
        <f t="shared" si="37"/>
        <v>-1.484145</v>
      </c>
      <c r="P51">
        <f>N51-O51</f>
        <v>-10.569872341142144</v>
      </c>
      <c r="Q51" s="47">
        <f t="shared" si="38"/>
        <v>0.9301681135172698</v>
      </c>
    </row>
    <row r="52" spans="3:18">
      <c r="C52" s="48" t="s">
        <v>31</v>
      </c>
      <c r="D52" s="48">
        <f t="shared" si="39"/>
        <v>0.10110925727791724</v>
      </c>
      <c r="E52" s="48">
        <f t="shared" si="39"/>
        <v>0.12947387716313447</v>
      </c>
      <c r="F52" s="48">
        <f t="shared" si="39"/>
        <v>5.8851762346879298E-5</v>
      </c>
      <c r="G52" s="48">
        <f t="shared" si="39"/>
        <v>1.9743594745176722E-4</v>
      </c>
      <c r="H52" s="48">
        <f t="shared" si="39"/>
        <v>2.5360010004275858E-5</v>
      </c>
      <c r="I52" s="48">
        <f t="shared" si="39"/>
        <v>3.1835426689199181E-5</v>
      </c>
      <c r="J52" s="48">
        <f t="shared" si="39"/>
        <v>4.4066463035962497E-2</v>
      </c>
      <c r="K52" s="48">
        <f t="shared" si="39"/>
        <v>9.2067862406827583E-7</v>
      </c>
      <c r="L52" s="48">
        <f t="shared" si="39"/>
        <v>0.72503599869786961</v>
      </c>
      <c r="M52">
        <v>7.7</v>
      </c>
      <c r="N52">
        <f t="shared" si="36"/>
        <v>-13.474881149985086</v>
      </c>
      <c r="O52">
        <f t="shared" si="37"/>
        <v>-1.6607889999999998</v>
      </c>
      <c r="P52">
        <f>N52-O52</f>
        <v>-11.814092149985086</v>
      </c>
      <c r="Q52" s="47">
        <f t="shared" si="38"/>
        <v>0.92908175839856055</v>
      </c>
    </row>
    <row r="53" spans="3:18">
      <c r="C53" s="48" t="s">
        <v>32</v>
      </c>
      <c r="D53" s="48">
        <f t="shared" si="39"/>
        <v>0.14018113894739084</v>
      </c>
      <c r="E53" s="48">
        <f t="shared" si="39"/>
        <v>8.9078038412350291E-2</v>
      </c>
      <c r="F53" s="48">
        <f t="shared" si="39"/>
        <v>6.9648357678908703E-5</v>
      </c>
      <c r="G53" s="48">
        <f t="shared" si="39"/>
        <v>2.5496273793171938E-4</v>
      </c>
      <c r="H53" s="48">
        <f t="shared" si="39"/>
        <v>6.0389548225561709E-5</v>
      </c>
      <c r="I53" s="48">
        <f t="shared" si="39"/>
        <v>4.1924441969498651E-5</v>
      </c>
      <c r="J53" s="48">
        <f t="shared" si="39"/>
        <v>3.1024612183935311E-2</v>
      </c>
      <c r="K53" s="48">
        <f t="shared" si="39"/>
        <v>1.1145119140484099E-6</v>
      </c>
      <c r="L53" s="48">
        <f t="shared" si="39"/>
        <v>0.73928817085860377</v>
      </c>
      <c r="M53">
        <v>5.6</v>
      </c>
      <c r="N53">
        <f t="shared" si="36"/>
        <v>-6.7946613999094509</v>
      </c>
      <c r="O53">
        <f t="shared" si="37"/>
        <v>-0.84856199999999993</v>
      </c>
      <c r="P53">
        <f>N53-O53</f>
        <v>-5.9460993999094507</v>
      </c>
      <c r="Q53" s="47">
        <f t="shared" si="38"/>
        <v>0.91520129165119057</v>
      </c>
    </row>
    <row r="54" spans="3:18">
      <c r="C54" s="48" t="s">
        <v>33</v>
      </c>
      <c r="D54" s="48">
        <f t="shared" si="39"/>
        <v>8.2155887075446091E-2</v>
      </c>
      <c r="E54" s="48">
        <f t="shared" si="39"/>
        <v>0.14794392064340131</v>
      </c>
      <c r="F54" s="48">
        <f t="shared" si="39"/>
        <v>5.974473021237199E-5</v>
      </c>
      <c r="G54" s="48">
        <f t="shared" si="39"/>
        <v>1.8997172279509986E-4</v>
      </c>
      <c r="H54" s="48">
        <f t="shared" si="39"/>
        <v>3.3245051489142476E-5</v>
      </c>
      <c r="I54" s="48">
        <f t="shared" si="39"/>
        <v>1.4712139814796601E-5</v>
      </c>
      <c r="J54" s="48">
        <f t="shared" si="39"/>
        <v>4.9842798313349139E-2</v>
      </c>
      <c r="K54" s="48">
        <f t="shared" si="39"/>
        <v>9.250796936109211E-7</v>
      </c>
      <c r="L54" s="48">
        <f t="shared" si="39"/>
        <v>0.71975879524379838</v>
      </c>
      <c r="M54">
        <v>15.1</v>
      </c>
      <c r="N54">
        <f t="shared" si="36"/>
        <v>-30.090158333001636</v>
      </c>
      <c r="O54">
        <f t="shared" si="37"/>
        <v>-3.7050519999999998</v>
      </c>
      <c r="P54">
        <f>N54-O54</f>
        <v>-26.385106333001637</v>
      </c>
      <c r="Q54" s="47">
        <f t="shared" si="38"/>
        <v>0.93010628701380293</v>
      </c>
    </row>
    <row r="55" spans="3:18">
      <c r="C55" s="48" t="s">
        <v>34</v>
      </c>
      <c r="D55" s="48">
        <f t="shared" si="39"/>
        <v>6.6352157166605086E-2</v>
      </c>
      <c r="E55" s="48">
        <f t="shared" si="39"/>
        <v>0.16234546248703149</v>
      </c>
      <c r="F55" s="48">
        <f t="shared" si="39"/>
        <v>7.8951364456117992E-5</v>
      </c>
      <c r="G55" s="48">
        <f t="shared" si="39"/>
        <v>1.6918149526311E-4</v>
      </c>
      <c r="H55" s="48">
        <f t="shared" si="39"/>
        <v>2.847200773940144E-5</v>
      </c>
      <c r="I55" s="48">
        <f t="shared" si="39"/>
        <v>6.638654364938214E-6</v>
      </c>
      <c r="J55" s="48">
        <f t="shared" si="39"/>
        <v>5.4270122578059084E-2</v>
      </c>
      <c r="K55" s="48">
        <f t="shared" si="39"/>
        <v>1.2124673827189549E-6</v>
      </c>
      <c r="L55" s="48">
        <f t="shared" si="39"/>
        <v>0.71674780177909803</v>
      </c>
      <c r="M55">
        <v>18</v>
      </c>
      <c r="N55">
        <f t="shared" si="36"/>
        <v>-39.260171794441547</v>
      </c>
      <c r="O55">
        <f t="shared" si="37"/>
        <v>-4.8532379999999993</v>
      </c>
      <c r="P55">
        <f>N55-O55</f>
        <v>-34.406933794441549</v>
      </c>
      <c r="Q55" s="47">
        <f t="shared" si="38"/>
        <v>0.92593909502422989</v>
      </c>
    </row>
    <row r="56" spans="3:18">
      <c r="C56" s="48" t="s">
        <v>35</v>
      </c>
      <c r="D56" s="48">
        <f t="shared" si="39"/>
        <v>9.6979445187237986E-2</v>
      </c>
      <c r="E56" s="48">
        <f t="shared" si="39"/>
        <v>0.13471051058039779</v>
      </c>
      <c r="F56" s="48">
        <f t="shared" si="39"/>
        <v>5.7857055367386306E-6</v>
      </c>
      <c r="G56" s="48">
        <f t="shared" si="39"/>
        <v>2.2006344273666574E-4</v>
      </c>
      <c r="H56" s="48">
        <f t="shared" si="39"/>
        <v>2.3762719168747944E-5</v>
      </c>
      <c r="I56" s="48">
        <f t="shared" si="39"/>
        <v>2.944441976071901E-5</v>
      </c>
      <c r="J56" s="48">
        <f t="shared" si="39"/>
        <v>4.569260947639333E-2</v>
      </c>
      <c r="K56" s="48">
        <f t="shared" si="39"/>
        <v>9.0160577947510321E-8</v>
      </c>
      <c r="L56" s="48">
        <f t="shared" si="39"/>
        <v>0.72233828830819002</v>
      </c>
      <c r="M56">
        <v>7.7</v>
      </c>
      <c r="N56">
        <f t="shared" si="36"/>
        <v>-14.001548649082997</v>
      </c>
      <c r="O56">
        <f t="shared" si="37"/>
        <v>-1.7161299999999999</v>
      </c>
      <c r="P56">
        <f>N56-O56</f>
        <v>-12.285418649082997</v>
      </c>
      <c r="Q56" s="47">
        <f t="shared" si="38"/>
        <v>0.93499182997069907</v>
      </c>
    </row>
    <row r="60" spans="3:18">
      <c r="D60" s="54" t="s">
        <v>57</v>
      </c>
      <c r="E60" s="54" t="s">
        <v>58</v>
      </c>
      <c r="F60" s="54" t="s">
        <v>59</v>
      </c>
      <c r="G60" s="54" t="s">
        <v>60</v>
      </c>
      <c r="H60" s="54" t="s">
        <v>61</v>
      </c>
      <c r="I60" s="54" t="s">
        <v>62</v>
      </c>
      <c r="J60" s="54" t="s">
        <v>63</v>
      </c>
      <c r="K60" s="54" t="s">
        <v>64</v>
      </c>
      <c r="L60" s="54" t="s">
        <v>106</v>
      </c>
    </row>
    <row r="61" spans="3:18" ht="30">
      <c r="D61" s="48">
        <v>9.6299999999999997E-2</v>
      </c>
      <c r="E61" s="48">
        <v>7.9699999999999993E-2</v>
      </c>
      <c r="F61" s="48">
        <v>1.2799999999999999E-4</v>
      </c>
      <c r="G61" s="48">
        <v>2.0999999999999999E-5</v>
      </c>
      <c r="H61" s="48">
        <v>9.9999999999999995E-7</v>
      </c>
      <c r="I61" s="48">
        <v>9.7E-5</v>
      </c>
      <c r="J61" s="48">
        <v>6.6680000000000003E-2</v>
      </c>
      <c r="K61" s="48">
        <v>2.8180000000000001E-5</v>
      </c>
      <c r="L61" s="48">
        <v>0.75704481999999995</v>
      </c>
      <c r="M61" s="48"/>
      <c r="N61" s="54" t="s">
        <v>65</v>
      </c>
      <c r="O61" s="54" t="s">
        <v>85</v>
      </c>
      <c r="P61" s="54" t="s">
        <v>115</v>
      </c>
      <c r="Q61" s="54" t="s">
        <v>116</v>
      </c>
      <c r="R61" s="53" t="s">
        <v>114</v>
      </c>
    </row>
    <row r="62" spans="3:18">
      <c r="D62" s="48">
        <v>9.0200000000000002E-2</v>
      </c>
      <c r="E62" s="48">
        <v>8.6199999999999999E-2</v>
      </c>
      <c r="F62" s="48">
        <v>0</v>
      </c>
      <c r="G62" s="48">
        <v>8.2000000000000001E-5</v>
      </c>
      <c r="H62" s="48">
        <v>1.3799999999999999E-4</v>
      </c>
      <c r="I62" s="48">
        <v>3.0000000000000001E-6</v>
      </c>
      <c r="J62" s="48">
        <v>7.1620000000000003E-2</v>
      </c>
      <c r="K62" s="48">
        <v>0</v>
      </c>
      <c r="L62" s="48">
        <v>0.75175700000000001</v>
      </c>
      <c r="M62" s="48" t="s">
        <v>26</v>
      </c>
      <c r="N62" s="48">
        <v>6.8</v>
      </c>
      <c r="O62" s="48">
        <v>-11.144339770163262</v>
      </c>
      <c r="P62" s="48">
        <v>-1.3952639999999998</v>
      </c>
      <c r="Q62" s="48">
        <v>-9.7490757701632624</v>
      </c>
      <c r="R62" s="48">
        <v>0.91258871860053314</v>
      </c>
    </row>
    <row r="63" spans="3:18">
      <c r="D63" s="48">
        <v>8.7499999999999994E-2</v>
      </c>
      <c r="E63" s="48">
        <v>8.9599999999999999E-2</v>
      </c>
      <c r="F63" s="48">
        <v>0</v>
      </c>
      <c r="G63" s="48">
        <v>4.5600000000000003E-4</v>
      </c>
      <c r="H63" s="48">
        <v>6.9999999999999999E-6</v>
      </c>
      <c r="I63" s="48">
        <v>6.0999999999999999E-5</v>
      </c>
      <c r="J63" s="48">
        <v>7.424E-2</v>
      </c>
      <c r="K63" s="48">
        <v>0</v>
      </c>
      <c r="L63" s="48">
        <v>0.74813600000000002</v>
      </c>
      <c r="M63" s="48" t="s">
        <v>27</v>
      </c>
      <c r="N63" s="48">
        <v>6.8</v>
      </c>
      <c r="O63" s="48">
        <v>-12.002820552418957</v>
      </c>
      <c r="P63" s="48">
        <v>-1.4813499999999999</v>
      </c>
      <c r="Q63" s="48">
        <v>-10.521470552418958</v>
      </c>
      <c r="R63" s="48">
        <v>0.92765566499902641</v>
      </c>
    </row>
    <row r="64" spans="3:18">
      <c r="D64" s="48">
        <v>6.9099999999999995E-2</v>
      </c>
      <c r="E64" s="48">
        <v>0.1022</v>
      </c>
      <c r="F64" s="48">
        <v>8.5000000000000006E-5</v>
      </c>
      <c r="G64" s="48">
        <v>3.88E-4</v>
      </c>
      <c r="H64" s="48">
        <v>1.1E-5</v>
      </c>
      <c r="I64" s="48">
        <v>3.0000000000000001E-6</v>
      </c>
      <c r="J64" s="48">
        <v>8.387E-2</v>
      </c>
      <c r="K64" s="48">
        <v>1.836E-5</v>
      </c>
      <c r="L64" s="48">
        <v>0.74432463999999998</v>
      </c>
      <c r="M64" s="48" t="s">
        <v>28</v>
      </c>
      <c r="N64" s="48">
        <v>14.4</v>
      </c>
      <c r="O64" s="48">
        <v>-26.369923059837451</v>
      </c>
      <c r="P64" s="48">
        <v>-3.2248709999999998</v>
      </c>
      <c r="Q64" s="48">
        <v>-23.14505205983745</v>
      </c>
      <c r="R64" s="48">
        <v>0.93737605198253693</v>
      </c>
    </row>
    <row r="65" spans="4:18">
      <c r="D65" s="48">
        <v>8.8599999999999998E-2</v>
      </c>
      <c r="E65" s="48">
        <v>8.7800000000000003E-2</v>
      </c>
      <c r="F65" s="48">
        <v>1.5100000000000001E-4</v>
      </c>
      <c r="G65" s="48">
        <v>2.8E-5</v>
      </c>
      <c r="H65" s="48">
        <v>9.0000000000000002E-6</v>
      </c>
      <c r="I65" s="48">
        <v>9.1000000000000003E-5</v>
      </c>
      <c r="J65" s="48">
        <v>7.2969999999999993E-2</v>
      </c>
      <c r="K65" s="48">
        <v>3.3030000000000001E-5</v>
      </c>
      <c r="L65" s="48">
        <v>0.75031797</v>
      </c>
      <c r="M65" s="48" t="s">
        <v>29</v>
      </c>
      <c r="N65" s="48">
        <v>16.899999999999999</v>
      </c>
      <c r="O65" s="48">
        <v>-35.156685287195387</v>
      </c>
      <c r="P65" s="48">
        <v>-4.3126850000000001</v>
      </c>
      <c r="Q65" s="48">
        <v>-30.844000287195385</v>
      </c>
      <c r="R65" s="48">
        <v>0.93409489606953888</v>
      </c>
    </row>
    <row r="66" spans="4:18">
      <c r="D66" s="48">
        <v>9.1700000000000004E-2</v>
      </c>
      <c r="E66" s="48">
        <v>8.5400000000000004E-2</v>
      </c>
      <c r="F66" s="48">
        <v>6.0999999999999999E-5</v>
      </c>
      <c r="G66" s="48">
        <v>1.9100000000000001E-4</v>
      </c>
      <c r="H66" s="48">
        <v>1.5999999999999999E-5</v>
      </c>
      <c r="I66" s="48">
        <v>6.7000000000000002E-5</v>
      </c>
      <c r="J66" s="48">
        <v>7.1050000000000002E-2</v>
      </c>
      <c r="K66" s="48">
        <v>1.3360000000000001E-5</v>
      </c>
      <c r="L66" s="48">
        <v>0.75150163999999997</v>
      </c>
      <c r="M66" s="48" t="s">
        <v>30</v>
      </c>
      <c r="N66" s="48">
        <v>6.7</v>
      </c>
      <c r="O66" s="48">
        <v>-12.054017341142144</v>
      </c>
      <c r="P66" s="48">
        <v>-1.484145</v>
      </c>
      <c r="Q66" s="48">
        <v>-10.569872341142144</v>
      </c>
      <c r="R66" s="48">
        <v>0.9301681135172698</v>
      </c>
    </row>
    <row r="67" spans="4:18">
      <c r="D67" s="48">
        <v>0.1268</v>
      </c>
      <c r="E67" s="48">
        <v>5.8599999999999999E-2</v>
      </c>
      <c r="F67" s="48">
        <v>7.2000000000000002E-5</v>
      </c>
      <c r="G67" s="48">
        <v>2.4600000000000002E-4</v>
      </c>
      <c r="H67" s="48">
        <v>3.8000000000000002E-5</v>
      </c>
      <c r="I67" s="48">
        <v>8.7999999999999998E-5</v>
      </c>
      <c r="J67" s="48">
        <v>4.9889999999999997E-2</v>
      </c>
      <c r="K67" s="48">
        <v>1.613E-5</v>
      </c>
      <c r="L67" s="48">
        <v>0.76424987</v>
      </c>
      <c r="M67" s="48" t="s">
        <v>31</v>
      </c>
      <c r="N67" s="48">
        <v>7.7</v>
      </c>
      <c r="O67" s="48">
        <v>-13.474881149985086</v>
      </c>
      <c r="P67" s="48">
        <v>-1.6607889999999998</v>
      </c>
      <c r="Q67" s="48">
        <v>-11.814092149985086</v>
      </c>
      <c r="R67" s="48">
        <v>0.92908175839856055</v>
      </c>
    </row>
    <row r="68" spans="4:18">
      <c r="D68" s="48">
        <v>7.46E-2</v>
      </c>
      <c r="E68" s="48">
        <v>9.7699999999999995E-2</v>
      </c>
      <c r="F68" s="48">
        <v>6.2000000000000003E-5</v>
      </c>
      <c r="G68" s="48">
        <v>1.84E-4</v>
      </c>
      <c r="H68" s="48">
        <v>2.0999999999999999E-5</v>
      </c>
      <c r="I68" s="48">
        <v>3.1000000000000001E-5</v>
      </c>
      <c r="J68" s="48">
        <v>8.0460000000000004E-2</v>
      </c>
      <c r="K68" s="48">
        <v>1.344E-5</v>
      </c>
      <c r="L68" s="48">
        <v>0.74692855999999996</v>
      </c>
      <c r="M68" s="48" t="s">
        <v>32</v>
      </c>
      <c r="N68" s="48">
        <v>5.6</v>
      </c>
      <c r="O68" s="48">
        <v>-6.7946613999094509</v>
      </c>
      <c r="P68" s="48">
        <v>-0.84856199999999993</v>
      </c>
      <c r="Q68" s="48">
        <v>-5.9460993999094507</v>
      </c>
      <c r="R68" s="48">
        <v>0.91520129165119057</v>
      </c>
    </row>
    <row r="69" spans="4:18">
      <c r="D69" s="48">
        <v>6.0299999999999999E-2</v>
      </c>
      <c r="E69" s="48">
        <v>0.10730000000000001</v>
      </c>
      <c r="F69" s="48">
        <v>8.2000000000000001E-5</v>
      </c>
      <c r="G69" s="48">
        <v>1.64E-4</v>
      </c>
      <c r="H69" s="48">
        <v>1.8E-5</v>
      </c>
      <c r="I69" s="48">
        <v>1.4E-5</v>
      </c>
      <c r="J69" s="48">
        <v>8.7679999999999994E-2</v>
      </c>
      <c r="K69" s="48">
        <v>1.7629999999999999E-5</v>
      </c>
      <c r="L69" s="48">
        <v>0.74442437000000006</v>
      </c>
      <c r="M69" s="48" t="s">
        <v>33</v>
      </c>
      <c r="N69" s="48">
        <v>15.1</v>
      </c>
      <c r="O69" s="48">
        <v>-30.090158333001636</v>
      </c>
      <c r="P69" s="48">
        <v>-3.7050519999999998</v>
      </c>
      <c r="Q69" s="48">
        <v>-26.385106333001637</v>
      </c>
      <c r="R69" s="48">
        <v>0.93010628701380293</v>
      </c>
    </row>
    <row r="70" spans="4:18">
      <c r="D70" s="48">
        <v>8.7999999999999995E-2</v>
      </c>
      <c r="E70" s="48">
        <v>8.8900000000000007E-2</v>
      </c>
      <c r="F70" s="48">
        <v>6.0000000000000002E-6</v>
      </c>
      <c r="G70" s="48">
        <v>2.13E-4</v>
      </c>
      <c r="H70" s="48">
        <v>1.5E-5</v>
      </c>
      <c r="I70" s="48">
        <v>6.2000000000000003E-5</v>
      </c>
      <c r="J70" s="48">
        <v>7.3709999999999998E-2</v>
      </c>
      <c r="K70" s="48">
        <v>1.3090000000000001E-6</v>
      </c>
      <c r="L70" s="48">
        <v>0.74909269099999998</v>
      </c>
      <c r="M70" s="48" t="s">
        <v>34</v>
      </c>
      <c r="N70" s="48">
        <v>18</v>
      </c>
      <c r="O70" s="48">
        <v>-39.260171794441547</v>
      </c>
      <c r="P70" s="48">
        <v>-4.8532379999999993</v>
      </c>
      <c r="Q70" s="48">
        <v>-34.406933794441549</v>
      </c>
      <c r="R70" s="48">
        <v>0.92593909502422989</v>
      </c>
    </row>
    <row r="71" spans="4:18">
      <c r="M71" s="48" t="s">
        <v>35</v>
      </c>
      <c r="N71" s="48">
        <v>7.7</v>
      </c>
      <c r="O71" s="48">
        <v>-14.001548649082997</v>
      </c>
      <c r="P71" s="48">
        <v>-1.7161299999999999</v>
      </c>
      <c r="Q71" s="48">
        <v>-12.285418649082997</v>
      </c>
      <c r="R71" s="48">
        <v>0.93499182997069907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7:AC32"/>
  <sheetViews>
    <sheetView topLeftCell="G15" workbookViewId="0">
      <selection activeCell="S30" sqref="S30"/>
    </sheetView>
  </sheetViews>
  <sheetFormatPr defaultRowHeight="15"/>
  <cols>
    <col min="3" max="3" width="9.5703125" bestFit="1" customWidth="1"/>
    <col min="4" max="4" width="11" bestFit="1" customWidth="1"/>
    <col min="5" max="5" width="9.140625" customWidth="1"/>
    <col min="6" max="6" width="9.28515625" bestFit="1" customWidth="1"/>
    <col min="7" max="7" width="11" bestFit="1" customWidth="1"/>
    <col min="8" max="8" width="7" customWidth="1"/>
    <col min="9" max="9" width="11.140625" customWidth="1"/>
    <col min="10" max="10" width="11" bestFit="1" customWidth="1"/>
    <col min="11" max="12" width="0" hidden="1" customWidth="1"/>
    <col min="13" max="13" width="12" bestFit="1" customWidth="1"/>
    <col min="16" max="17" width="0" hidden="1" customWidth="1"/>
  </cols>
  <sheetData>
    <row r="7" spans="3:17">
      <c r="C7" s="48" t="s">
        <v>86</v>
      </c>
      <c r="D7" s="48" t="s">
        <v>88</v>
      </c>
      <c r="E7" s="48" t="s">
        <v>89</v>
      </c>
      <c r="F7" s="48" t="s">
        <v>90</v>
      </c>
      <c r="G7" s="48" t="s">
        <v>91</v>
      </c>
      <c r="H7" s="48" t="s">
        <v>92</v>
      </c>
      <c r="I7" s="48" t="s">
        <v>93</v>
      </c>
      <c r="J7" s="48" t="s">
        <v>94</v>
      </c>
      <c r="K7" s="48" t="s">
        <v>95</v>
      </c>
      <c r="L7" s="48" t="s">
        <v>96</v>
      </c>
      <c r="M7" s="48" t="s">
        <v>53</v>
      </c>
      <c r="N7" s="48" t="s">
        <v>97</v>
      </c>
      <c r="O7" s="48" t="s">
        <v>98</v>
      </c>
      <c r="P7" t="s">
        <v>99</v>
      </c>
      <c r="Q7" t="s">
        <v>100</v>
      </c>
    </row>
    <row r="8" spans="3:17"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3:17">
      <c r="C9" s="48">
        <v>9.6299999999999997E-2</v>
      </c>
      <c r="D9" s="48">
        <v>1.2799999999999999E-4</v>
      </c>
      <c r="E9" s="48">
        <v>2.0999999999999999E-5</v>
      </c>
      <c r="F9" s="48">
        <v>9.9999999999999995E-7</v>
      </c>
      <c r="G9" s="48">
        <v>9.7E-5</v>
      </c>
      <c r="H9" s="48">
        <v>6.6680000000000003E-2</v>
      </c>
      <c r="I9" s="49">
        <v>2.8180000000000001E-5</v>
      </c>
      <c r="J9" s="48">
        <v>12.51</v>
      </c>
      <c r="K9" s="48">
        <v>6.8</v>
      </c>
      <c r="L9" s="48">
        <v>0.24959999999999999</v>
      </c>
      <c r="M9" s="48">
        <v>0.5524</v>
      </c>
      <c r="N9" s="48">
        <v>1.81</v>
      </c>
      <c r="O9" s="48">
        <v>26.25</v>
      </c>
      <c r="P9">
        <v>0.24959999999999999</v>
      </c>
      <c r="Q9">
        <v>8.4580000000000002E-3</v>
      </c>
    </row>
    <row r="10" spans="3:17">
      <c r="C10" s="48">
        <v>9.0200000000000002E-2</v>
      </c>
      <c r="D10" s="48">
        <v>0</v>
      </c>
      <c r="E10" s="48">
        <v>8.2000000000000001E-5</v>
      </c>
      <c r="F10" s="48">
        <v>1.3799999999999999E-4</v>
      </c>
      <c r="G10" s="48">
        <v>3.0000000000000001E-6</v>
      </c>
      <c r="H10" s="48">
        <v>7.1620000000000003E-2</v>
      </c>
      <c r="I10" s="49">
        <v>0</v>
      </c>
      <c r="J10" s="48">
        <v>11.6</v>
      </c>
      <c r="K10" s="48">
        <v>6.8</v>
      </c>
      <c r="L10" s="48">
        <v>0.26500000000000001</v>
      </c>
      <c r="M10" s="48">
        <v>0.58789999999999998</v>
      </c>
      <c r="N10" s="48">
        <v>1.7010000000000001</v>
      </c>
      <c r="O10" s="48">
        <v>24.66</v>
      </c>
      <c r="P10">
        <v>0.26500000000000001</v>
      </c>
      <c r="Q10">
        <v>0.1022</v>
      </c>
    </row>
    <row r="11" spans="3:17">
      <c r="C11" s="48">
        <v>8.7499999999999994E-2</v>
      </c>
      <c r="D11" s="48">
        <v>0</v>
      </c>
      <c r="E11" s="48">
        <v>4.5600000000000003E-4</v>
      </c>
      <c r="F11" s="48">
        <v>6.9999999999999999E-6</v>
      </c>
      <c r="G11" s="48">
        <v>6.0999999999999999E-5</v>
      </c>
      <c r="H11" s="48">
        <v>7.424E-2</v>
      </c>
      <c r="I11" s="49">
        <v>0</v>
      </c>
      <c r="J11" s="48">
        <v>11.15</v>
      </c>
      <c r="K11" s="48">
        <v>14.4</v>
      </c>
      <c r="L11" s="48">
        <v>0.57689999999999997</v>
      </c>
      <c r="M11" s="48">
        <v>0.60519999999999996</v>
      </c>
      <c r="N11" s="48">
        <v>1.6519999999999999</v>
      </c>
      <c r="O11" s="48">
        <v>23.96</v>
      </c>
      <c r="P11">
        <v>0.57689999999999997</v>
      </c>
      <c r="Q11">
        <v>0.15620000000000001</v>
      </c>
    </row>
    <row r="12" spans="3:17">
      <c r="C12" s="48">
        <v>6.9099999999999995E-2</v>
      </c>
      <c r="D12" s="48">
        <v>8.5000000000000006E-5</v>
      </c>
      <c r="E12" s="48">
        <v>3.88E-4</v>
      </c>
      <c r="F12" s="48">
        <v>1.1E-5</v>
      </c>
      <c r="G12" s="48">
        <v>3.0000000000000001E-6</v>
      </c>
      <c r="H12" s="48">
        <v>8.387E-2</v>
      </c>
      <c r="I12" s="49">
        <v>1.836E-5</v>
      </c>
      <c r="J12" s="48">
        <v>9.7759999999999998</v>
      </c>
      <c r="K12" s="48">
        <v>16.899999999999999</v>
      </c>
      <c r="L12" s="48">
        <v>0.77149999999999996</v>
      </c>
      <c r="M12" s="48">
        <v>0.69359999999999999</v>
      </c>
      <c r="N12" s="48">
        <v>1.4419999999999999</v>
      </c>
      <c r="O12" s="48">
        <v>20.91</v>
      </c>
      <c r="P12">
        <v>0.77149999999999996</v>
      </c>
      <c r="Q12">
        <v>0.1187</v>
      </c>
    </row>
    <row r="13" spans="3:17">
      <c r="C13" s="48">
        <v>8.8599999999999998E-2</v>
      </c>
      <c r="D13" s="48">
        <v>1.5100000000000001E-4</v>
      </c>
      <c r="E13" s="48">
        <v>2.8E-5</v>
      </c>
      <c r="F13" s="48">
        <v>9.0000000000000002E-6</v>
      </c>
      <c r="G13" s="48">
        <v>9.1000000000000003E-5</v>
      </c>
      <c r="H13" s="48">
        <v>7.2969999999999993E-2</v>
      </c>
      <c r="I13" s="49">
        <v>3.3030000000000001E-5</v>
      </c>
      <c r="J13" s="48">
        <v>11.36</v>
      </c>
      <c r="K13" s="48">
        <v>6.7</v>
      </c>
      <c r="L13" s="48">
        <v>0.26550000000000001</v>
      </c>
      <c r="M13" s="48">
        <v>0.59840000000000004</v>
      </c>
      <c r="N13" s="48">
        <v>1.671</v>
      </c>
      <c r="O13" s="48">
        <v>24.23</v>
      </c>
      <c r="P13">
        <v>0.26550000000000001</v>
      </c>
      <c r="Q13">
        <v>1.4239999999999999E-2</v>
      </c>
    </row>
    <row r="14" spans="3:17">
      <c r="C14" s="48">
        <v>9.1700000000000004E-2</v>
      </c>
      <c r="D14" s="48">
        <v>6.0999999999999999E-5</v>
      </c>
      <c r="E14" s="48">
        <v>1.9100000000000001E-4</v>
      </c>
      <c r="F14" s="48">
        <v>1.5999999999999999E-5</v>
      </c>
      <c r="G14" s="48">
        <v>6.7000000000000002E-5</v>
      </c>
      <c r="H14" s="48">
        <v>7.1050000000000002E-2</v>
      </c>
      <c r="I14" s="49">
        <v>1.3360000000000001E-5</v>
      </c>
      <c r="J14" s="48">
        <v>11.69</v>
      </c>
      <c r="K14" s="48">
        <v>7.7</v>
      </c>
      <c r="L14" s="48">
        <v>0.29709999999999998</v>
      </c>
      <c r="M14" s="48">
        <v>0.58189999999999997</v>
      </c>
      <c r="N14" s="48">
        <v>1.718</v>
      </c>
      <c r="O14" s="48">
        <v>24.92</v>
      </c>
      <c r="P14">
        <v>0.29709999999999998</v>
      </c>
      <c r="Q14">
        <v>7.5600000000000001E-2</v>
      </c>
    </row>
    <row r="15" spans="3:17">
      <c r="C15" s="48">
        <v>0.1268</v>
      </c>
      <c r="D15" s="48">
        <v>7.2000000000000002E-5</v>
      </c>
      <c r="E15" s="48">
        <v>2.4600000000000002E-4</v>
      </c>
      <c r="F15" s="48">
        <v>3.8000000000000002E-5</v>
      </c>
      <c r="G15" s="48">
        <v>8.7999999999999998E-5</v>
      </c>
      <c r="H15" s="48">
        <v>4.9889999999999997E-2</v>
      </c>
      <c r="I15" s="49">
        <v>1.613E-5</v>
      </c>
      <c r="J15" s="48">
        <v>17.02</v>
      </c>
      <c r="K15" s="48">
        <v>5.6</v>
      </c>
      <c r="L15" s="48">
        <v>0.15179999999999999</v>
      </c>
      <c r="M15" s="48">
        <v>0.40410000000000001</v>
      </c>
      <c r="N15" s="48">
        <v>2.4750000000000001</v>
      </c>
      <c r="O15" s="48">
        <v>35.89</v>
      </c>
      <c r="P15">
        <v>0.15179999999999999</v>
      </c>
      <c r="Q15">
        <v>0.15529999999999999</v>
      </c>
    </row>
    <row r="16" spans="3:17">
      <c r="C16" s="48">
        <v>7.46E-2</v>
      </c>
      <c r="D16" s="48">
        <v>6.2000000000000003E-5</v>
      </c>
      <c r="E16" s="48">
        <v>1.84E-4</v>
      </c>
      <c r="F16" s="48">
        <v>2.0999999999999999E-5</v>
      </c>
      <c r="G16" s="48">
        <v>3.1000000000000001E-5</v>
      </c>
      <c r="H16" s="48">
        <v>8.0460000000000004E-2</v>
      </c>
      <c r="I16" s="49">
        <v>1.344E-5</v>
      </c>
      <c r="J16" s="48">
        <v>10.23</v>
      </c>
      <c r="K16" s="48">
        <v>15.1</v>
      </c>
      <c r="L16" s="48">
        <v>0.66279999999999994</v>
      </c>
      <c r="M16" s="48">
        <v>0.66569999999999996</v>
      </c>
      <c r="N16" s="48">
        <v>1.502</v>
      </c>
      <c r="O16" s="48">
        <v>21.78</v>
      </c>
      <c r="P16">
        <v>0.66279999999999994</v>
      </c>
      <c r="Q16">
        <v>6.6320000000000004E-2</v>
      </c>
    </row>
    <row r="17" spans="3:29">
      <c r="C17" s="48">
        <v>6.0299999999999999E-2</v>
      </c>
      <c r="D17" s="48">
        <v>8.2000000000000001E-5</v>
      </c>
      <c r="E17" s="48">
        <v>1.64E-4</v>
      </c>
      <c r="F17" s="48">
        <v>1.8E-5</v>
      </c>
      <c r="G17" s="48">
        <v>1.4E-5</v>
      </c>
      <c r="H17" s="48">
        <v>8.7679999999999994E-2</v>
      </c>
      <c r="I17" s="49">
        <v>1.7629999999999999E-5</v>
      </c>
      <c r="J17" s="48">
        <v>9.3109999999999999</v>
      </c>
      <c r="K17" s="48">
        <v>18</v>
      </c>
      <c r="L17" s="48">
        <v>0.86819999999999997</v>
      </c>
      <c r="M17" s="48">
        <v>0.73480000000000001</v>
      </c>
      <c r="N17" s="48">
        <v>1.361</v>
      </c>
      <c r="O17" s="48">
        <v>19.73</v>
      </c>
      <c r="P17">
        <v>0.86819999999999997</v>
      </c>
      <c r="Q17">
        <v>5.3519999999999998E-2</v>
      </c>
    </row>
    <row r="18" spans="3:29">
      <c r="C18" s="48">
        <v>8.7999999999999995E-2</v>
      </c>
      <c r="D18" s="48">
        <v>6.0000000000000002E-6</v>
      </c>
      <c r="E18" s="48">
        <v>2.13E-4</v>
      </c>
      <c r="F18" s="48">
        <v>1.5E-5</v>
      </c>
      <c r="G18" s="48">
        <v>6.2000000000000003E-5</v>
      </c>
      <c r="H18" s="48">
        <v>7.3709999999999998E-2</v>
      </c>
      <c r="I18" s="49">
        <v>1.3090000000000001E-6</v>
      </c>
      <c r="J18" s="48">
        <v>11.24</v>
      </c>
      <c r="K18" s="48">
        <v>7.7</v>
      </c>
      <c r="L18" s="48">
        <v>0.307</v>
      </c>
      <c r="M18" s="48">
        <v>0.60219999999999996</v>
      </c>
      <c r="N18" s="48">
        <v>1.661</v>
      </c>
      <c r="O18" s="48">
        <v>24.08</v>
      </c>
      <c r="P18">
        <v>0.307</v>
      </c>
      <c r="Q18">
        <v>7.9579999999999998E-2</v>
      </c>
      <c r="S18" s="48"/>
      <c r="T18" s="50" t="s">
        <v>101</v>
      </c>
      <c r="U18" s="50"/>
      <c r="V18" s="50"/>
      <c r="W18" s="50"/>
      <c r="X18" s="50"/>
      <c r="Y18" s="50" t="s">
        <v>102</v>
      </c>
      <c r="Z18" s="50"/>
      <c r="AA18" s="50"/>
      <c r="AB18" s="50"/>
      <c r="AC18" s="50"/>
    </row>
    <row r="19" spans="3:29">
      <c r="S19" s="48" t="s">
        <v>86</v>
      </c>
      <c r="T19" s="48">
        <v>9.6299999999999997E-2</v>
      </c>
      <c r="U19" s="48">
        <v>9.0200000000000002E-2</v>
      </c>
      <c r="V19" s="48">
        <v>8.7499999999999994E-2</v>
      </c>
      <c r="W19" s="48">
        <v>6.9099999999999995E-2</v>
      </c>
      <c r="X19" s="48">
        <v>8.8599999999999998E-2</v>
      </c>
      <c r="Y19" s="48">
        <v>9.1700000000000004E-2</v>
      </c>
      <c r="Z19" s="48">
        <v>0.1268</v>
      </c>
      <c r="AA19" s="48">
        <v>7.46E-2</v>
      </c>
      <c r="AB19" s="48">
        <v>6.0299999999999999E-2</v>
      </c>
      <c r="AC19" s="48">
        <v>8.7999999999999995E-2</v>
      </c>
    </row>
    <row r="20" spans="3:29">
      <c r="S20" s="48" t="s">
        <v>87</v>
      </c>
      <c r="T20" s="48">
        <v>7.9699999999999993E-2</v>
      </c>
      <c r="U20" s="48">
        <v>8.6199999999999999E-2</v>
      </c>
      <c r="V20" s="48">
        <v>8.9599999999999999E-2</v>
      </c>
      <c r="W20" s="48">
        <v>0.1022</v>
      </c>
      <c r="X20" s="48">
        <v>8.7800000000000003E-2</v>
      </c>
      <c r="Y20" s="48">
        <v>8.5400000000000004E-2</v>
      </c>
      <c r="Z20" s="48">
        <v>5.8599999999999999E-2</v>
      </c>
      <c r="AA20" s="48">
        <v>9.7699999999999995E-2</v>
      </c>
      <c r="AB20" s="48">
        <v>0.10730000000000001</v>
      </c>
      <c r="AC20" s="48">
        <v>8.8900000000000007E-2</v>
      </c>
    </row>
    <row r="21" spans="3:29">
      <c r="S21" s="48" t="s">
        <v>88</v>
      </c>
      <c r="T21" s="48">
        <v>1.2799999999999999E-4</v>
      </c>
      <c r="U21" s="48">
        <v>0</v>
      </c>
      <c r="V21" s="48">
        <v>0</v>
      </c>
      <c r="W21" s="48">
        <v>8.5000000000000006E-5</v>
      </c>
      <c r="X21" s="48">
        <v>1.5100000000000001E-4</v>
      </c>
      <c r="Y21" s="48">
        <v>6.0999999999999999E-5</v>
      </c>
      <c r="Z21" s="48">
        <v>7.2000000000000002E-5</v>
      </c>
      <c r="AA21" s="48">
        <v>6.2000000000000003E-5</v>
      </c>
      <c r="AB21" s="48">
        <v>8.2000000000000001E-5</v>
      </c>
      <c r="AC21" s="48">
        <v>6.0000000000000002E-6</v>
      </c>
    </row>
    <row r="22" spans="3:29">
      <c r="S22" s="48" t="s">
        <v>89</v>
      </c>
      <c r="T22" s="48">
        <v>2.0999999999999999E-5</v>
      </c>
      <c r="U22" s="48">
        <v>8.2000000000000001E-5</v>
      </c>
      <c r="V22" s="48">
        <v>4.5600000000000003E-4</v>
      </c>
      <c r="W22" s="48">
        <v>3.88E-4</v>
      </c>
      <c r="X22" s="48">
        <v>2.8E-5</v>
      </c>
      <c r="Y22" s="48">
        <v>1.9100000000000001E-4</v>
      </c>
      <c r="Z22" s="48">
        <v>2.4600000000000002E-4</v>
      </c>
      <c r="AA22" s="48">
        <v>1.84E-4</v>
      </c>
      <c r="AB22" s="48">
        <v>1.64E-4</v>
      </c>
      <c r="AC22" s="48">
        <v>2.13E-4</v>
      </c>
    </row>
    <row r="23" spans="3:29">
      <c r="S23" s="48" t="s">
        <v>90</v>
      </c>
      <c r="T23" s="48">
        <v>9.9999999999999995E-7</v>
      </c>
      <c r="U23" s="48">
        <v>1.3799999999999999E-4</v>
      </c>
      <c r="V23" s="48">
        <v>6.9999999999999999E-6</v>
      </c>
      <c r="W23" s="48">
        <v>1.1E-5</v>
      </c>
      <c r="X23" s="48">
        <v>9.0000000000000002E-6</v>
      </c>
      <c r="Y23" s="48">
        <v>1.5999999999999999E-5</v>
      </c>
      <c r="Z23" s="48">
        <v>3.8000000000000002E-5</v>
      </c>
      <c r="AA23" s="48">
        <v>2.0999999999999999E-5</v>
      </c>
      <c r="AB23" s="48">
        <v>1.8E-5</v>
      </c>
      <c r="AC23" s="48">
        <v>1.5E-5</v>
      </c>
    </row>
    <row r="24" spans="3:29">
      <c r="S24" s="48" t="s">
        <v>91</v>
      </c>
      <c r="T24" s="48">
        <v>9.7E-5</v>
      </c>
      <c r="U24" s="48">
        <v>3.0000000000000001E-6</v>
      </c>
      <c r="V24" s="48">
        <v>6.0999999999999999E-5</v>
      </c>
      <c r="W24" s="48">
        <v>3.0000000000000001E-6</v>
      </c>
      <c r="X24" s="48">
        <v>9.1000000000000003E-5</v>
      </c>
      <c r="Y24" s="48">
        <v>6.7000000000000002E-5</v>
      </c>
      <c r="Z24" s="48">
        <v>8.7999999999999998E-5</v>
      </c>
      <c r="AA24" s="48">
        <v>3.1000000000000001E-5</v>
      </c>
      <c r="AB24" s="48">
        <v>1.4E-5</v>
      </c>
      <c r="AC24" s="48">
        <v>6.2000000000000003E-5</v>
      </c>
    </row>
    <row r="25" spans="3:29">
      <c r="S25" s="48" t="s">
        <v>92</v>
      </c>
      <c r="T25" s="48">
        <v>6.6680000000000003E-2</v>
      </c>
      <c r="U25" s="48">
        <v>7.1620000000000003E-2</v>
      </c>
      <c r="V25" s="48">
        <v>7.424E-2</v>
      </c>
      <c r="W25" s="48">
        <v>8.387E-2</v>
      </c>
      <c r="X25" s="48">
        <v>7.2969999999999993E-2</v>
      </c>
      <c r="Y25" s="48">
        <v>7.1050000000000002E-2</v>
      </c>
      <c r="Z25" s="48">
        <v>4.9889999999999997E-2</v>
      </c>
      <c r="AA25" s="48">
        <v>8.0460000000000004E-2</v>
      </c>
      <c r="AB25" s="48">
        <v>8.7679999999999994E-2</v>
      </c>
      <c r="AC25" s="48">
        <v>7.3709999999999998E-2</v>
      </c>
    </row>
    <row r="26" spans="3:29">
      <c r="S26" s="49" t="s">
        <v>93</v>
      </c>
      <c r="T26" s="49">
        <v>2.8180000000000001E-5</v>
      </c>
      <c r="U26" s="49">
        <v>0</v>
      </c>
      <c r="V26" s="49">
        <v>0</v>
      </c>
      <c r="W26" s="49">
        <v>1.836E-5</v>
      </c>
      <c r="X26" s="49">
        <v>3.3030000000000001E-5</v>
      </c>
      <c r="Y26" s="49">
        <v>1.3360000000000001E-5</v>
      </c>
      <c r="Z26" s="49">
        <v>1.613E-5</v>
      </c>
      <c r="AA26" s="49">
        <v>1.344E-5</v>
      </c>
      <c r="AB26" s="49">
        <v>1.7629999999999999E-5</v>
      </c>
      <c r="AC26" s="49">
        <v>1.3090000000000001E-6</v>
      </c>
    </row>
    <row r="27" spans="3:29">
      <c r="S27" s="48" t="s">
        <v>94</v>
      </c>
      <c r="T27" s="48">
        <v>12.51</v>
      </c>
      <c r="U27" s="48">
        <v>11.6</v>
      </c>
      <c r="V27" s="48">
        <v>11.15</v>
      </c>
      <c r="W27" s="48">
        <v>9.7759999999999998</v>
      </c>
      <c r="X27" s="48">
        <v>11.36</v>
      </c>
      <c r="Y27" s="48">
        <v>11.69</v>
      </c>
      <c r="Z27" s="48">
        <v>17.02</v>
      </c>
      <c r="AA27" s="48">
        <v>10.23</v>
      </c>
      <c r="AB27" s="48">
        <v>9.3109999999999999</v>
      </c>
      <c r="AC27" s="48">
        <v>11.24</v>
      </c>
    </row>
    <row r="28" spans="3:29">
      <c r="S28" s="48" t="s">
        <v>95</v>
      </c>
      <c r="T28" s="48">
        <v>6.8</v>
      </c>
      <c r="U28" s="48">
        <v>6.8</v>
      </c>
      <c r="V28" s="48">
        <v>14.4</v>
      </c>
      <c r="W28" s="48">
        <v>16.899999999999999</v>
      </c>
      <c r="X28" s="48">
        <v>6.7</v>
      </c>
      <c r="Y28" s="48">
        <v>7.7</v>
      </c>
      <c r="Z28" s="48">
        <v>5.6</v>
      </c>
      <c r="AA28" s="48">
        <v>15.1</v>
      </c>
      <c r="AB28" s="48">
        <v>18</v>
      </c>
      <c r="AC28" s="48">
        <v>7.7</v>
      </c>
    </row>
    <row r="29" spans="3:29">
      <c r="S29" s="48" t="s">
        <v>96</v>
      </c>
      <c r="T29" s="48">
        <v>0.24959999999999999</v>
      </c>
      <c r="U29" s="48">
        <v>0.26500000000000001</v>
      </c>
      <c r="V29" s="48">
        <v>0.57689999999999997</v>
      </c>
      <c r="W29" s="48">
        <v>0.77149999999999996</v>
      </c>
      <c r="X29" s="48">
        <v>0.26550000000000001</v>
      </c>
      <c r="Y29" s="48">
        <v>0.29709999999999998</v>
      </c>
      <c r="Z29" s="48">
        <v>0.15179999999999999</v>
      </c>
      <c r="AA29" s="48">
        <v>0.66279999999999994</v>
      </c>
      <c r="AB29" s="48">
        <v>0.86819999999999997</v>
      </c>
      <c r="AC29" s="48">
        <v>0.307</v>
      </c>
    </row>
    <row r="30" spans="3:29">
      <c r="S30" s="48" t="s">
        <v>53</v>
      </c>
      <c r="T30" s="48">
        <v>0.5524</v>
      </c>
      <c r="U30" s="48">
        <v>0.58789999999999998</v>
      </c>
      <c r="V30" s="48">
        <v>0.60519999999999996</v>
      </c>
      <c r="W30" s="48">
        <v>0.69359999999999999</v>
      </c>
      <c r="X30" s="48">
        <v>0.59840000000000004</v>
      </c>
      <c r="Y30" s="48">
        <v>0.58189999999999997</v>
      </c>
      <c r="Z30" s="48">
        <v>0.40410000000000001</v>
      </c>
      <c r="AA30" s="48">
        <v>0.66569999999999996</v>
      </c>
      <c r="AB30" s="48">
        <v>0.73480000000000001</v>
      </c>
      <c r="AC30" s="48">
        <v>0.60219999999999996</v>
      </c>
    </row>
    <row r="31" spans="3:29" s="38" customFormat="1">
      <c r="S31" s="48" t="s">
        <v>97</v>
      </c>
      <c r="T31" s="48">
        <v>1.81</v>
      </c>
      <c r="U31" s="48">
        <v>1.7010000000000001</v>
      </c>
      <c r="V31" s="48">
        <v>1.6519999999999999</v>
      </c>
      <c r="W31" s="48">
        <v>1.4419999999999999</v>
      </c>
      <c r="X31" s="48">
        <v>1.671</v>
      </c>
      <c r="Y31" s="48">
        <v>1.718</v>
      </c>
      <c r="Z31" s="48">
        <v>2.4750000000000001</v>
      </c>
      <c r="AA31" s="48">
        <v>1.502</v>
      </c>
      <c r="AB31" s="48">
        <v>1.361</v>
      </c>
      <c r="AC31" s="48">
        <v>1.661</v>
      </c>
    </row>
    <row r="32" spans="3:29">
      <c r="S32" s="48" t="s">
        <v>98</v>
      </c>
      <c r="T32" s="48">
        <v>26.25</v>
      </c>
      <c r="U32" s="48">
        <v>24.66</v>
      </c>
      <c r="V32" s="48">
        <v>23.96</v>
      </c>
      <c r="W32" s="48">
        <v>20.91</v>
      </c>
      <c r="X32" s="48">
        <v>24.23</v>
      </c>
      <c r="Y32" s="48">
        <v>24.92</v>
      </c>
      <c r="Z32" s="48">
        <v>35.89</v>
      </c>
      <c r="AA32" s="48">
        <v>21.78</v>
      </c>
      <c r="AB32" s="48">
        <v>19.73</v>
      </c>
      <c r="AC32" s="48">
        <v>24.08</v>
      </c>
    </row>
  </sheetData>
  <mergeCells count="2">
    <mergeCell ref="T18:X18"/>
    <mergeCell ref="Y18:A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Sheet1</vt:lpstr>
      <vt:lpstr>Sheet2</vt:lpstr>
      <vt:lpstr>Sheet3</vt:lpstr>
      <vt:lpstr>Sheet1!_ftn1</vt:lpstr>
      <vt:lpstr>Sheet1!_ftn2</vt:lpstr>
      <vt:lpstr>Sheet1!_ftn3</vt:lpstr>
      <vt:lpstr>Sheet1!_ftn4</vt:lpstr>
      <vt:lpstr>Sheet1!_ftn5</vt:lpstr>
      <vt:lpstr>Sheet1!_ftn6</vt:lpstr>
      <vt:lpstr>Sheet1!_ftn7</vt:lpstr>
      <vt:lpstr>Sheet1!_ftnref1</vt:lpstr>
      <vt:lpstr>Sheet1!_ftnref2</vt:lpstr>
      <vt:lpstr>Sheet1!_ftnref3</vt:lpstr>
      <vt:lpstr>Sheet1!_ftnref4</vt:lpstr>
      <vt:lpstr>Sheet1!_ftnref5</vt:lpstr>
      <vt:lpstr>Sheet1!_ftnref6</vt:lpstr>
      <vt:lpstr>Sheet1!_ftnref7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2013-09-27T20:54:03Z</dcterms:modified>
</cp:coreProperties>
</file>