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Cost Structures\"/>
    </mc:Choice>
  </mc:AlternateContent>
  <xr:revisionPtr revIDLastSave="0" documentId="13_ncr:1_{9948F23D-4468-43D2-9F17-6EF47D807004}" xr6:coauthVersionLast="47" xr6:coauthVersionMax="47" xr10:uidLastSave="{00000000-0000-0000-0000-000000000000}"/>
  <bookViews>
    <workbookView xWindow="-110" yWindow="-110" windowWidth="25820" windowHeight="15500" xr2:uid="{7288E3E3-5A22-494A-9EAC-E692FF49D2D6}"/>
  </bookViews>
  <sheets>
    <sheet name="Sheet2" sheetId="2" r:id="rId1"/>
  </sheets>
  <definedNames>
    <definedName name="_xlnm._FilterDatabase" localSheetId="0" hidden="1">Sheet2!$A$1:$J$296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2" i="2" l="1"/>
  <c r="I292" i="2"/>
  <c r="G292" i="2"/>
  <c r="F292" i="2"/>
  <c r="E292" i="2"/>
  <c r="D292" i="2"/>
  <c r="C292" i="2"/>
  <c r="J248" i="2"/>
  <c r="I248" i="2"/>
  <c r="G248" i="2"/>
  <c r="F248" i="2"/>
  <c r="E248" i="2"/>
  <c r="D248" i="2"/>
  <c r="C248" i="2"/>
  <c r="J242" i="2"/>
  <c r="I242" i="2"/>
  <c r="H242" i="2"/>
  <c r="G242" i="2"/>
  <c r="F242" i="2"/>
  <c r="E242" i="2"/>
  <c r="D242" i="2"/>
  <c r="C242" i="2"/>
  <c r="J241" i="2"/>
  <c r="I241" i="2"/>
  <c r="H241" i="2"/>
  <c r="G241" i="2"/>
  <c r="F241" i="2"/>
  <c r="E241" i="2"/>
  <c r="D241" i="2"/>
  <c r="C241" i="2"/>
  <c r="J240" i="2"/>
  <c r="I240" i="2"/>
  <c r="H240" i="2"/>
  <c r="G240" i="2"/>
  <c r="F240" i="2"/>
  <c r="E240" i="2"/>
  <c r="D240" i="2"/>
  <c r="C240" i="2"/>
  <c r="J239" i="2"/>
  <c r="I239" i="2"/>
  <c r="H239" i="2"/>
  <c r="G239" i="2"/>
  <c r="F239" i="2"/>
  <c r="E239" i="2"/>
  <c r="D239" i="2"/>
  <c r="C239" i="2"/>
  <c r="J238" i="2"/>
  <c r="I238" i="2"/>
  <c r="H238" i="2"/>
  <c r="G238" i="2"/>
  <c r="F238" i="2"/>
  <c r="E238" i="2"/>
  <c r="D238" i="2"/>
  <c r="C238" i="2"/>
  <c r="J237" i="2"/>
  <c r="I237" i="2"/>
  <c r="H237" i="2"/>
  <c r="G237" i="2"/>
  <c r="F237" i="2"/>
  <c r="E237" i="2"/>
  <c r="D237" i="2"/>
  <c r="C237" i="2"/>
  <c r="J236" i="2"/>
  <c r="I236" i="2"/>
  <c r="H236" i="2"/>
  <c r="G236" i="2"/>
  <c r="F236" i="2"/>
  <c r="E236" i="2"/>
  <c r="D236" i="2"/>
  <c r="C236" i="2"/>
  <c r="J235" i="2"/>
  <c r="I235" i="2"/>
  <c r="H235" i="2"/>
  <c r="G235" i="2"/>
  <c r="F235" i="2"/>
  <c r="E235" i="2"/>
  <c r="D235" i="2"/>
  <c r="C235" i="2"/>
  <c r="J234" i="2"/>
  <c r="I234" i="2"/>
  <c r="H234" i="2"/>
  <c r="G234" i="2"/>
  <c r="F234" i="2"/>
  <c r="E234" i="2"/>
  <c r="D234" i="2"/>
  <c r="C234" i="2"/>
  <c r="J233" i="2"/>
  <c r="I233" i="2"/>
  <c r="H233" i="2"/>
  <c r="G233" i="2"/>
  <c r="F233" i="2"/>
  <c r="E233" i="2"/>
  <c r="D233" i="2"/>
  <c r="C233" i="2"/>
  <c r="J232" i="2"/>
  <c r="I232" i="2"/>
  <c r="H232" i="2"/>
  <c r="G232" i="2"/>
  <c r="F232" i="2"/>
  <c r="E232" i="2"/>
  <c r="D232" i="2"/>
  <c r="C232" i="2"/>
  <c r="J231" i="2"/>
  <c r="I231" i="2"/>
  <c r="H231" i="2"/>
  <c r="G231" i="2"/>
  <c r="F231" i="2"/>
  <c r="E231" i="2"/>
  <c r="D231" i="2"/>
  <c r="C231" i="2"/>
  <c r="J230" i="2"/>
  <c r="I230" i="2"/>
  <c r="H230" i="2"/>
  <c r="G230" i="2"/>
  <c r="F230" i="2"/>
  <c r="E230" i="2"/>
  <c r="D230" i="2"/>
  <c r="C230" i="2"/>
  <c r="J229" i="2"/>
  <c r="I229" i="2"/>
  <c r="H229" i="2"/>
  <c r="G229" i="2"/>
  <c r="F229" i="2"/>
  <c r="E229" i="2"/>
  <c r="D229" i="2"/>
  <c r="C229" i="2"/>
  <c r="J228" i="2"/>
  <c r="I228" i="2"/>
  <c r="H228" i="2"/>
  <c r="G228" i="2"/>
  <c r="F228" i="2"/>
  <c r="E228" i="2"/>
  <c r="D228" i="2"/>
  <c r="C228" i="2"/>
  <c r="J227" i="2"/>
  <c r="I227" i="2"/>
  <c r="H227" i="2"/>
  <c r="G227" i="2"/>
  <c r="F227" i="2"/>
  <c r="E227" i="2"/>
  <c r="D227" i="2"/>
  <c r="C227" i="2"/>
  <c r="J226" i="2"/>
  <c r="I226" i="2"/>
  <c r="H226" i="2"/>
  <c r="G226" i="2"/>
  <c r="F226" i="2"/>
  <c r="E226" i="2"/>
  <c r="D226" i="2"/>
  <c r="C226" i="2"/>
  <c r="J225" i="2"/>
  <c r="I225" i="2"/>
  <c r="H225" i="2"/>
  <c r="G225" i="2"/>
  <c r="F225" i="2"/>
  <c r="E225" i="2"/>
  <c r="D225" i="2"/>
  <c r="C225" i="2"/>
  <c r="J224" i="2"/>
  <c r="I224" i="2"/>
  <c r="H224" i="2"/>
  <c r="G224" i="2"/>
  <c r="F224" i="2"/>
  <c r="E224" i="2"/>
  <c r="D224" i="2"/>
  <c r="C224" i="2"/>
  <c r="J223" i="2"/>
  <c r="I223" i="2"/>
  <c r="H223" i="2"/>
  <c r="G223" i="2"/>
  <c r="F223" i="2"/>
  <c r="E223" i="2"/>
  <c r="D223" i="2"/>
  <c r="C223" i="2"/>
  <c r="J222" i="2"/>
  <c r="I222" i="2"/>
  <c r="H222" i="2"/>
  <c r="G222" i="2"/>
  <c r="F222" i="2"/>
  <c r="E222" i="2"/>
  <c r="D222" i="2"/>
  <c r="C222" i="2"/>
  <c r="J221" i="2"/>
  <c r="I221" i="2"/>
  <c r="H221" i="2"/>
  <c r="G221" i="2"/>
  <c r="F221" i="2"/>
  <c r="E221" i="2"/>
  <c r="D221" i="2"/>
  <c r="C221" i="2"/>
  <c r="J220" i="2"/>
  <c r="I220" i="2"/>
  <c r="H220" i="2"/>
  <c r="G220" i="2"/>
  <c r="F220" i="2"/>
  <c r="E220" i="2"/>
  <c r="D220" i="2"/>
  <c r="C220" i="2"/>
  <c r="J219" i="2"/>
  <c r="I219" i="2"/>
  <c r="H219" i="2"/>
  <c r="G219" i="2"/>
  <c r="F219" i="2"/>
  <c r="E219" i="2"/>
  <c r="D219" i="2"/>
  <c r="C219" i="2"/>
  <c r="J218" i="2"/>
  <c r="I218" i="2"/>
  <c r="H218" i="2"/>
  <c r="G218" i="2"/>
  <c r="F218" i="2"/>
  <c r="E218" i="2"/>
  <c r="D218" i="2"/>
  <c r="C218" i="2"/>
  <c r="J217" i="2"/>
  <c r="I217" i="2"/>
  <c r="H217" i="2"/>
  <c r="G217" i="2"/>
  <c r="F217" i="2"/>
  <c r="E217" i="2"/>
  <c r="D217" i="2"/>
  <c r="C217" i="2"/>
  <c r="J216" i="2"/>
  <c r="I216" i="2"/>
  <c r="H216" i="2"/>
  <c r="G216" i="2"/>
  <c r="F216" i="2"/>
  <c r="E216" i="2"/>
  <c r="D216" i="2"/>
  <c r="C216" i="2"/>
  <c r="J215" i="2"/>
  <c r="I215" i="2"/>
  <c r="H215" i="2"/>
  <c r="G215" i="2"/>
  <c r="F215" i="2"/>
  <c r="E215" i="2"/>
  <c r="D215" i="2"/>
  <c r="C215" i="2"/>
  <c r="J214" i="2"/>
  <c r="I214" i="2"/>
  <c r="H214" i="2"/>
  <c r="G214" i="2"/>
  <c r="F214" i="2"/>
  <c r="E214" i="2"/>
  <c r="D214" i="2"/>
  <c r="C214" i="2"/>
  <c r="J213" i="2"/>
  <c r="I213" i="2"/>
  <c r="H213" i="2"/>
  <c r="G213" i="2"/>
  <c r="F213" i="2"/>
  <c r="E213" i="2"/>
  <c r="D213" i="2"/>
  <c r="C213" i="2"/>
  <c r="J212" i="2"/>
  <c r="I212" i="2"/>
  <c r="H212" i="2"/>
  <c r="G212" i="2"/>
  <c r="F212" i="2"/>
  <c r="E212" i="2"/>
  <c r="D212" i="2"/>
  <c r="C212" i="2"/>
  <c r="J211" i="2"/>
  <c r="I211" i="2"/>
  <c r="H211" i="2"/>
  <c r="G211" i="2"/>
  <c r="F211" i="2"/>
  <c r="E211" i="2"/>
  <c r="D211" i="2"/>
  <c r="C211" i="2"/>
  <c r="J210" i="2"/>
  <c r="I210" i="2"/>
  <c r="H210" i="2"/>
  <c r="G210" i="2"/>
  <c r="F210" i="2"/>
  <c r="E210" i="2"/>
  <c r="D210" i="2"/>
  <c r="C210" i="2"/>
  <c r="J209" i="2"/>
  <c r="I209" i="2"/>
  <c r="H209" i="2"/>
  <c r="G209" i="2"/>
  <c r="F209" i="2"/>
  <c r="E209" i="2"/>
  <c r="D209" i="2"/>
  <c r="C209" i="2"/>
  <c r="J208" i="2"/>
  <c r="I208" i="2"/>
  <c r="H208" i="2"/>
  <c r="G208" i="2"/>
  <c r="F208" i="2"/>
  <c r="E208" i="2"/>
  <c r="D208" i="2"/>
  <c r="C208" i="2"/>
  <c r="J207" i="2"/>
  <c r="I207" i="2"/>
  <c r="H207" i="2"/>
  <c r="G207" i="2"/>
  <c r="F207" i="2"/>
  <c r="E207" i="2"/>
  <c r="D207" i="2"/>
  <c r="C207" i="2"/>
  <c r="J206" i="2"/>
  <c r="I206" i="2"/>
  <c r="H206" i="2"/>
  <c r="G206" i="2"/>
  <c r="F206" i="2"/>
  <c r="E206" i="2"/>
  <c r="D206" i="2"/>
  <c r="C206" i="2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104" i="2"/>
  <c r="I104" i="2"/>
  <c r="H104" i="2"/>
  <c r="G104" i="2"/>
  <c r="F104" i="2"/>
  <c r="E104" i="2"/>
  <c r="D104" i="2"/>
  <c r="C104" i="2"/>
  <c r="J103" i="2"/>
  <c r="I103" i="2"/>
  <c r="H103" i="2"/>
  <c r="G103" i="2"/>
  <c r="F103" i="2"/>
  <c r="E103" i="2"/>
  <c r="D103" i="2"/>
  <c r="C103" i="2"/>
  <c r="J102" i="2"/>
  <c r="I102" i="2"/>
  <c r="H102" i="2"/>
  <c r="G102" i="2"/>
  <c r="F102" i="2"/>
  <c r="E102" i="2"/>
  <c r="D102" i="2"/>
  <c r="C102" i="2"/>
  <c r="J101" i="2"/>
  <c r="I101" i="2"/>
  <c r="H101" i="2"/>
  <c r="G101" i="2"/>
  <c r="F101" i="2"/>
  <c r="E101" i="2"/>
  <c r="D101" i="2"/>
  <c r="C101" i="2"/>
  <c r="J100" i="2"/>
  <c r="I100" i="2"/>
  <c r="H100" i="2"/>
  <c r="G100" i="2"/>
  <c r="F100" i="2"/>
  <c r="E100" i="2"/>
  <c r="D100" i="2"/>
  <c r="C100" i="2"/>
  <c r="J99" i="2"/>
  <c r="I99" i="2"/>
  <c r="H99" i="2"/>
  <c r="G99" i="2"/>
  <c r="F99" i="2"/>
  <c r="E99" i="2"/>
  <c r="D99" i="2"/>
  <c r="C99" i="2"/>
  <c r="J98" i="2"/>
  <c r="I98" i="2"/>
  <c r="H98" i="2"/>
  <c r="G98" i="2"/>
  <c r="F98" i="2"/>
  <c r="E98" i="2"/>
  <c r="D98" i="2"/>
  <c r="C98" i="2"/>
  <c r="J97" i="2"/>
  <c r="I97" i="2"/>
  <c r="H97" i="2"/>
  <c r="G97" i="2"/>
  <c r="F97" i="2"/>
  <c r="E97" i="2"/>
  <c r="D97" i="2"/>
  <c r="C97" i="2"/>
  <c r="J96" i="2"/>
  <c r="I96" i="2"/>
  <c r="H96" i="2"/>
  <c r="G96" i="2"/>
  <c r="F96" i="2"/>
  <c r="E96" i="2"/>
  <c r="D96" i="2"/>
  <c r="C96" i="2"/>
  <c r="J90" i="2"/>
  <c r="I90" i="2"/>
  <c r="H90" i="2"/>
  <c r="G90" i="2"/>
  <c r="F90" i="2"/>
  <c r="E90" i="2"/>
  <c r="D90" i="2"/>
  <c r="C90" i="2"/>
  <c r="J89" i="2"/>
  <c r="I89" i="2"/>
  <c r="H89" i="2"/>
  <c r="G89" i="2"/>
  <c r="F89" i="2"/>
  <c r="E89" i="2"/>
  <c r="D89" i="2"/>
  <c r="C89" i="2"/>
  <c r="J88" i="2"/>
  <c r="I88" i="2"/>
  <c r="H88" i="2"/>
  <c r="G88" i="2"/>
  <c r="F88" i="2"/>
  <c r="E88" i="2"/>
  <c r="D88" i="2"/>
  <c r="C88" i="2"/>
  <c r="J87" i="2"/>
  <c r="I87" i="2"/>
  <c r="H87" i="2"/>
  <c r="G87" i="2"/>
  <c r="F87" i="2"/>
  <c r="E87" i="2"/>
  <c r="D87" i="2"/>
  <c r="C87" i="2"/>
  <c r="J86" i="2"/>
  <c r="I86" i="2"/>
  <c r="H86" i="2"/>
  <c r="G86" i="2"/>
  <c r="F86" i="2"/>
  <c r="E86" i="2"/>
  <c r="D86" i="2"/>
  <c r="C86" i="2"/>
  <c r="J85" i="2"/>
  <c r="I85" i="2"/>
  <c r="H85" i="2"/>
  <c r="G85" i="2"/>
  <c r="F85" i="2"/>
  <c r="E85" i="2"/>
  <c r="D85" i="2"/>
  <c r="C85" i="2"/>
  <c r="J84" i="2"/>
  <c r="I84" i="2"/>
  <c r="H84" i="2"/>
  <c r="G84" i="2"/>
  <c r="F84" i="2"/>
  <c r="E84" i="2"/>
  <c r="D84" i="2"/>
  <c r="C84" i="2"/>
  <c r="J83" i="2"/>
  <c r="I83" i="2"/>
  <c r="H83" i="2"/>
  <c r="G83" i="2"/>
  <c r="F83" i="2"/>
  <c r="E83" i="2"/>
  <c r="D83" i="2"/>
  <c r="C83" i="2"/>
  <c r="J82" i="2"/>
  <c r="I82" i="2"/>
  <c r="H82" i="2"/>
  <c r="G82" i="2"/>
  <c r="F82" i="2"/>
  <c r="E82" i="2"/>
  <c r="D82" i="2"/>
  <c r="C82" i="2"/>
  <c r="J81" i="2"/>
  <c r="I81" i="2"/>
  <c r="H81" i="2"/>
  <c r="G81" i="2"/>
  <c r="F81" i="2"/>
  <c r="E81" i="2"/>
  <c r="D81" i="2"/>
  <c r="C81" i="2"/>
  <c r="J80" i="2"/>
  <c r="I80" i="2"/>
  <c r="H80" i="2"/>
  <c r="G80" i="2"/>
  <c r="F80" i="2"/>
  <c r="E80" i="2"/>
  <c r="D80" i="2"/>
  <c r="C80" i="2"/>
  <c r="J79" i="2"/>
  <c r="I79" i="2"/>
  <c r="H79" i="2"/>
  <c r="G79" i="2"/>
  <c r="F79" i="2"/>
  <c r="E79" i="2"/>
  <c r="D79" i="2"/>
  <c r="C79" i="2"/>
  <c r="J78" i="2"/>
  <c r="I78" i="2"/>
  <c r="H78" i="2"/>
  <c r="G78" i="2"/>
  <c r="F78" i="2"/>
  <c r="E78" i="2"/>
  <c r="D78" i="2"/>
  <c r="C78" i="2"/>
  <c r="J77" i="2"/>
  <c r="I77" i="2"/>
  <c r="H77" i="2"/>
  <c r="G77" i="2"/>
  <c r="F77" i="2"/>
  <c r="E77" i="2"/>
  <c r="D77" i="2"/>
  <c r="C77" i="2"/>
  <c r="J76" i="2"/>
  <c r="I76" i="2"/>
  <c r="H76" i="2"/>
  <c r="G76" i="2"/>
  <c r="F76" i="2"/>
  <c r="E76" i="2"/>
  <c r="D76" i="2"/>
  <c r="C76" i="2"/>
  <c r="J75" i="2"/>
  <c r="I75" i="2"/>
  <c r="H75" i="2"/>
  <c r="G75" i="2"/>
  <c r="F75" i="2"/>
  <c r="E75" i="2"/>
  <c r="D75" i="2"/>
  <c r="C75" i="2"/>
  <c r="J74" i="2"/>
  <c r="I74" i="2"/>
  <c r="H74" i="2"/>
  <c r="G74" i="2"/>
  <c r="F74" i="2"/>
  <c r="E74" i="2"/>
  <c r="D74" i="2"/>
  <c r="C74" i="2"/>
  <c r="J73" i="2"/>
  <c r="I73" i="2"/>
  <c r="H73" i="2"/>
  <c r="G73" i="2"/>
  <c r="F73" i="2"/>
  <c r="E73" i="2"/>
  <c r="D73" i="2"/>
  <c r="C73" i="2"/>
  <c r="J72" i="2"/>
  <c r="I72" i="2"/>
  <c r="H72" i="2"/>
  <c r="G72" i="2"/>
  <c r="F72" i="2"/>
  <c r="E72" i="2"/>
  <c r="D72" i="2"/>
  <c r="C72" i="2"/>
  <c r="J71" i="2"/>
  <c r="I71" i="2"/>
  <c r="H71" i="2"/>
  <c r="G71" i="2"/>
  <c r="F71" i="2"/>
  <c r="E71" i="2"/>
  <c r="D71" i="2"/>
  <c r="C71" i="2"/>
  <c r="J70" i="2"/>
  <c r="I70" i="2"/>
  <c r="H70" i="2"/>
  <c r="G70" i="2"/>
  <c r="F70" i="2"/>
  <c r="E70" i="2"/>
  <c r="D70" i="2"/>
  <c r="C70" i="2"/>
  <c r="J69" i="2"/>
  <c r="I69" i="2"/>
  <c r="H69" i="2"/>
  <c r="G69" i="2"/>
  <c r="F69" i="2"/>
  <c r="E69" i="2"/>
  <c r="D69" i="2"/>
  <c r="C69" i="2"/>
  <c r="J68" i="2"/>
  <c r="I68" i="2"/>
  <c r="H68" i="2"/>
  <c r="G68" i="2"/>
  <c r="F68" i="2"/>
  <c r="E68" i="2"/>
  <c r="D68" i="2"/>
  <c r="C68" i="2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4" i="2"/>
  <c r="I64" i="2"/>
  <c r="H64" i="2"/>
  <c r="G64" i="2"/>
  <c r="F64" i="2"/>
  <c r="E64" i="2"/>
  <c r="D64" i="2"/>
  <c r="C64" i="2"/>
  <c r="J63" i="2"/>
  <c r="I63" i="2"/>
  <c r="H63" i="2"/>
  <c r="G63" i="2"/>
  <c r="F63" i="2"/>
  <c r="E63" i="2"/>
  <c r="D63" i="2"/>
  <c r="C63" i="2"/>
  <c r="J62" i="2"/>
  <c r="I62" i="2"/>
  <c r="H62" i="2"/>
  <c r="G62" i="2"/>
  <c r="F62" i="2"/>
  <c r="E62" i="2"/>
  <c r="D62" i="2"/>
  <c r="C62" i="2"/>
  <c r="J61" i="2"/>
  <c r="I61" i="2"/>
  <c r="H61" i="2"/>
  <c r="G61" i="2"/>
  <c r="F61" i="2"/>
  <c r="E61" i="2"/>
  <c r="D61" i="2"/>
  <c r="C61" i="2"/>
  <c r="J60" i="2"/>
  <c r="I60" i="2"/>
  <c r="H60" i="2"/>
  <c r="G60" i="2"/>
  <c r="F60" i="2"/>
  <c r="E60" i="2"/>
  <c r="D60" i="2"/>
  <c r="C60" i="2"/>
  <c r="J59" i="2"/>
  <c r="I59" i="2"/>
  <c r="H59" i="2"/>
  <c r="G59" i="2"/>
  <c r="F59" i="2"/>
  <c r="E59" i="2"/>
  <c r="D59" i="2"/>
  <c r="C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J54" i="2"/>
  <c r="I54" i="2"/>
  <c r="H54" i="2"/>
  <c r="G54" i="2"/>
  <c r="F54" i="2"/>
  <c r="E54" i="2"/>
  <c r="D54" i="2"/>
  <c r="C54" i="2"/>
  <c r="J53" i="2"/>
  <c r="I53" i="2"/>
  <c r="H53" i="2"/>
  <c r="G53" i="2"/>
  <c r="F53" i="2"/>
  <c r="E53" i="2"/>
  <c r="D53" i="2"/>
  <c r="C53" i="2"/>
  <c r="J52" i="2"/>
  <c r="I52" i="2"/>
  <c r="H52" i="2"/>
  <c r="G52" i="2"/>
  <c r="F52" i="2"/>
  <c r="E52" i="2"/>
  <c r="D52" i="2"/>
  <c r="C52" i="2"/>
  <c r="J51" i="2"/>
  <c r="I51" i="2"/>
  <c r="H51" i="2"/>
  <c r="G51" i="2"/>
  <c r="F51" i="2"/>
  <c r="E51" i="2"/>
  <c r="D51" i="2"/>
  <c r="C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J43" i="2"/>
  <c r="I43" i="2"/>
  <c r="H43" i="2"/>
  <c r="G43" i="2"/>
  <c r="F43" i="2"/>
  <c r="E43" i="2"/>
  <c r="D43" i="2"/>
  <c r="C43" i="2"/>
  <c r="J42" i="2"/>
  <c r="I42" i="2"/>
  <c r="H42" i="2"/>
  <c r="G42" i="2"/>
  <c r="F42" i="2"/>
  <c r="E42" i="2"/>
  <c r="D42" i="2"/>
  <c r="C42" i="2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J38" i="2"/>
  <c r="I38" i="2"/>
  <c r="H38" i="2"/>
  <c r="G38" i="2"/>
  <c r="F38" i="2"/>
  <c r="E38" i="2"/>
  <c r="D38" i="2"/>
  <c r="C38" i="2"/>
  <c r="J37" i="2"/>
  <c r="I37" i="2"/>
  <c r="H37" i="2"/>
  <c r="G37" i="2"/>
  <c r="F37" i="2"/>
  <c r="E37" i="2"/>
  <c r="D37" i="2"/>
  <c r="C37" i="2"/>
  <c r="J36" i="2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C35" i="2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G16" i="2"/>
  <c r="F16" i="2"/>
  <c r="D16" i="2"/>
  <c r="J13" i="2"/>
  <c r="I13" i="2"/>
  <c r="H13" i="2"/>
  <c r="G13" i="2"/>
  <c r="F13" i="2"/>
  <c r="E13" i="2"/>
  <c r="C13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8" i="2"/>
  <c r="I8" i="2"/>
  <c r="H8" i="2"/>
  <c r="G8" i="2"/>
  <c r="F8" i="2"/>
  <c r="E8" i="2"/>
  <c r="D8" i="2"/>
  <c r="C8" i="2"/>
  <c r="J7" i="2"/>
  <c r="G7" i="2"/>
  <c r="F7" i="2"/>
  <c r="D7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0" i="2" l="1"/>
  <c r="C6" i="2"/>
  <c r="I168" i="2"/>
  <c r="D95" i="2"/>
  <c r="H165" i="2"/>
  <c r="J92" i="2"/>
  <c r="I15" i="2"/>
  <c r="E6" i="2"/>
  <c r="I95" i="2"/>
  <c r="J15" i="2"/>
  <c r="C20" i="2"/>
  <c r="H6" i="2"/>
  <c r="E20" i="2"/>
  <c r="J6" i="2"/>
  <c r="J165" i="2"/>
  <c r="E95" i="2"/>
  <c r="G6" i="2"/>
  <c r="D20" i="2"/>
  <c r="I6" i="2"/>
  <c r="F6" i="2"/>
  <c r="J168" i="2"/>
  <c r="J95" i="2"/>
  <c r="C165" i="2"/>
  <c r="C15" i="2"/>
  <c r="C92" i="2"/>
  <c r="C168" i="2"/>
  <c r="E15" i="2"/>
  <c r="D245" i="2"/>
  <c r="F92" i="2"/>
  <c r="E245" i="2"/>
  <c r="G15" i="2"/>
  <c r="G20" i="2"/>
  <c r="G92" i="2"/>
  <c r="E165" i="2"/>
  <c r="F168" i="2"/>
  <c r="H15" i="2"/>
  <c r="H20" i="2"/>
  <c r="H92" i="2"/>
  <c r="F165" i="2"/>
  <c r="G168" i="2"/>
  <c r="F95" i="2"/>
  <c r="F20" i="2"/>
  <c r="D165" i="2"/>
  <c r="D15" i="2"/>
  <c r="D92" i="2"/>
  <c r="E92" i="2"/>
  <c r="F15" i="2"/>
  <c r="D6" i="2"/>
  <c r="I20" i="2"/>
  <c r="I92" i="2"/>
  <c r="G165" i="2"/>
  <c r="C95" i="2"/>
  <c r="I165" i="2"/>
  <c r="H168" i="2"/>
  <c r="C245" i="2"/>
  <c r="D168" i="2"/>
  <c r="F245" i="2"/>
  <c r="E168" i="2"/>
  <c r="G245" i="2"/>
  <c r="H245" i="2"/>
  <c r="I245" i="2"/>
  <c r="J245" i="2"/>
  <c r="G95" i="2"/>
  <c r="H95" i="2"/>
  <c r="J93" i="2" l="1"/>
  <c r="F93" i="2"/>
  <c r="C93" i="2"/>
  <c r="C166" i="2" s="1"/>
  <c r="C167" i="2" s="1"/>
  <c r="E93" i="2"/>
  <c r="E94" i="2" s="1"/>
  <c r="E295" i="2"/>
  <c r="E296" i="2" s="1"/>
  <c r="D93" i="2"/>
  <c r="D166" i="2" s="1"/>
  <c r="G93" i="2"/>
  <c r="G295" i="2" s="1"/>
  <c r="G296" i="2" s="1"/>
  <c r="H93" i="2"/>
  <c r="H94" i="2" s="1"/>
  <c r="I93" i="2"/>
  <c r="I295" i="2" s="1"/>
  <c r="I296" i="2" s="1"/>
  <c r="F295" i="2"/>
  <c r="F296" i="2" s="1"/>
  <c r="J94" i="2"/>
  <c r="J166" i="2"/>
  <c r="F94" i="2"/>
  <c r="F166" i="2"/>
  <c r="J295" i="2"/>
  <c r="J296" i="2" s="1"/>
  <c r="E166" i="2" l="1"/>
  <c r="E246" i="2" s="1"/>
  <c r="D295" i="2"/>
  <c r="D296" i="2" s="1"/>
  <c r="C246" i="2"/>
  <c r="C94" i="2"/>
  <c r="C295" i="2"/>
  <c r="C296" i="2" s="1"/>
  <c r="H295" i="2"/>
  <c r="H296" i="2" s="1"/>
  <c r="I94" i="2"/>
  <c r="G166" i="2"/>
  <c r="G167" i="2" s="1"/>
  <c r="G94" i="2"/>
  <c r="D94" i="2"/>
  <c r="H166" i="2"/>
  <c r="H167" i="2" s="1"/>
  <c r="I166" i="2"/>
  <c r="I167" i="2" s="1"/>
  <c r="F246" i="2"/>
  <c r="F167" i="2"/>
  <c r="J167" i="2"/>
  <c r="J246" i="2"/>
  <c r="D167" i="2"/>
  <c r="D246" i="2"/>
  <c r="C293" i="2"/>
  <c r="C294" i="2" s="1"/>
  <c r="C247" i="2"/>
  <c r="E167" i="2" l="1"/>
  <c r="H246" i="2"/>
  <c r="H247" i="2" s="1"/>
  <c r="I246" i="2"/>
  <c r="I247" i="2" s="1"/>
  <c r="G246" i="2"/>
  <c r="D293" i="2"/>
  <c r="D294" i="2" s="1"/>
  <c r="D247" i="2"/>
  <c r="G247" i="2"/>
  <c r="G293" i="2"/>
  <c r="G294" i="2" s="1"/>
  <c r="J293" i="2"/>
  <c r="J294" i="2" s="1"/>
  <c r="J247" i="2"/>
  <c r="F247" i="2"/>
  <c r="F293" i="2"/>
  <c r="F294" i="2" s="1"/>
  <c r="E293" i="2"/>
  <c r="E294" i="2" s="1"/>
  <c r="E247" i="2"/>
  <c r="I293" i="2" l="1"/>
  <c r="I294" i="2" s="1"/>
</calcChain>
</file>

<file path=xl/sharedStrings.xml><?xml version="1.0" encoding="utf-8"?>
<sst xmlns="http://schemas.openxmlformats.org/spreadsheetml/2006/main" count="302" uniqueCount="144">
  <si>
    <t>Package Name</t>
  </si>
  <si>
    <t>Coronary Angiography</t>
  </si>
  <si>
    <t>Double Chamber Pacemaker</t>
  </si>
  <si>
    <t>Peripheral Angioplasty(PTA)</t>
  </si>
  <si>
    <t>Ortho Unilateral Total Knee Replacement</t>
  </si>
  <si>
    <t>Procedure Perform ( Nos)</t>
  </si>
  <si>
    <t>Gross Revenue</t>
  </si>
  <si>
    <t>Less: Allowance for Deduction</t>
  </si>
  <si>
    <t>Less: Package Discount/Premium</t>
  </si>
  <si>
    <t>Net Operating Revenue</t>
  </si>
  <si>
    <t>Other Variable Cost</t>
  </si>
  <si>
    <t xml:space="preserve"> </t>
  </si>
  <si>
    <t>Total Variable Costs</t>
  </si>
  <si>
    <t>Clinician payout</t>
  </si>
  <si>
    <t>Total Clinician Payout</t>
  </si>
  <si>
    <t>Direct Costs</t>
  </si>
  <si>
    <t>Investigations</t>
  </si>
  <si>
    <t>Patient Stay Cost</t>
  </si>
  <si>
    <t>Other Procedure Cost</t>
  </si>
  <si>
    <t>Other Direct Cost</t>
  </si>
  <si>
    <t>Total Direct Costs</t>
  </si>
  <si>
    <t>Contribution ( Net Sales-Variable Cost-Direct Cost)</t>
  </si>
  <si>
    <t>%  of Contribution</t>
  </si>
  <si>
    <t>Direct Fixed Cost</t>
  </si>
  <si>
    <t>Other Direct Fixed Cost</t>
  </si>
  <si>
    <t>Total Direct Fixed Costs</t>
  </si>
  <si>
    <t>Gross Margin</t>
  </si>
  <si>
    <t>% of Gross Margin ( Contribution-Direct Fixed Cost)</t>
  </si>
  <si>
    <t>Indirect Fixed Costs</t>
  </si>
  <si>
    <t>Other Indirect Fixed Cost</t>
  </si>
  <si>
    <t>Total Indirect Fixed Costs</t>
  </si>
  <si>
    <t>EBIT ( Gross Margin-Indirect Fixed Cost)</t>
  </si>
  <si>
    <t>% of EBIT of the Unit</t>
  </si>
  <si>
    <t>Financial Cost</t>
  </si>
  <si>
    <t>Liver Transplant</t>
  </si>
  <si>
    <t>Total Financial Costs</t>
  </si>
  <si>
    <t>PBT (Unit)</t>
  </si>
  <si>
    <t>% of PBT</t>
  </si>
  <si>
    <t>Break Even Sales ( Volume)</t>
  </si>
  <si>
    <t>Break Even Sales ( Rupees)</t>
  </si>
  <si>
    <t>Ortho Bilateral TKR (Single Sitting)</t>
  </si>
  <si>
    <t>Ortho Unilateral Total Hip Replacement/ASR</t>
  </si>
  <si>
    <t>Caesarean Section Delivery (LSCS)</t>
  </si>
  <si>
    <t>Coronary Angiography(CGHS)</t>
  </si>
  <si>
    <t>Variable Cost:</t>
  </si>
  <si>
    <t>-Durgs &amp; Consumables</t>
  </si>
  <si>
    <t>-Patient Diet Cost</t>
  </si>
  <si>
    <t>-Equiptment Hiring Charges</t>
  </si>
  <si>
    <t xml:space="preserve">-CCC Payout </t>
  </si>
  <si>
    <t>-Other Direct Cost ( if any)</t>
  </si>
  <si>
    <t>-Outsource Dialysis</t>
  </si>
  <si>
    <t>-Fixed MG Clinician's Payout</t>
  </si>
  <si>
    <t>-Variable Clinician's Payout</t>
  </si>
  <si>
    <t>-Fixed Non MG Clinical Payout</t>
  </si>
  <si>
    <t>-Triage &amp; Emergency Cost</t>
  </si>
  <si>
    <t>-OPD &amp; Consultancy Cost</t>
  </si>
  <si>
    <t>-Endoscopy</t>
  </si>
  <si>
    <t>-Anaesthesia</t>
  </si>
  <si>
    <t>-Blood bank</t>
  </si>
  <si>
    <t>-Laboratory Services</t>
  </si>
  <si>
    <t>-Radiology  Services</t>
  </si>
  <si>
    <t>-Physiotherapy</t>
  </si>
  <si>
    <t>-Ward Cost</t>
  </si>
  <si>
    <t>-Intensive Care Unit Cost</t>
  </si>
  <si>
    <t>-Operating Theatre Cost</t>
  </si>
  <si>
    <t>-Dieticians</t>
  </si>
  <si>
    <t>-Ambulance Services</t>
  </si>
  <si>
    <t>-Cardiac Surgery</t>
  </si>
  <si>
    <t>-Cardiology</t>
  </si>
  <si>
    <t>-Dental</t>
  </si>
  <si>
    <t>-Endocrinology</t>
  </si>
  <si>
    <t>-ENT</t>
  </si>
  <si>
    <t>-Clinical Directorate</t>
  </si>
  <si>
    <t>-Food &amp; Beverage</t>
  </si>
  <si>
    <t>-Home Care Services</t>
  </si>
  <si>
    <t>-Bronscoscopy Suite</t>
  </si>
  <si>
    <t>-Plastic Surgery</t>
  </si>
  <si>
    <t>-Ophtalmology</t>
  </si>
  <si>
    <t>-Neuro Lab</t>
  </si>
  <si>
    <t>-Neurology</t>
  </si>
  <si>
    <t>-Gastro Surgary</t>
  </si>
  <si>
    <t>-Gastronology</t>
  </si>
  <si>
    <t>-Internal Medicine</t>
  </si>
  <si>
    <t>-Labs and Journal Surgry</t>
  </si>
  <si>
    <t>-Nephrolory</t>
  </si>
  <si>
    <t>-OBS Gyane</t>
  </si>
  <si>
    <t>-Onco Surgery</t>
  </si>
  <si>
    <t>-Ortho Surgery</t>
  </si>
  <si>
    <t>-Urology</t>
  </si>
  <si>
    <t>-Nuclear Medicine</t>
  </si>
  <si>
    <t>-Preventative Health Checkup</t>
  </si>
  <si>
    <t>-Pulmonology</t>
  </si>
  <si>
    <t>-Radiotherapy</t>
  </si>
  <si>
    <t>-Oncology</t>
  </si>
  <si>
    <t xml:space="preserve">-COVID-19 Vaccination </t>
  </si>
  <si>
    <t>-Pharmacy-OP Patients</t>
  </si>
  <si>
    <t>-IP Pharmacy Store</t>
  </si>
  <si>
    <t>-Urodynamics Daycare</t>
  </si>
  <si>
    <t>-Dialysis Centre</t>
  </si>
  <si>
    <t>-Labor Delivery</t>
  </si>
  <si>
    <t>-Cath- Lab</t>
  </si>
  <si>
    <t>-Parking</t>
  </si>
  <si>
    <t>-Interventional Cardiology</t>
  </si>
  <si>
    <t>-Paediatrics Medical</t>
  </si>
  <si>
    <t>-Medical Quality</t>
  </si>
  <si>
    <t>-Medical Administration</t>
  </si>
  <si>
    <t xml:space="preserve">-Nursing Administration </t>
  </si>
  <si>
    <t>-COMMON EXPENSE</t>
  </si>
  <si>
    <t>-Administration-General</t>
  </si>
  <si>
    <t>-Call Centre</t>
  </si>
  <si>
    <t>-Front Office</t>
  </si>
  <si>
    <t>-GM operations</t>
  </si>
  <si>
    <t>-Sales &amp; Marketing - International Marketing</t>
  </si>
  <si>
    <t>-Sales &amp; Marketing - Institutional Sales</t>
  </si>
  <si>
    <t xml:space="preserve">-Sales &amp; Marketing - Marketing </t>
  </si>
  <si>
    <t>-Sales &amp; Marketing - MECP</t>
  </si>
  <si>
    <t>-Sales &amp; Marketing - Referral Sales</t>
  </si>
  <si>
    <t>-Corporate Allocation</t>
  </si>
  <si>
    <t>-Concessional Fees 5%</t>
  </si>
  <si>
    <t>-Concessional Fee 5%</t>
  </si>
  <si>
    <t>-Sales &amp; Marketing Overheads (HO)</t>
  </si>
  <si>
    <t>-Sales &amp; Marketing -Corporate &amp; TPA</t>
  </si>
  <si>
    <t>-Sales &amp; Marketing-Cardiology</t>
  </si>
  <si>
    <t>-Sales &amp; Marketing -Peatr</t>
  </si>
  <si>
    <t>-Printing &amp; Stationary</t>
  </si>
  <si>
    <t>-Neuro Surgery</t>
  </si>
  <si>
    <t>-Anesthesia</t>
  </si>
  <si>
    <t>-Patient Stay Cost</t>
  </si>
  <si>
    <t>-Other Procedure Cost</t>
  </si>
  <si>
    <t>-Cardiac Surgery (Shalimar Bagh)</t>
  </si>
  <si>
    <t>-Cardiology (Shalimar Bagh)</t>
  </si>
  <si>
    <t>-Gastro Surgery</t>
  </si>
  <si>
    <t>-Gastrology (Shalimar Bagh)</t>
  </si>
  <si>
    <t>-Internal Medicine (Shalimar Bagh)</t>
  </si>
  <si>
    <t>-Laps &amp; General Surgery (Shalimar Bagh)</t>
  </si>
  <si>
    <t>-Nephrology (Shalimar Bagh)</t>
  </si>
  <si>
    <t>-Obs &amp; Gyane (Shalimar Bagh)</t>
  </si>
  <si>
    <t>-Onco Surgery (Shalimar Bagh)</t>
  </si>
  <si>
    <t>-Ortho  Surgery (Shalimar Bagh)</t>
  </si>
  <si>
    <t>-Urology  Surgery (Shalimar Bagh)</t>
  </si>
  <si>
    <t>-Dialysis</t>
  </si>
  <si>
    <t>-IVF</t>
  </si>
  <si>
    <t>-Other Financial Cost</t>
  </si>
  <si>
    <t>-Paediatric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</si>
</sst>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14009]#,##0;\(#,##0\);&quot;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b/>
      <i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4" fillId="2" borderId="1" xfId="2" applyFont="1" applyFill="1" applyBorder="1" applyAlignment="1">
      <alignment horizontal="center" vertical="top" wrapText="1" readingOrder="1"/>
    </xf>
    <xf numFmtId="0" fontId="4" fillId="2" borderId="2" xfId="2" applyFont="1" applyFill="1" applyBorder="1" applyAlignment="1">
      <alignment horizontal="center" vertical="top" wrapText="1" readingOrder="1"/>
    </xf>
    <xf numFmtId="0" fontId="3" fillId="3" borderId="3" xfId="2" applyFont="1" applyFill="1" applyBorder="1" applyAlignment="1">
      <alignment vertical="top" wrapText="1" readingOrder="1"/>
    </xf>
    <xf numFmtId="43" fontId="3" fillId="3" borderId="4" xfId="3" applyFont="1" applyFill="1" applyBorder="1" applyAlignment="1">
      <alignment horizontal="center" vertical="top" wrapText="1" readingOrder="1"/>
    </xf>
    <xf numFmtId="0" fontId="5" fillId="0" borderId="3" xfId="2" applyFont="1" applyBorder="1" applyAlignment="1">
      <alignment vertical="top" wrapText="1" readingOrder="1"/>
    </xf>
    <xf numFmtId="164" fontId="3" fillId="0" borderId="4" xfId="2" applyNumberFormat="1" applyFont="1" applyBorder="1" applyAlignment="1">
      <alignment horizontal="center" vertical="top" wrapText="1" readingOrder="1"/>
    </xf>
    <xf numFmtId="0" fontId="5" fillId="0" borderId="5" xfId="2" applyFont="1" applyBorder="1" applyAlignment="1">
      <alignment vertical="top" wrapText="1" readingOrder="1"/>
    </xf>
    <xf numFmtId="0" fontId="5" fillId="0" borderId="6" xfId="2" applyFont="1" applyBorder="1" applyAlignment="1">
      <alignment vertical="top" wrapText="1" readingOrder="1"/>
    </xf>
    <xf numFmtId="0" fontId="3" fillId="3" borderId="1" xfId="2" applyFont="1" applyFill="1" applyBorder="1" applyAlignment="1">
      <alignment vertical="top" wrapText="1" readingOrder="1"/>
    </xf>
    <xf numFmtId="164" fontId="3" fillId="3" borderId="2" xfId="2" applyNumberFormat="1" applyFont="1" applyFill="1" applyBorder="1" applyAlignment="1">
      <alignment horizontal="center" vertical="top" wrapText="1" readingOrder="1"/>
    </xf>
    <xf numFmtId="0" fontId="3" fillId="0" borderId="3" xfId="2" applyFont="1" applyBorder="1" applyAlignment="1">
      <alignment vertical="top" wrapText="1" readingOrder="1"/>
    </xf>
    <xf numFmtId="164" fontId="5" fillId="0" borderId="4" xfId="2" applyNumberFormat="1" applyFont="1" applyBorder="1" applyAlignment="1">
      <alignment horizontal="center" vertical="top" wrapText="1" readingOrder="1"/>
    </xf>
    <xf numFmtId="0" fontId="3" fillId="0" borderId="5" xfId="2" applyFont="1" applyBorder="1" applyAlignment="1">
      <alignment vertical="top" wrapText="1" readingOrder="1"/>
    </xf>
    <xf numFmtId="43" fontId="5" fillId="0" borderId="7" xfId="3" applyFont="1" applyFill="1" applyBorder="1" applyAlignment="1">
      <alignment horizontal="center" vertical="top" wrapText="1" readingOrder="1"/>
    </xf>
    <xf numFmtId="43" fontId="5" fillId="0" borderId="7" xfId="1" applyFont="1" applyFill="1" applyBorder="1" applyAlignment="1">
      <alignment horizontal="center" vertical="top" wrapText="1" readingOrder="1"/>
    </xf>
    <xf numFmtId="0" fontId="3" fillId="3" borderId="8" xfId="2" applyFont="1" applyFill="1" applyBorder="1" applyAlignment="1">
      <alignment vertical="top" wrapText="1" readingOrder="1"/>
    </xf>
    <xf numFmtId="0" fontId="3" fillId="0" borderId="7" xfId="0" applyFont="1" applyBorder="1" applyAlignment="1">
      <alignment vertical="top" wrapText="1" readingOrder="1"/>
    </xf>
    <xf numFmtId="0" fontId="5" fillId="0" borderId="7" xfId="0" applyFont="1" applyBorder="1" applyAlignment="1">
      <alignment vertical="top" wrapText="1" readingOrder="1"/>
    </xf>
    <xf numFmtId="0" fontId="5" fillId="0" borderId="7" xfId="2" applyFont="1" applyBorder="1" applyAlignment="1">
      <alignment vertical="top" wrapText="1" readingOrder="1"/>
    </xf>
    <xf numFmtId="0" fontId="3" fillId="3" borderId="9" xfId="2" applyFont="1" applyFill="1" applyBorder="1" applyAlignment="1">
      <alignment vertical="top" wrapText="1" readingOrder="1"/>
    </xf>
    <xf numFmtId="9" fontId="3" fillId="3" borderId="2" xfId="4" applyFont="1" applyFill="1" applyBorder="1" applyAlignment="1">
      <alignment horizontal="center" vertical="top" wrapText="1" readingOrder="1"/>
    </xf>
    <xf numFmtId="43" fontId="5" fillId="0" borderId="0" xfId="1" applyFont="1" applyFill="1" applyBorder="1" applyAlignment="1">
      <alignment horizontal="center" vertical="top" wrapText="1" readingOrder="1"/>
    </xf>
    <xf numFmtId="43" fontId="3" fillId="3" borderId="2" xfId="1" applyFont="1" applyFill="1" applyBorder="1" applyAlignment="1">
      <alignment horizontal="center" vertical="top" wrapText="1" readingOrder="1"/>
    </xf>
    <xf numFmtId="1" fontId="3" fillId="3" borderId="2" xfId="4" applyNumberFormat="1" applyFont="1" applyFill="1" applyBorder="1" applyAlignment="1">
      <alignment horizontal="center" vertical="top" wrapText="1" readingOrder="1"/>
    </xf>
    <xf numFmtId="0" fontId="4" fillId="2" borderId="10" xfId="2" applyFont="1" applyFill="1" applyBorder="1" applyAlignment="1">
      <alignment horizontal="center" vertical="top" wrapText="1" readingOrder="1"/>
    </xf>
    <xf numFmtId="0" fontId="3" fillId="3" borderId="11" xfId="2" applyFont="1" applyFill="1" applyBorder="1" applyAlignment="1">
      <alignment vertical="top" wrapText="1" readingOrder="1"/>
    </xf>
    <xf numFmtId="0" fontId="5" fillId="0" borderId="11" xfId="2" applyFont="1" applyBorder="1" applyAlignment="1">
      <alignment vertical="top" wrapText="1" readingOrder="1"/>
    </xf>
    <xf numFmtId="0" fontId="5" fillId="0" borderId="12" xfId="2" applyFont="1" applyBorder="1" applyAlignment="1">
      <alignment vertical="top" wrapText="1" readingOrder="1"/>
    </xf>
    <xf numFmtId="0" fontId="3" fillId="3" borderId="10" xfId="2" applyFont="1" applyFill="1" applyBorder="1" applyAlignment="1">
      <alignment vertical="top" wrapText="1" readingOrder="1"/>
    </xf>
    <xf numFmtId="0" fontId="3" fillId="0" borderId="11" xfId="2" applyFont="1" applyBorder="1" applyAlignment="1">
      <alignment vertical="top" wrapText="1" readingOrder="1"/>
    </xf>
    <xf numFmtId="0" fontId="3" fillId="0" borderId="13" xfId="2" applyFont="1" applyBorder="1" applyAlignment="1">
      <alignment vertical="top" wrapText="1" readingOrder="1"/>
    </xf>
    <xf numFmtId="0" fontId="5" fillId="0" borderId="13" xfId="2" applyFont="1" applyBorder="1" applyAlignment="1">
      <alignment vertical="top" wrapText="1" readingOrder="1"/>
    </xf>
    <xf numFmtId="0" fontId="3" fillId="3" borderId="14" xfId="2" applyFont="1" applyFill="1" applyBorder="1" applyAlignment="1">
      <alignment vertical="top" wrapText="1" readingOrder="1"/>
    </xf>
    <xf numFmtId="0" fontId="3" fillId="0" borderId="4" xfId="0" applyFont="1" applyBorder="1" applyAlignment="1">
      <alignment vertical="top" wrapText="1" readingOrder="1"/>
    </xf>
    <xf numFmtId="0" fontId="3" fillId="3" borderId="15" xfId="2" applyFont="1" applyFill="1" applyBorder="1" applyAlignment="1">
      <alignment vertical="top" wrapText="1" readingOrder="1"/>
    </xf>
  </cellXfs>
  <cellStyles count="5">
    <cellStyle name="Comma" xfId="1" builtinId="3"/>
    <cellStyle name="Comma 2" xfId="3" xr:uid="{5C217F6C-F134-4938-90E9-5A2DD5F8CA1E}"/>
    <cellStyle name="Normal" xfId="0" builtinId="0"/>
    <cellStyle name="Normal 2" xfId="2" xr:uid="{52C478F0-EDC9-4659-85B0-C5B1B9F57584}"/>
    <cellStyle name="Percent 2" xfId="4" xr:uid="{566AC899-4F22-452C-A7C1-F693CCBA8CF4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C605-C902-448D-BB55-4E905E648E14}">
  <dimension ref="A1:J296"/>
  <sheetViews>
    <sheetView tabSelected="1" workbookViewId="0"/>
  </sheetViews>
  <sheetFormatPr defaultRowHeight="14.5" x14ac:dyDescent="0.35"/>
  <sheetData>
    <row r="1" spans="1:10" ht="91.5" thickBot="1" x14ac:dyDescent="0.4">
      <c r="A1" s="1" t="s">
        <v>0</v>
      </c>
      <c r="B1" s="25"/>
      <c r="C1" s="2" t="s">
        <v>1</v>
      </c>
      <c r="D1" s="2" t="s">
        <v>2</v>
      </c>
      <c r="E1" s="2" t="s">
        <v>3</v>
      </c>
      <c r="F1" s="2" t="s">
        <v>4</v>
      </c>
      <c r="G1" s="2" t="s">
        <v>40</v>
      </c>
      <c r="H1" s="2" t="s">
        <v>41</v>
      </c>
      <c r="I1" s="2" t="s">
        <v>42</v>
      </c>
      <c r="J1" s="2" t="s">
        <v>43</v>
      </c>
    </row>
    <row r="2" spans="1:10" ht="52" x14ac:dyDescent="0.35">
      <c r="A2" s="3" t="s">
        <v>5</v>
      </c>
      <c r="B2" s="26"/>
      <c r="C2" s="4">
        <v>37</v>
      </c>
      <c r="D2" s="4">
        <v>1</v>
      </c>
      <c r="E2" s="4">
        <v>3</v>
      </c>
      <c r="F2" s="4">
        <v>3</v>
      </c>
      <c r="G2" s="4">
        <v>11</v>
      </c>
      <c r="H2" s="4">
        <v>9</v>
      </c>
      <c r="I2" s="4">
        <v>2</v>
      </c>
      <c r="J2" s="4">
        <v>22</v>
      </c>
    </row>
    <row r="3" spans="1:10" ht="26" x14ac:dyDescent="0.35">
      <c r="A3" s="5" t="s">
        <v>6</v>
      </c>
      <c r="B3" s="27"/>
      <c r="C3" s="6">
        <f>734658/(10^5)</f>
        <v>7.3465800000000003</v>
      </c>
      <c r="D3" s="6">
        <f>57379/(10^5)</f>
        <v>0.57379000000000002</v>
      </c>
      <c r="E3" s="6">
        <f>335764/(10^5)</f>
        <v>3.35764</v>
      </c>
      <c r="F3" s="6">
        <f>345524/(10^5)</f>
        <v>3.4552399999999999</v>
      </c>
      <c r="G3" s="6">
        <f>1526001/(10^5)</f>
        <v>15.260009999999999</v>
      </c>
      <c r="H3" s="6">
        <f>1283900/(10^5)</f>
        <v>12.839</v>
      </c>
      <c r="I3" s="6">
        <f>178621/(10^5)</f>
        <v>1.7862100000000001</v>
      </c>
      <c r="J3" s="6">
        <f>182062/(10^5)</f>
        <v>1.8206199999999999</v>
      </c>
    </row>
    <row r="4" spans="1:10" ht="52" x14ac:dyDescent="0.35">
      <c r="A4" s="7" t="s">
        <v>7</v>
      </c>
      <c r="B4" s="27"/>
      <c r="C4" s="6">
        <f>-325/(10^5)</f>
        <v>-3.2499999999999999E-3</v>
      </c>
      <c r="D4" s="6">
        <f>0/(10^5)</f>
        <v>0</v>
      </c>
      <c r="E4" s="6">
        <f>0/(10^5)</f>
        <v>0</v>
      </c>
      <c r="F4" s="6">
        <f>0/(10^5)</f>
        <v>0</v>
      </c>
      <c r="G4" s="6">
        <f>-3899/(10^5)</f>
        <v>-3.8989999999999997E-2</v>
      </c>
      <c r="H4" s="6">
        <f>0/(10^5)</f>
        <v>0</v>
      </c>
      <c r="I4" s="6">
        <f>0/(10^5)</f>
        <v>0</v>
      </c>
      <c r="J4" s="6">
        <f>-7646/(10^5)</f>
        <v>-7.646E-2</v>
      </c>
    </row>
    <row r="5" spans="1:10" ht="52.5" thickBot="1" x14ac:dyDescent="0.4">
      <c r="A5" s="8" t="s">
        <v>8</v>
      </c>
      <c r="B5" s="28"/>
      <c r="C5" s="6">
        <f>27156/(10^5)</f>
        <v>0.27156000000000002</v>
      </c>
      <c r="D5" s="6">
        <f>77601/(10^5)</f>
        <v>0.77600999999999998</v>
      </c>
      <c r="E5" s="6">
        <f>-40694/(10^5)</f>
        <v>-0.40694000000000002</v>
      </c>
      <c r="F5" s="6">
        <f>181319/(10^5)</f>
        <v>1.8131900000000001</v>
      </c>
      <c r="G5" s="6">
        <f>1457980/(10^5)</f>
        <v>14.579800000000001</v>
      </c>
      <c r="H5" s="6">
        <f>-39868/(10^5)</f>
        <v>-0.39867999999999998</v>
      </c>
      <c r="I5" s="6">
        <f>-51632/(10^5)</f>
        <v>-0.51632</v>
      </c>
      <c r="J5" s="6">
        <f>88134/(10^5)</f>
        <v>0.88134000000000001</v>
      </c>
    </row>
    <row r="6" spans="1:10" ht="52.5" thickBot="1" x14ac:dyDescent="0.4">
      <c r="A6" s="9" t="s">
        <v>9</v>
      </c>
      <c r="B6" s="29"/>
      <c r="C6" s="10">
        <f t="shared" ref="C6:J6" si="0">SUM(C3:C5)</f>
        <v>7.6148899999999999</v>
      </c>
      <c r="D6" s="10">
        <f t="shared" si="0"/>
        <v>1.3498000000000001</v>
      </c>
      <c r="E6" s="10">
        <f t="shared" si="0"/>
        <v>2.9506999999999999</v>
      </c>
      <c r="F6" s="10">
        <f t="shared" si="0"/>
        <v>5.2684300000000004</v>
      </c>
      <c r="G6" s="10">
        <f t="shared" si="0"/>
        <v>29.800820000000002</v>
      </c>
      <c r="H6" s="10">
        <f t="shared" si="0"/>
        <v>12.44032</v>
      </c>
      <c r="I6" s="10">
        <f t="shared" si="0"/>
        <v>1.2698900000000002</v>
      </c>
      <c r="J6" s="10">
        <f t="shared" si="0"/>
        <v>2.6254999999999997</v>
      </c>
    </row>
    <row r="7" spans="1:10" ht="26" x14ac:dyDescent="0.35">
      <c r="A7" s="11" t="s">
        <v>44</v>
      </c>
      <c r="B7" s="30"/>
      <c r="C7" s="12"/>
      <c r="D7" s="12">
        <f>0/(10^5)</f>
        <v>0</v>
      </c>
      <c r="E7" s="12"/>
      <c r="F7" s="12">
        <f>0/(10^5)</f>
        <v>0</v>
      </c>
      <c r="G7" s="12">
        <f>0/(10^5)</f>
        <v>0</v>
      </c>
      <c r="H7" s="6"/>
      <c r="I7" s="6"/>
      <c r="J7" s="12">
        <f>0/(10^5)</f>
        <v>0</v>
      </c>
    </row>
    <row r="8" spans="1:10" ht="39" x14ac:dyDescent="0.35">
      <c r="A8" s="7"/>
      <c r="B8" s="27" t="s">
        <v>45</v>
      </c>
      <c r="C8" s="6">
        <f>67482/(10^5)</f>
        <v>0.67481999999999998</v>
      </c>
      <c r="D8" s="6">
        <f>4515/(10^5)</f>
        <v>4.5150000000000003E-2</v>
      </c>
      <c r="E8" s="6">
        <f>62756/(10^5)</f>
        <v>0.62756000000000001</v>
      </c>
      <c r="F8" s="6">
        <f>31634/(10^5)</f>
        <v>0.31634000000000001</v>
      </c>
      <c r="G8" s="6">
        <f>151904/(10^5)</f>
        <v>1.5190399999999999</v>
      </c>
      <c r="H8" s="6">
        <f>96772/(10^5)</f>
        <v>0.96772000000000002</v>
      </c>
      <c r="I8" s="6">
        <f>8393/(10^5)</f>
        <v>8.3930000000000005E-2</v>
      </c>
      <c r="J8" s="6">
        <f>37477/(10^5)</f>
        <v>0.37476999999999999</v>
      </c>
    </row>
    <row r="9" spans="1:10" ht="39" x14ac:dyDescent="0.35">
      <c r="A9" s="13" t="s">
        <v>10</v>
      </c>
      <c r="B9" s="31"/>
      <c r="C9" s="14"/>
      <c r="D9" s="14"/>
      <c r="E9" s="14"/>
      <c r="F9" s="14"/>
      <c r="G9" s="14"/>
      <c r="H9" s="14"/>
      <c r="I9" s="14"/>
      <c r="J9" s="14"/>
    </row>
    <row r="10" spans="1:10" ht="26" x14ac:dyDescent="0.35">
      <c r="A10" s="7"/>
      <c r="B10" s="27" t="s">
        <v>46</v>
      </c>
      <c r="C10" s="6">
        <f>119568/(10^5)</f>
        <v>1.1956800000000001</v>
      </c>
      <c r="D10" s="6">
        <f>2064/(10^5)</f>
        <v>2.0639999999999999E-2</v>
      </c>
      <c r="E10" s="6">
        <f>5075/(10^5)</f>
        <v>5.0750000000000003E-2</v>
      </c>
      <c r="F10" s="6">
        <f>3372/(10^5)</f>
        <v>3.372E-2</v>
      </c>
      <c r="G10" s="6">
        <f>20214/(10^5)</f>
        <v>0.20213999999999999</v>
      </c>
      <c r="H10" s="6">
        <f>12604/(10^5)</f>
        <v>0.12604000000000001</v>
      </c>
      <c r="I10" s="6">
        <f>1126/(10^5)</f>
        <v>1.1259999999999999E-2</v>
      </c>
      <c r="J10" s="6">
        <f>16080/(10^5)</f>
        <v>0.1608</v>
      </c>
    </row>
    <row r="11" spans="1:10" ht="52" x14ac:dyDescent="0.35">
      <c r="A11" s="7"/>
      <c r="B11" s="27" t="s">
        <v>47</v>
      </c>
      <c r="C11" s="6">
        <f t="shared" ref="C11:J11" si="1">0/(10^5)</f>
        <v>0</v>
      </c>
      <c r="D11" s="6">
        <f t="shared" si="1"/>
        <v>0</v>
      </c>
      <c r="E11" s="6">
        <f t="shared" si="1"/>
        <v>0</v>
      </c>
      <c r="F11" s="6">
        <f t="shared" si="1"/>
        <v>0</v>
      </c>
      <c r="G11" s="6">
        <f t="shared" si="1"/>
        <v>0</v>
      </c>
      <c r="H11" s="6">
        <f t="shared" si="1"/>
        <v>0</v>
      </c>
      <c r="I11" s="6">
        <f t="shared" si="1"/>
        <v>0</v>
      </c>
      <c r="J11" s="6">
        <f t="shared" si="1"/>
        <v>0</v>
      </c>
    </row>
    <row r="12" spans="1:10" ht="26" x14ac:dyDescent="0.35">
      <c r="A12" s="7"/>
      <c r="B12" s="27" t="s">
        <v>48</v>
      </c>
      <c r="C12" s="15" t="s">
        <v>11</v>
      </c>
      <c r="D12" s="15"/>
      <c r="E12" s="15"/>
      <c r="F12" s="15"/>
      <c r="G12" s="15"/>
      <c r="H12" s="15"/>
      <c r="I12" s="15"/>
      <c r="J12" s="15"/>
    </row>
    <row r="13" spans="1:10" ht="52" x14ac:dyDescent="0.35">
      <c r="A13" s="7"/>
      <c r="B13" s="27" t="s">
        <v>49</v>
      </c>
      <c r="C13" s="6">
        <f>-44/(10^5)</f>
        <v>-4.4000000000000002E-4</v>
      </c>
      <c r="D13" s="6" t="s">
        <v>11</v>
      </c>
      <c r="E13" s="6">
        <f>0/(10^5)</f>
        <v>0</v>
      </c>
      <c r="F13" s="6">
        <f>0/(10^5)</f>
        <v>0</v>
      </c>
      <c r="G13" s="6">
        <f>-1097/(10^5)</f>
        <v>-1.0970000000000001E-2</v>
      </c>
      <c r="H13" s="6">
        <f>0/(10^5)</f>
        <v>0</v>
      </c>
      <c r="I13" s="6">
        <f>0/(10^5)</f>
        <v>0</v>
      </c>
      <c r="J13" s="6">
        <f>-9409/(10^5)</f>
        <v>-9.4089999999999993E-2</v>
      </c>
    </row>
    <row r="14" spans="1:10" ht="39.5" thickBot="1" x14ac:dyDescent="0.4">
      <c r="A14" s="7"/>
      <c r="B14" s="27" t="s">
        <v>50</v>
      </c>
      <c r="C14" s="15"/>
      <c r="D14" s="15"/>
      <c r="E14" s="15"/>
      <c r="F14" s="15"/>
      <c r="G14" s="15"/>
      <c r="H14" s="15"/>
      <c r="I14" s="15"/>
      <c r="J14" s="15"/>
    </row>
    <row r="15" spans="1:10" ht="39.5" thickBot="1" x14ac:dyDescent="0.4">
      <c r="A15" s="9" t="s">
        <v>12</v>
      </c>
      <c r="B15" s="29"/>
      <c r="C15" s="10">
        <f t="shared" ref="C15:J15" si="2">SUM(C8:C14)</f>
        <v>1.8700600000000001</v>
      </c>
      <c r="D15" s="10">
        <f t="shared" si="2"/>
        <v>6.5790000000000001E-2</v>
      </c>
      <c r="E15" s="10">
        <f t="shared" si="2"/>
        <v>0.67830999999999997</v>
      </c>
      <c r="F15" s="10">
        <f t="shared" si="2"/>
        <v>0.35006000000000004</v>
      </c>
      <c r="G15" s="10">
        <f t="shared" si="2"/>
        <v>1.71021</v>
      </c>
      <c r="H15" s="10">
        <f t="shared" si="2"/>
        <v>1.0937600000000001</v>
      </c>
      <c r="I15" s="10">
        <f t="shared" si="2"/>
        <v>9.5189999999999997E-2</v>
      </c>
      <c r="J15" s="10">
        <f t="shared" si="2"/>
        <v>0.44147999999999998</v>
      </c>
    </row>
    <row r="16" spans="1:10" ht="26" x14ac:dyDescent="0.35">
      <c r="A16" s="11" t="s">
        <v>13</v>
      </c>
      <c r="B16" s="30"/>
      <c r="C16" s="12"/>
      <c r="D16" s="12">
        <f>0/(10^5)</f>
        <v>0</v>
      </c>
      <c r="E16" s="12"/>
      <c r="F16" s="12">
        <f>0/(10^5)</f>
        <v>0</v>
      </c>
      <c r="G16" s="12">
        <f>0/(10^5)</f>
        <v>0</v>
      </c>
      <c r="H16" s="6"/>
      <c r="I16" s="6"/>
      <c r="J16" s="12">
        <f>0/(10^5)</f>
        <v>0</v>
      </c>
    </row>
    <row r="17" spans="1:10" ht="39" x14ac:dyDescent="0.35">
      <c r="A17" s="7"/>
      <c r="B17" s="27" t="s">
        <v>51</v>
      </c>
      <c r="C17" s="6">
        <f>2103/(10^5)</f>
        <v>2.103E-2</v>
      </c>
      <c r="D17" s="6">
        <f>6/(10^5)</f>
        <v>6.0000000000000002E-5</v>
      </c>
      <c r="E17" s="6">
        <f>924/(10^5)</f>
        <v>9.2399999999999999E-3</v>
      </c>
      <c r="F17" s="6">
        <f>57/(10^5)</f>
        <v>5.6999999999999998E-4</v>
      </c>
      <c r="G17" s="6">
        <f>250/(10^5)</f>
        <v>2.5000000000000001E-3</v>
      </c>
      <c r="H17" s="6">
        <f>257/(10^5)</f>
        <v>2.5699999999999998E-3</v>
      </c>
      <c r="I17" s="6">
        <f>24167/(10^5)</f>
        <v>0.24167</v>
      </c>
      <c r="J17" s="6">
        <f>47/(10^5)</f>
        <v>4.6999999999999999E-4</v>
      </c>
    </row>
    <row r="18" spans="1:10" ht="39" x14ac:dyDescent="0.35">
      <c r="A18" s="7"/>
      <c r="B18" s="27" t="s">
        <v>52</v>
      </c>
      <c r="C18" s="6">
        <f>913589/(10^5)</f>
        <v>9.1358899999999998</v>
      </c>
      <c r="D18" s="6">
        <f>2098/(10^5)</f>
        <v>2.0979999999999999E-2</v>
      </c>
      <c r="E18" s="6">
        <f>261319/(10^5)</f>
        <v>2.6131899999999999</v>
      </c>
      <c r="F18" s="6">
        <f>39202/(10^5)</f>
        <v>0.39201999999999998</v>
      </c>
      <c r="G18" s="6">
        <f>301086/(10^5)</f>
        <v>3.0108600000000001</v>
      </c>
      <c r="H18" s="6">
        <f>163085/(10^5)</f>
        <v>1.6308499999999999</v>
      </c>
      <c r="I18" s="6">
        <f>2323/(10^5)</f>
        <v>2.3230000000000001E-2</v>
      </c>
      <c r="J18" s="6">
        <f>64593/(10^5)</f>
        <v>0.64593</v>
      </c>
    </row>
    <row r="19" spans="1:10" ht="52.5" thickBot="1" x14ac:dyDescent="0.4">
      <c r="A19" s="8"/>
      <c r="B19" s="27" t="s">
        <v>53</v>
      </c>
      <c r="C19" s="6">
        <f>783975/(10^5)</f>
        <v>7.8397500000000004</v>
      </c>
      <c r="D19" s="6">
        <f>1351/(10^5)</f>
        <v>1.3509999999999999E-2</v>
      </c>
      <c r="E19" s="6">
        <f>91201/(10^5)</f>
        <v>0.91200999999999999</v>
      </c>
      <c r="F19" s="6">
        <f>13287/(10^5)</f>
        <v>0.13286999999999999</v>
      </c>
      <c r="G19" s="6">
        <f>127833/(10^5)</f>
        <v>1.27833</v>
      </c>
      <c r="H19" s="6">
        <f>68952/(10^5)</f>
        <v>0.68952000000000002</v>
      </c>
      <c r="I19" s="6">
        <f>32123/(10^5)</f>
        <v>0.32123000000000002</v>
      </c>
      <c r="J19" s="6">
        <f>9599/(10^5)</f>
        <v>9.5990000000000006E-2</v>
      </c>
    </row>
    <row r="20" spans="1:10" ht="39.5" thickBot="1" x14ac:dyDescent="0.4">
      <c r="A20" s="16" t="s">
        <v>14</v>
      </c>
      <c r="B20" s="33"/>
      <c r="C20" s="10">
        <f t="shared" ref="C20:J20" si="3">SUM(C17:C19)</f>
        <v>16.996670000000002</v>
      </c>
      <c r="D20" s="10">
        <f t="shared" si="3"/>
        <v>3.4549999999999997E-2</v>
      </c>
      <c r="E20" s="10">
        <f t="shared" si="3"/>
        <v>3.53444</v>
      </c>
      <c r="F20" s="10">
        <f t="shared" si="3"/>
        <v>0.52546000000000004</v>
      </c>
      <c r="G20" s="10">
        <f t="shared" si="3"/>
        <v>4.29169</v>
      </c>
      <c r="H20" s="10">
        <f t="shared" si="3"/>
        <v>2.32294</v>
      </c>
      <c r="I20" s="10">
        <f t="shared" si="3"/>
        <v>0.58613000000000004</v>
      </c>
      <c r="J20" s="10">
        <f t="shared" si="3"/>
        <v>0.74238999999999999</v>
      </c>
    </row>
    <row r="21" spans="1:10" ht="26" x14ac:dyDescent="0.35">
      <c r="A21" s="17" t="s">
        <v>15</v>
      </c>
      <c r="B21" s="34"/>
      <c r="C21" s="12"/>
      <c r="D21" s="12"/>
      <c r="E21" s="12"/>
      <c r="F21" s="12"/>
      <c r="G21" s="12"/>
      <c r="H21" s="12"/>
      <c r="I21" s="12"/>
      <c r="J21" s="12"/>
    </row>
    <row r="22" spans="1:10" ht="39" x14ac:dyDescent="0.35">
      <c r="A22" s="18"/>
      <c r="B22" s="27" t="s">
        <v>54</v>
      </c>
      <c r="C22" s="6">
        <f>706/(10^5)</f>
        <v>7.0600000000000003E-3</v>
      </c>
      <c r="D22" s="6">
        <f t="shared" ref="D22:H32" si="4">0/(10^5)</f>
        <v>0</v>
      </c>
      <c r="E22" s="6">
        <f>38/(10^5)</f>
        <v>3.8000000000000002E-4</v>
      </c>
      <c r="F22" s="6">
        <f>120/(10^5)</f>
        <v>1.1999999999999999E-3</v>
      </c>
      <c r="G22" s="6">
        <f>3342/(10^5)</f>
        <v>3.3419999999999998E-2</v>
      </c>
      <c r="H22" s="6">
        <f>1488/(10^5)</f>
        <v>1.4880000000000001E-2</v>
      </c>
      <c r="I22" s="6">
        <f t="shared" ref="I22:J31" si="5">0/(10^5)</f>
        <v>0</v>
      </c>
      <c r="J22" s="6">
        <f>29/(10^5)</f>
        <v>2.9E-4</v>
      </c>
    </row>
    <row r="23" spans="1:10" ht="39" x14ac:dyDescent="0.35">
      <c r="A23" s="18"/>
      <c r="B23" s="27" t="s">
        <v>55</v>
      </c>
      <c r="C23" s="6">
        <f>0/(10^5)</f>
        <v>0</v>
      </c>
      <c r="D23" s="6">
        <f t="shared" si="4"/>
        <v>0</v>
      </c>
      <c r="E23" s="6">
        <f t="shared" si="4"/>
        <v>0</v>
      </c>
      <c r="F23" s="6">
        <f t="shared" si="4"/>
        <v>0</v>
      </c>
      <c r="G23" s="6">
        <f t="shared" si="4"/>
        <v>0</v>
      </c>
      <c r="H23" s="6">
        <f t="shared" si="4"/>
        <v>0</v>
      </c>
      <c r="I23" s="6">
        <f t="shared" si="5"/>
        <v>0</v>
      </c>
      <c r="J23" s="6">
        <f t="shared" si="5"/>
        <v>0</v>
      </c>
    </row>
    <row r="24" spans="1:10" ht="26" x14ac:dyDescent="0.35">
      <c r="A24" s="18"/>
      <c r="B24" s="27" t="s">
        <v>56</v>
      </c>
      <c r="C24" s="6">
        <f>0/(10^5)</f>
        <v>0</v>
      </c>
      <c r="D24" s="6">
        <f t="shared" si="4"/>
        <v>0</v>
      </c>
      <c r="E24" s="6">
        <f t="shared" si="4"/>
        <v>0</v>
      </c>
      <c r="F24" s="6">
        <f t="shared" si="4"/>
        <v>0</v>
      </c>
      <c r="G24" s="6">
        <f t="shared" si="4"/>
        <v>0</v>
      </c>
      <c r="H24" s="6">
        <f t="shared" si="4"/>
        <v>0</v>
      </c>
      <c r="I24" s="6">
        <f t="shared" si="5"/>
        <v>0</v>
      </c>
      <c r="J24" s="6">
        <f t="shared" si="5"/>
        <v>0</v>
      </c>
    </row>
    <row r="25" spans="1:10" ht="39" x14ac:dyDescent="0.35">
      <c r="A25" s="18"/>
      <c r="B25" s="27" t="s">
        <v>57</v>
      </c>
      <c r="C25" s="6">
        <f>0/(10^5)</f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5"/>
        <v>0</v>
      </c>
      <c r="J25" s="6">
        <f t="shared" si="5"/>
        <v>0</v>
      </c>
    </row>
    <row r="26" spans="1:10" ht="26" x14ac:dyDescent="0.35">
      <c r="A26" s="17" t="s">
        <v>16</v>
      </c>
      <c r="B26" s="34"/>
      <c r="C26" s="6">
        <f>0/(10^5)</f>
        <v>0</v>
      </c>
      <c r="D26" s="6">
        <f t="shared" si="4"/>
        <v>0</v>
      </c>
      <c r="E26" s="6">
        <f t="shared" si="4"/>
        <v>0</v>
      </c>
      <c r="F26" s="6">
        <f t="shared" si="4"/>
        <v>0</v>
      </c>
      <c r="G26" s="6">
        <f t="shared" si="4"/>
        <v>0</v>
      </c>
      <c r="H26" s="6">
        <f t="shared" si="4"/>
        <v>0</v>
      </c>
      <c r="I26" s="6">
        <f t="shared" si="5"/>
        <v>0</v>
      </c>
      <c r="J26" s="6">
        <f t="shared" si="5"/>
        <v>0</v>
      </c>
    </row>
    <row r="27" spans="1:10" ht="26" x14ac:dyDescent="0.35">
      <c r="A27" s="18"/>
      <c r="B27" s="27" t="s">
        <v>58</v>
      </c>
      <c r="C27" s="6">
        <f>28514/(10^5)</f>
        <v>0.28514</v>
      </c>
      <c r="D27" s="6">
        <f t="shared" si="4"/>
        <v>0</v>
      </c>
      <c r="E27" s="6">
        <f>298/(10^5)</f>
        <v>2.98E-3</v>
      </c>
      <c r="F27" s="6">
        <f>149/(10^5)</f>
        <v>1.49E-3</v>
      </c>
      <c r="G27" s="6">
        <f>4129/(10^5)</f>
        <v>4.129E-2</v>
      </c>
      <c r="H27" s="6">
        <f>7061/(10^5)</f>
        <v>7.0610000000000006E-2</v>
      </c>
      <c r="I27" s="6">
        <f t="shared" si="5"/>
        <v>0</v>
      </c>
      <c r="J27" s="6">
        <f>149/(10^5)</f>
        <v>1.49E-3</v>
      </c>
    </row>
    <row r="28" spans="1:10" ht="39" x14ac:dyDescent="0.35">
      <c r="A28" s="18"/>
      <c r="B28" s="27" t="s">
        <v>59</v>
      </c>
      <c r="C28" s="6">
        <f>0/(10^5)</f>
        <v>0</v>
      </c>
      <c r="D28" s="6">
        <f t="shared" si="4"/>
        <v>0</v>
      </c>
      <c r="E28" s="6">
        <f t="shared" si="4"/>
        <v>0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5"/>
        <v>0</v>
      </c>
      <c r="J28" s="6">
        <f t="shared" si="5"/>
        <v>0</v>
      </c>
    </row>
    <row r="29" spans="1:10" ht="26" x14ac:dyDescent="0.35">
      <c r="A29" s="18"/>
      <c r="B29" s="27" t="s">
        <v>60</v>
      </c>
      <c r="C29" s="6">
        <f>0/(10^5)</f>
        <v>0</v>
      </c>
      <c r="D29" s="6">
        <f t="shared" si="4"/>
        <v>0</v>
      </c>
      <c r="E29" s="6">
        <f t="shared" si="4"/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5"/>
        <v>0</v>
      </c>
      <c r="J29" s="6">
        <f t="shared" si="5"/>
        <v>0</v>
      </c>
    </row>
    <row r="30" spans="1:10" ht="39" x14ac:dyDescent="0.35">
      <c r="A30" s="18"/>
      <c r="B30" s="27" t="s">
        <v>61</v>
      </c>
      <c r="C30" s="6">
        <f>0/(10^5)</f>
        <v>0</v>
      </c>
      <c r="D30" s="6">
        <f t="shared" si="4"/>
        <v>0</v>
      </c>
      <c r="E30" s="6">
        <f t="shared" si="4"/>
        <v>0</v>
      </c>
      <c r="F30" s="6">
        <f t="shared" si="4"/>
        <v>0</v>
      </c>
      <c r="G30" s="6">
        <f t="shared" si="4"/>
        <v>0</v>
      </c>
      <c r="H30" s="6">
        <f t="shared" si="4"/>
        <v>0</v>
      </c>
      <c r="I30" s="6">
        <f t="shared" si="5"/>
        <v>0</v>
      </c>
      <c r="J30" s="6">
        <f t="shared" si="5"/>
        <v>0</v>
      </c>
    </row>
    <row r="31" spans="1:10" ht="26" x14ac:dyDescent="0.35">
      <c r="A31" s="17" t="s">
        <v>17</v>
      </c>
      <c r="B31" s="34"/>
      <c r="C31" s="6">
        <f>0/(10^5)</f>
        <v>0</v>
      </c>
      <c r="D31" s="6">
        <f t="shared" si="4"/>
        <v>0</v>
      </c>
      <c r="E31" s="6">
        <f t="shared" si="4"/>
        <v>0</v>
      </c>
      <c r="F31" s="6">
        <f t="shared" si="4"/>
        <v>0</v>
      </c>
      <c r="G31" s="6">
        <f t="shared" si="4"/>
        <v>0</v>
      </c>
      <c r="H31" s="6">
        <f t="shared" si="4"/>
        <v>0</v>
      </c>
      <c r="I31" s="6">
        <f t="shared" si="5"/>
        <v>0</v>
      </c>
      <c r="J31" s="6">
        <f t="shared" si="5"/>
        <v>0</v>
      </c>
    </row>
    <row r="32" spans="1:10" ht="26" x14ac:dyDescent="0.35">
      <c r="A32" s="18"/>
      <c r="B32" s="27" t="s">
        <v>62</v>
      </c>
      <c r="C32" s="6">
        <f>50/(10^5)</f>
        <v>5.0000000000000001E-4</v>
      </c>
      <c r="D32" s="6">
        <f t="shared" si="4"/>
        <v>0</v>
      </c>
      <c r="E32" s="6">
        <f>194/(10^5)</f>
        <v>1.9400000000000001E-3</v>
      </c>
      <c r="F32" s="6">
        <f>210/(10^5)</f>
        <v>2.0999999999999999E-3</v>
      </c>
      <c r="G32" s="6">
        <f>1075/(10^5)</f>
        <v>1.0749999999999999E-2</v>
      </c>
      <c r="H32" s="6">
        <f>761/(10^5)</f>
        <v>7.6099999999999996E-3</v>
      </c>
      <c r="I32" s="6">
        <f>172/(10^5)</f>
        <v>1.72E-3</v>
      </c>
      <c r="J32" s="6">
        <f>29/(10^5)</f>
        <v>2.9E-4</v>
      </c>
    </row>
    <row r="33" spans="1:10" ht="39" x14ac:dyDescent="0.35">
      <c r="A33" s="18"/>
      <c r="B33" s="27" t="s">
        <v>63</v>
      </c>
      <c r="C33" s="6">
        <f>110090/(10^5)</f>
        <v>1.1009</v>
      </c>
      <c r="D33" s="6">
        <f>2956/(10^5)</f>
        <v>2.9559999999999999E-2</v>
      </c>
      <c r="E33" s="6">
        <f>137/(10^5)</f>
        <v>1.3699999999999999E-3</v>
      </c>
      <c r="F33" s="6">
        <f>100/(10^5)</f>
        <v>1E-3</v>
      </c>
      <c r="G33" s="6">
        <f>370/(10^5)</f>
        <v>3.7000000000000002E-3</v>
      </c>
      <c r="H33" s="6">
        <f>323/(10^5)</f>
        <v>3.2299999999999998E-3</v>
      </c>
      <c r="I33" s="6">
        <f>27/(10^5)</f>
        <v>2.7E-4</v>
      </c>
      <c r="J33" s="6">
        <f>46785/(10^5)</f>
        <v>0.46784999999999999</v>
      </c>
    </row>
    <row r="34" spans="1:10" ht="39" x14ac:dyDescent="0.35">
      <c r="A34" s="18"/>
      <c r="B34" s="27" t="s">
        <v>64</v>
      </c>
      <c r="C34" s="6">
        <f t="shared" ref="C34:J38" si="6">0/(10^5)</f>
        <v>0</v>
      </c>
      <c r="D34" s="6">
        <f t="shared" si="6"/>
        <v>0</v>
      </c>
      <c r="E34" s="6">
        <f t="shared" si="6"/>
        <v>0</v>
      </c>
      <c r="F34" s="6">
        <f t="shared" si="6"/>
        <v>0</v>
      </c>
      <c r="G34" s="6">
        <f t="shared" si="6"/>
        <v>0</v>
      </c>
      <c r="H34" s="6">
        <f t="shared" si="6"/>
        <v>0</v>
      </c>
      <c r="I34" s="6">
        <f t="shared" si="6"/>
        <v>0</v>
      </c>
      <c r="J34" s="6">
        <f t="shared" si="6"/>
        <v>0</v>
      </c>
    </row>
    <row r="35" spans="1:10" x14ac:dyDescent="0.35">
      <c r="A35" s="18"/>
      <c r="B35" s="27" t="s">
        <v>65</v>
      </c>
      <c r="C35" s="6">
        <f t="shared" si="6"/>
        <v>0</v>
      </c>
      <c r="D35" s="6">
        <f t="shared" si="6"/>
        <v>0</v>
      </c>
      <c r="E35" s="6">
        <f t="shared" si="6"/>
        <v>0</v>
      </c>
      <c r="F35" s="6">
        <f t="shared" si="6"/>
        <v>0</v>
      </c>
      <c r="G35" s="6">
        <f t="shared" si="6"/>
        <v>0</v>
      </c>
      <c r="H35" s="6">
        <f t="shared" si="6"/>
        <v>0</v>
      </c>
      <c r="I35" s="6">
        <f t="shared" si="6"/>
        <v>0</v>
      </c>
      <c r="J35" s="6">
        <f t="shared" si="6"/>
        <v>0</v>
      </c>
    </row>
    <row r="36" spans="1:10" ht="39" x14ac:dyDescent="0.35">
      <c r="A36" s="18"/>
      <c r="B36" s="27" t="s">
        <v>66</v>
      </c>
      <c r="C36" s="6">
        <f>471/(10^5)</f>
        <v>4.7099999999999998E-3</v>
      </c>
      <c r="D36" s="6">
        <f t="shared" si="6"/>
        <v>0</v>
      </c>
      <c r="E36" s="6">
        <f t="shared" si="6"/>
        <v>0</v>
      </c>
      <c r="F36" s="6">
        <f t="shared" si="6"/>
        <v>0</v>
      </c>
      <c r="G36" s="6">
        <f t="shared" si="6"/>
        <v>0</v>
      </c>
      <c r="H36" s="6">
        <f t="shared" si="6"/>
        <v>0</v>
      </c>
      <c r="I36" s="6">
        <f t="shared" si="6"/>
        <v>0</v>
      </c>
      <c r="J36" s="6">
        <f t="shared" si="6"/>
        <v>0</v>
      </c>
    </row>
    <row r="37" spans="1:10" ht="39" x14ac:dyDescent="0.35">
      <c r="A37" s="17" t="s">
        <v>18</v>
      </c>
      <c r="B37" s="34"/>
      <c r="C37" s="6">
        <f>0/(10^5)</f>
        <v>0</v>
      </c>
      <c r="D37" s="6">
        <f t="shared" si="6"/>
        <v>0</v>
      </c>
      <c r="E37" s="6">
        <f t="shared" si="6"/>
        <v>0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0</v>
      </c>
      <c r="J37" s="6">
        <f t="shared" si="6"/>
        <v>0</v>
      </c>
    </row>
    <row r="38" spans="1:10" ht="26" x14ac:dyDescent="0.35">
      <c r="A38" s="18"/>
      <c r="B38" s="27" t="s">
        <v>67</v>
      </c>
      <c r="C38" s="6">
        <f>0/(10^5)</f>
        <v>0</v>
      </c>
      <c r="D38" s="6">
        <f t="shared" si="6"/>
        <v>0</v>
      </c>
      <c r="E38" s="6">
        <f t="shared" si="6"/>
        <v>0</v>
      </c>
      <c r="F38" s="6">
        <f t="shared" si="6"/>
        <v>0</v>
      </c>
      <c r="G38" s="6">
        <f t="shared" si="6"/>
        <v>0</v>
      </c>
      <c r="H38" s="6">
        <f t="shared" si="6"/>
        <v>0</v>
      </c>
      <c r="I38" s="6">
        <f t="shared" si="6"/>
        <v>0</v>
      </c>
      <c r="J38" s="6">
        <f t="shared" si="6"/>
        <v>0</v>
      </c>
    </row>
    <row r="39" spans="1:10" ht="26" x14ac:dyDescent="0.35">
      <c r="A39" s="18"/>
      <c r="B39" s="27" t="s">
        <v>68</v>
      </c>
      <c r="C39" s="6">
        <f>920/(10^5)</f>
        <v>9.1999999999999998E-3</v>
      </c>
      <c r="D39" s="6">
        <f>24/(10^5)</f>
        <v>2.4000000000000001E-4</v>
      </c>
      <c r="E39" s="6">
        <f>42/(10^5)</f>
        <v>4.2000000000000002E-4</v>
      </c>
      <c r="F39" s="6">
        <f>74/(10^5)</f>
        <v>7.3999999999999999E-4</v>
      </c>
      <c r="G39" s="6">
        <f>431/(10^5)</f>
        <v>4.3099999999999996E-3</v>
      </c>
      <c r="H39" s="6">
        <f>628/(10^5)</f>
        <v>6.28E-3</v>
      </c>
      <c r="I39" s="6">
        <f>0/(10^5)</f>
        <v>0</v>
      </c>
      <c r="J39" s="6">
        <f>73/(10^5)</f>
        <v>7.2999999999999996E-4</v>
      </c>
    </row>
    <row r="40" spans="1:10" x14ac:dyDescent="0.35">
      <c r="A40" s="18"/>
      <c r="B40" s="27" t="s">
        <v>69</v>
      </c>
      <c r="C40" s="6">
        <f t="shared" ref="C40:H43" si="7">0/(10^5)</f>
        <v>0</v>
      </c>
      <c r="D40" s="6">
        <f t="shared" si="7"/>
        <v>0</v>
      </c>
      <c r="E40" s="6">
        <f t="shared" si="7"/>
        <v>0</v>
      </c>
      <c r="F40" s="6">
        <f t="shared" si="7"/>
        <v>0</v>
      </c>
      <c r="G40" s="6">
        <f t="shared" si="7"/>
        <v>0</v>
      </c>
      <c r="H40" s="6">
        <f t="shared" si="7"/>
        <v>0</v>
      </c>
      <c r="I40" s="6">
        <f>0/(10^5)</f>
        <v>0</v>
      </c>
      <c r="J40" s="6">
        <f t="shared" ref="J40:J43" si="8">0/(10^5)</f>
        <v>0</v>
      </c>
    </row>
    <row r="41" spans="1:10" ht="39" x14ac:dyDescent="0.35">
      <c r="A41" s="18"/>
      <c r="B41" s="27" t="s">
        <v>70</v>
      </c>
      <c r="C41" s="6">
        <f t="shared" si="7"/>
        <v>0</v>
      </c>
      <c r="D41" s="6">
        <f t="shared" si="7"/>
        <v>0</v>
      </c>
      <c r="E41" s="6">
        <f t="shared" si="7"/>
        <v>0</v>
      </c>
      <c r="F41" s="6">
        <f t="shared" si="7"/>
        <v>0</v>
      </c>
      <c r="G41" s="6">
        <f t="shared" si="7"/>
        <v>0</v>
      </c>
      <c r="H41" s="6">
        <f t="shared" si="7"/>
        <v>0</v>
      </c>
      <c r="I41" s="6">
        <f>0/(10^5)</f>
        <v>0</v>
      </c>
      <c r="J41" s="6">
        <f t="shared" si="8"/>
        <v>0</v>
      </c>
    </row>
    <row r="42" spans="1:10" x14ac:dyDescent="0.35">
      <c r="A42" s="18"/>
      <c r="B42" s="27" t="s">
        <v>71</v>
      </c>
      <c r="C42" s="6">
        <f t="shared" si="7"/>
        <v>0</v>
      </c>
      <c r="D42" s="6">
        <f t="shared" si="7"/>
        <v>0</v>
      </c>
      <c r="E42" s="6">
        <f t="shared" si="7"/>
        <v>0</v>
      </c>
      <c r="F42" s="6">
        <f t="shared" si="7"/>
        <v>0</v>
      </c>
      <c r="G42" s="6">
        <f t="shared" si="7"/>
        <v>0</v>
      </c>
      <c r="H42" s="6">
        <f t="shared" si="7"/>
        <v>0</v>
      </c>
      <c r="I42" s="6">
        <f>0/(10^5)</f>
        <v>0</v>
      </c>
      <c r="J42" s="6">
        <f t="shared" si="8"/>
        <v>0</v>
      </c>
    </row>
    <row r="43" spans="1:10" ht="39" x14ac:dyDescent="0.35">
      <c r="A43" s="18"/>
      <c r="B43" s="27" t="s">
        <v>72</v>
      </c>
      <c r="C43" s="6">
        <f t="shared" si="7"/>
        <v>0</v>
      </c>
      <c r="D43" s="6">
        <f t="shared" si="7"/>
        <v>0</v>
      </c>
      <c r="E43" s="6">
        <f t="shared" si="7"/>
        <v>0</v>
      </c>
      <c r="F43" s="6">
        <f t="shared" si="7"/>
        <v>0</v>
      </c>
      <c r="G43" s="6">
        <f t="shared" si="7"/>
        <v>0</v>
      </c>
      <c r="H43" s="6">
        <f t="shared" si="7"/>
        <v>0</v>
      </c>
      <c r="I43" s="6">
        <f>0/(10^5)</f>
        <v>0</v>
      </c>
      <c r="J43" s="6">
        <f t="shared" si="8"/>
        <v>0</v>
      </c>
    </row>
    <row r="44" spans="1:10" ht="26" x14ac:dyDescent="0.35">
      <c r="A44" s="18"/>
      <c r="B44" s="27" t="s">
        <v>73</v>
      </c>
      <c r="C44" s="6">
        <f>43889/(10^5)</f>
        <v>0.43889</v>
      </c>
      <c r="D44" s="6">
        <f>758/(10^5)</f>
        <v>7.5799999999999999E-3</v>
      </c>
      <c r="E44" s="6">
        <f>1863/(10^5)</f>
        <v>1.8630000000000001E-2</v>
      </c>
      <c r="F44" s="6">
        <f>1238/(10^5)</f>
        <v>1.238E-2</v>
      </c>
      <c r="G44" s="6">
        <f>7420/(10^5)</f>
        <v>7.4200000000000002E-2</v>
      </c>
      <c r="H44" s="6">
        <f>4627/(10^5)</f>
        <v>4.6269999999999999E-2</v>
      </c>
      <c r="I44" s="6">
        <f>413/(10^5)</f>
        <v>4.13E-3</v>
      </c>
      <c r="J44" s="6">
        <f>5902/(10^5)</f>
        <v>5.9020000000000003E-2</v>
      </c>
    </row>
    <row r="45" spans="1:10" ht="39" x14ac:dyDescent="0.35">
      <c r="A45" s="18"/>
      <c r="B45" s="27" t="s">
        <v>74</v>
      </c>
      <c r="C45" s="6">
        <f t="shared" ref="C45:J60" si="9">0/(10^5)</f>
        <v>0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</row>
    <row r="46" spans="1:10" ht="39" x14ac:dyDescent="0.35">
      <c r="A46" s="18"/>
      <c r="B46" s="27" t="s">
        <v>75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</row>
    <row r="47" spans="1:10" ht="26" x14ac:dyDescent="0.35">
      <c r="A47" s="18"/>
      <c r="B47" s="27" t="s">
        <v>76</v>
      </c>
      <c r="C47" s="6">
        <f t="shared" si="9"/>
        <v>0</v>
      </c>
      <c r="D47" s="6">
        <f t="shared" si="9"/>
        <v>0</v>
      </c>
      <c r="E47" s="6">
        <f>20/(10^5)</f>
        <v>2.0000000000000001E-4</v>
      </c>
      <c r="F47" s="6">
        <f t="shared" si="9"/>
        <v>0</v>
      </c>
      <c r="G47" s="6">
        <f t="shared" si="9"/>
        <v>0</v>
      </c>
      <c r="H47" s="6">
        <f t="shared" si="9"/>
        <v>0</v>
      </c>
      <c r="I47" s="6">
        <f t="shared" si="9"/>
        <v>0</v>
      </c>
      <c r="J47" s="6">
        <f>4/(10^5)</f>
        <v>4.0000000000000003E-5</v>
      </c>
    </row>
    <row r="48" spans="1:10" ht="39" x14ac:dyDescent="0.35">
      <c r="A48" s="18"/>
      <c r="B48" s="27" t="s">
        <v>77</v>
      </c>
      <c r="C48" s="6">
        <f t="shared" si="9"/>
        <v>0</v>
      </c>
      <c r="D48" s="6">
        <f t="shared" si="9"/>
        <v>0</v>
      </c>
      <c r="E48" s="6">
        <f t="shared" si="9"/>
        <v>0</v>
      </c>
      <c r="F48" s="6">
        <f t="shared" si="9"/>
        <v>0</v>
      </c>
      <c r="G48" s="6">
        <f t="shared" si="9"/>
        <v>0</v>
      </c>
      <c r="H48" s="6">
        <f t="shared" si="9"/>
        <v>0</v>
      </c>
      <c r="I48" s="6">
        <f t="shared" si="9"/>
        <v>0</v>
      </c>
      <c r="J48" s="6">
        <f t="shared" si="9"/>
        <v>0</v>
      </c>
    </row>
    <row r="49" spans="1:10" ht="26" x14ac:dyDescent="0.35">
      <c r="A49" s="18"/>
      <c r="B49" s="27" t="s">
        <v>78</v>
      </c>
      <c r="C49" s="6">
        <f t="shared" si="9"/>
        <v>0</v>
      </c>
      <c r="D49" s="6">
        <f t="shared" si="9"/>
        <v>0</v>
      </c>
      <c r="E49" s="6">
        <f t="shared" si="9"/>
        <v>0</v>
      </c>
      <c r="F49" s="6">
        <f t="shared" si="9"/>
        <v>0</v>
      </c>
      <c r="G49" s="6">
        <f t="shared" si="9"/>
        <v>0</v>
      </c>
      <c r="H49" s="6">
        <f t="shared" si="9"/>
        <v>0</v>
      </c>
      <c r="I49" s="6">
        <f t="shared" si="9"/>
        <v>0</v>
      </c>
      <c r="J49" s="6">
        <f t="shared" si="9"/>
        <v>0</v>
      </c>
    </row>
    <row r="50" spans="1:10" ht="26" x14ac:dyDescent="0.35">
      <c r="A50" s="18"/>
      <c r="B50" s="27" t="s">
        <v>79</v>
      </c>
      <c r="C50" s="6">
        <f>7/(10^5)</f>
        <v>6.9999999999999994E-5</v>
      </c>
      <c r="D50" s="6">
        <f t="shared" si="9"/>
        <v>0</v>
      </c>
      <c r="E50" s="6">
        <f t="shared" si="9"/>
        <v>0</v>
      </c>
      <c r="F50" s="6">
        <f t="shared" si="9"/>
        <v>0</v>
      </c>
      <c r="G50" s="6">
        <f>2/(10^5)</f>
        <v>2.0000000000000002E-5</v>
      </c>
      <c r="H50" s="6">
        <f t="shared" si="9"/>
        <v>0</v>
      </c>
      <c r="I50" s="6">
        <f t="shared" si="9"/>
        <v>0</v>
      </c>
      <c r="J50" s="6">
        <f t="shared" si="9"/>
        <v>0</v>
      </c>
    </row>
    <row r="51" spans="1:10" ht="26" x14ac:dyDescent="0.35">
      <c r="A51" s="18"/>
      <c r="B51" s="27" t="s">
        <v>80</v>
      </c>
      <c r="C51" s="6">
        <f t="shared" ref="C51:J66" si="10">0/(10^5)</f>
        <v>0</v>
      </c>
      <c r="D51" s="6">
        <f t="shared" si="9"/>
        <v>0</v>
      </c>
      <c r="E51" s="6">
        <f t="shared" si="9"/>
        <v>0</v>
      </c>
      <c r="F51" s="6">
        <f t="shared" si="9"/>
        <v>0</v>
      </c>
      <c r="G51" s="6">
        <f t="shared" si="9"/>
        <v>0</v>
      </c>
      <c r="H51" s="6">
        <f t="shared" si="9"/>
        <v>0</v>
      </c>
      <c r="I51" s="6">
        <f t="shared" si="9"/>
        <v>0</v>
      </c>
      <c r="J51" s="6">
        <f t="shared" si="9"/>
        <v>0</v>
      </c>
    </row>
    <row r="52" spans="1:10" ht="39" x14ac:dyDescent="0.35">
      <c r="A52" s="18"/>
      <c r="B52" s="27" t="s">
        <v>81</v>
      </c>
      <c r="C52" s="6">
        <f t="shared" si="10"/>
        <v>0</v>
      </c>
      <c r="D52" s="6">
        <f t="shared" si="9"/>
        <v>0</v>
      </c>
      <c r="E52" s="6">
        <f t="shared" si="9"/>
        <v>0</v>
      </c>
      <c r="F52" s="6">
        <f t="shared" si="9"/>
        <v>0</v>
      </c>
      <c r="G52" s="6">
        <f t="shared" si="9"/>
        <v>0</v>
      </c>
      <c r="H52" s="6">
        <f t="shared" si="9"/>
        <v>0</v>
      </c>
      <c r="I52" s="6">
        <f t="shared" si="9"/>
        <v>0</v>
      </c>
      <c r="J52" s="6">
        <f t="shared" si="9"/>
        <v>0</v>
      </c>
    </row>
    <row r="53" spans="1:10" ht="26" x14ac:dyDescent="0.35">
      <c r="A53" s="18"/>
      <c r="B53" s="27" t="s">
        <v>82</v>
      </c>
      <c r="C53" s="6">
        <f t="shared" si="10"/>
        <v>0</v>
      </c>
      <c r="D53" s="6">
        <f t="shared" si="9"/>
        <v>0</v>
      </c>
      <c r="E53" s="6">
        <f t="shared" si="9"/>
        <v>0</v>
      </c>
      <c r="F53" s="6">
        <f t="shared" si="9"/>
        <v>0</v>
      </c>
      <c r="G53" s="6">
        <f t="shared" si="9"/>
        <v>0</v>
      </c>
      <c r="H53" s="6">
        <f t="shared" si="9"/>
        <v>0</v>
      </c>
      <c r="I53" s="6">
        <f t="shared" si="9"/>
        <v>0</v>
      </c>
      <c r="J53" s="6">
        <f t="shared" si="9"/>
        <v>0</v>
      </c>
    </row>
    <row r="54" spans="1:10" ht="39" x14ac:dyDescent="0.35">
      <c r="A54" s="18"/>
      <c r="B54" s="27" t="s">
        <v>83</v>
      </c>
      <c r="C54" s="6">
        <f t="shared" si="10"/>
        <v>0</v>
      </c>
      <c r="D54" s="6">
        <f t="shared" si="9"/>
        <v>0</v>
      </c>
      <c r="E54" s="6">
        <f t="shared" si="9"/>
        <v>0</v>
      </c>
      <c r="F54" s="6">
        <f t="shared" si="9"/>
        <v>0</v>
      </c>
      <c r="G54" s="6">
        <f t="shared" si="9"/>
        <v>0</v>
      </c>
      <c r="H54" s="6">
        <f t="shared" si="9"/>
        <v>0</v>
      </c>
      <c r="I54" s="6">
        <f t="shared" si="9"/>
        <v>0</v>
      </c>
      <c r="J54" s="6">
        <f t="shared" si="9"/>
        <v>0</v>
      </c>
    </row>
    <row r="55" spans="1:10" ht="39" x14ac:dyDescent="0.35">
      <c r="A55" s="18"/>
      <c r="B55" s="27" t="s">
        <v>84</v>
      </c>
      <c r="C55" s="6">
        <f t="shared" si="10"/>
        <v>0</v>
      </c>
      <c r="D55" s="6">
        <f t="shared" si="9"/>
        <v>0</v>
      </c>
      <c r="E55" s="6">
        <f t="shared" si="9"/>
        <v>0</v>
      </c>
      <c r="F55" s="6">
        <f t="shared" si="9"/>
        <v>0</v>
      </c>
      <c r="G55" s="6">
        <f t="shared" si="9"/>
        <v>0</v>
      </c>
      <c r="H55" s="6">
        <f t="shared" si="9"/>
        <v>0</v>
      </c>
      <c r="I55" s="6">
        <f t="shared" si="9"/>
        <v>0</v>
      </c>
      <c r="J55" s="6">
        <f t="shared" si="9"/>
        <v>0</v>
      </c>
    </row>
    <row r="56" spans="1:10" ht="26" x14ac:dyDescent="0.35">
      <c r="A56" s="18"/>
      <c r="B56" s="27" t="s">
        <v>85</v>
      </c>
      <c r="C56" s="6">
        <f t="shared" si="10"/>
        <v>0</v>
      </c>
      <c r="D56" s="6">
        <f t="shared" si="9"/>
        <v>0</v>
      </c>
      <c r="E56" s="6">
        <f t="shared" si="9"/>
        <v>0</v>
      </c>
      <c r="F56" s="6">
        <f t="shared" si="9"/>
        <v>0</v>
      </c>
      <c r="G56" s="6">
        <f t="shared" si="9"/>
        <v>0</v>
      </c>
      <c r="H56" s="6">
        <f t="shared" si="9"/>
        <v>0</v>
      </c>
      <c r="I56" s="6">
        <f t="shared" si="9"/>
        <v>0</v>
      </c>
      <c r="J56" s="6">
        <f t="shared" si="9"/>
        <v>0</v>
      </c>
    </row>
    <row r="57" spans="1:10" ht="26" x14ac:dyDescent="0.35">
      <c r="A57" s="18"/>
      <c r="B57" s="27" t="s">
        <v>86</v>
      </c>
      <c r="C57" s="6">
        <f t="shared" si="10"/>
        <v>0</v>
      </c>
      <c r="D57" s="6">
        <f t="shared" si="9"/>
        <v>0</v>
      </c>
      <c r="E57" s="6">
        <f t="shared" si="9"/>
        <v>0</v>
      </c>
      <c r="F57" s="6">
        <f t="shared" si="9"/>
        <v>0</v>
      </c>
      <c r="G57" s="6">
        <f t="shared" si="9"/>
        <v>0</v>
      </c>
      <c r="H57" s="6">
        <f t="shared" si="9"/>
        <v>0</v>
      </c>
      <c r="I57" s="6">
        <f t="shared" si="9"/>
        <v>0</v>
      </c>
      <c r="J57" s="6">
        <f t="shared" si="9"/>
        <v>0</v>
      </c>
    </row>
    <row r="58" spans="1:10" ht="26" x14ac:dyDescent="0.35">
      <c r="A58" s="18"/>
      <c r="B58" s="27" t="s">
        <v>87</v>
      </c>
      <c r="C58" s="6">
        <f t="shared" si="10"/>
        <v>0</v>
      </c>
      <c r="D58" s="6">
        <f t="shared" si="9"/>
        <v>0</v>
      </c>
      <c r="E58" s="6">
        <f t="shared" si="9"/>
        <v>0</v>
      </c>
      <c r="F58" s="6">
        <f t="shared" si="9"/>
        <v>0</v>
      </c>
      <c r="G58" s="6">
        <f t="shared" si="9"/>
        <v>0</v>
      </c>
      <c r="H58" s="6">
        <f t="shared" si="9"/>
        <v>0</v>
      </c>
      <c r="I58" s="6">
        <f t="shared" si="9"/>
        <v>0</v>
      </c>
      <c r="J58" s="6">
        <f t="shared" si="9"/>
        <v>0</v>
      </c>
    </row>
    <row r="59" spans="1:10" x14ac:dyDescent="0.35">
      <c r="A59" s="18"/>
      <c r="B59" s="27" t="s">
        <v>88</v>
      </c>
      <c r="C59" s="6">
        <f t="shared" si="10"/>
        <v>0</v>
      </c>
      <c r="D59" s="6">
        <f t="shared" si="9"/>
        <v>0</v>
      </c>
      <c r="E59" s="6">
        <f t="shared" si="9"/>
        <v>0</v>
      </c>
      <c r="F59" s="6">
        <f t="shared" si="9"/>
        <v>0</v>
      </c>
      <c r="G59" s="6">
        <f t="shared" si="9"/>
        <v>0</v>
      </c>
      <c r="H59" s="6">
        <f t="shared" si="9"/>
        <v>0</v>
      </c>
      <c r="I59" s="6">
        <f t="shared" si="9"/>
        <v>0</v>
      </c>
      <c r="J59" s="6">
        <f t="shared" si="9"/>
        <v>0</v>
      </c>
    </row>
    <row r="60" spans="1:10" ht="26" x14ac:dyDescent="0.35">
      <c r="A60" s="18"/>
      <c r="B60" s="27" t="s">
        <v>89</v>
      </c>
      <c r="C60" s="6">
        <f t="shared" si="10"/>
        <v>0</v>
      </c>
      <c r="D60" s="6">
        <f t="shared" si="9"/>
        <v>0</v>
      </c>
      <c r="E60" s="6">
        <f t="shared" si="9"/>
        <v>0</v>
      </c>
      <c r="F60" s="6">
        <f t="shared" si="9"/>
        <v>0</v>
      </c>
      <c r="G60" s="6">
        <f t="shared" si="9"/>
        <v>0</v>
      </c>
      <c r="H60" s="6">
        <f t="shared" si="9"/>
        <v>0</v>
      </c>
      <c r="I60" s="6">
        <f t="shared" si="9"/>
        <v>0</v>
      </c>
      <c r="J60" s="6">
        <f t="shared" si="9"/>
        <v>0</v>
      </c>
    </row>
    <row r="61" spans="1:10" ht="52" x14ac:dyDescent="0.35">
      <c r="A61" s="18"/>
      <c r="B61" s="27" t="s">
        <v>90</v>
      </c>
      <c r="C61" s="6">
        <f t="shared" si="10"/>
        <v>0</v>
      </c>
      <c r="D61" s="6">
        <f t="shared" si="10"/>
        <v>0</v>
      </c>
      <c r="E61" s="6">
        <f t="shared" si="10"/>
        <v>0</v>
      </c>
      <c r="F61" s="6">
        <f t="shared" si="10"/>
        <v>0</v>
      </c>
      <c r="G61" s="6">
        <f t="shared" si="10"/>
        <v>0</v>
      </c>
      <c r="H61" s="6">
        <f t="shared" si="10"/>
        <v>0</v>
      </c>
      <c r="I61" s="6">
        <f t="shared" si="10"/>
        <v>0</v>
      </c>
      <c r="J61" s="6">
        <f t="shared" si="10"/>
        <v>0</v>
      </c>
    </row>
    <row r="62" spans="1:10" ht="39" x14ac:dyDescent="0.35">
      <c r="A62" s="18"/>
      <c r="B62" s="27" t="s">
        <v>91</v>
      </c>
      <c r="C62" s="6">
        <f t="shared" si="10"/>
        <v>0</v>
      </c>
      <c r="D62" s="6">
        <f t="shared" si="10"/>
        <v>0</v>
      </c>
      <c r="E62" s="6">
        <f t="shared" si="10"/>
        <v>0</v>
      </c>
      <c r="F62" s="6">
        <f t="shared" si="10"/>
        <v>0</v>
      </c>
      <c r="G62" s="6">
        <f t="shared" si="10"/>
        <v>0</v>
      </c>
      <c r="H62" s="6">
        <f t="shared" si="10"/>
        <v>0</v>
      </c>
      <c r="I62" s="6">
        <f t="shared" si="10"/>
        <v>0</v>
      </c>
      <c r="J62" s="6">
        <f t="shared" si="10"/>
        <v>0</v>
      </c>
    </row>
    <row r="63" spans="1:10" ht="39" x14ac:dyDescent="0.35">
      <c r="A63" s="18"/>
      <c r="B63" s="27" t="s">
        <v>92</v>
      </c>
      <c r="C63" s="6">
        <f t="shared" si="10"/>
        <v>0</v>
      </c>
      <c r="D63" s="6">
        <f t="shared" si="10"/>
        <v>0</v>
      </c>
      <c r="E63" s="6">
        <f t="shared" si="10"/>
        <v>0</v>
      </c>
      <c r="F63" s="6">
        <f t="shared" si="10"/>
        <v>0</v>
      </c>
      <c r="G63" s="6">
        <f t="shared" si="10"/>
        <v>0</v>
      </c>
      <c r="H63" s="6">
        <f t="shared" si="10"/>
        <v>0</v>
      </c>
      <c r="I63" s="6">
        <f t="shared" si="10"/>
        <v>0</v>
      </c>
      <c r="J63" s="6">
        <f t="shared" si="10"/>
        <v>0</v>
      </c>
    </row>
    <row r="64" spans="1:10" x14ac:dyDescent="0.35">
      <c r="A64" s="18"/>
      <c r="B64" s="27" t="s">
        <v>93</v>
      </c>
      <c r="C64" s="6">
        <f t="shared" si="10"/>
        <v>0</v>
      </c>
      <c r="D64" s="6">
        <f t="shared" si="10"/>
        <v>0</v>
      </c>
      <c r="E64" s="6">
        <f t="shared" si="10"/>
        <v>0</v>
      </c>
      <c r="F64" s="6">
        <f t="shared" si="10"/>
        <v>0</v>
      </c>
      <c r="G64" s="6">
        <f t="shared" si="10"/>
        <v>0</v>
      </c>
      <c r="H64" s="6">
        <f t="shared" si="10"/>
        <v>0</v>
      </c>
      <c r="I64" s="6">
        <f t="shared" si="10"/>
        <v>0</v>
      </c>
      <c r="J64" s="6">
        <f t="shared" si="10"/>
        <v>0</v>
      </c>
    </row>
    <row r="65" spans="1:10" ht="39" x14ac:dyDescent="0.35">
      <c r="A65" s="18"/>
      <c r="B65" s="27" t="s">
        <v>94</v>
      </c>
      <c r="C65" s="6">
        <f t="shared" si="10"/>
        <v>0</v>
      </c>
      <c r="D65" s="6">
        <f t="shared" si="10"/>
        <v>0</v>
      </c>
      <c r="E65" s="6">
        <f t="shared" si="10"/>
        <v>0</v>
      </c>
      <c r="F65" s="6">
        <f t="shared" si="10"/>
        <v>0</v>
      </c>
      <c r="G65" s="6">
        <f t="shared" si="10"/>
        <v>0</v>
      </c>
      <c r="H65" s="6">
        <f t="shared" si="10"/>
        <v>0</v>
      </c>
      <c r="I65" s="6">
        <f t="shared" si="10"/>
        <v>0</v>
      </c>
      <c r="J65" s="6">
        <f t="shared" si="10"/>
        <v>0</v>
      </c>
    </row>
    <row r="66" spans="1:10" ht="39" x14ac:dyDescent="0.35">
      <c r="A66" s="18"/>
      <c r="B66" s="27" t="s">
        <v>95</v>
      </c>
      <c r="C66" s="6">
        <f t="shared" si="10"/>
        <v>0</v>
      </c>
      <c r="D66" s="6">
        <f t="shared" si="10"/>
        <v>0</v>
      </c>
      <c r="E66" s="6">
        <f t="shared" si="10"/>
        <v>0</v>
      </c>
      <c r="F66" s="6">
        <f t="shared" si="10"/>
        <v>0</v>
      </c>
      <c r="G66" s="6">
        <f t="shared" si="10"/>
        <v>0</v>
      </c>
      <c r="H66" s="6">
        <f t="shared" si="10"/>
        <v>0</v>
      </c>
      <c r="I66" s="6">
        <f t="shared" si="10"/>
        <v>0</v>
      </c>
      <c r="J66" s="6">
        <f t="shared" si="10"/>
        <v>0</v>
      </c>
    </row>
    <row r="67" spans="1:10" ht="39" x14ac:dyDescent="0.35">
      <c r="A67" s="18"/>
      <c r="B67" s="27" t="s">
        <v>96</v>
      </c>
      <c r="C67" s="6">
        <f>11/(10^5)</f>
        <v>1.1E-4</v>
      </c>
      <c r="D67" s="6">
        <f t="shared" ref="D67:D76" si="11">0/(10^5)</f>
        <v>0</v>
      </c>
      <c r="E67" s="6">
        <f>2/(10^5)</f>
        <v>2.0000000000000002E-5</v>
      </c>
      <c r="F67" s="6">
        <f>2/(10^5)</f>
        <v>2.0000000000000002E-5</v>
      </c>
      <c r="G67" s="6">
        <f>8/(10^5)</f>
        <v>8.0000000000000007E-5</v>
      </c>
      <c r="H67" s="6">
        <f>6/(10^5)</f>
        <v>6.0000000000000002E-5</v>
      </c>
      <c r="I67" s="6">
        <f>0/(10^5)</f>
        <v>0</v>
      </c>
      <c r="J67" s="6">
        <f>5/(10^5)</f>
        <v>5.0000000000000002E-5</v>
      </c>
    </row>
    <row r="68" spans="1:10" ht="52" x14ac:dyDescent="0.35">
      <c r="A68" s="18"/>
      <c r="B68" s="27" t="s">
        <v>97</v>
      </c>
      <c r="C68" s="6">
        <f>0/(10^5)</f>
        <v>0</v>
      </c>
      <c r="D68" s="6">
        <f t="shared" si="11"/>
        <v>0</v>
      </c>
      <c r="E68" s="6">
        <f>0/(10^5)</f>
        <v>0</v>
      </c>
      <c r="F68" s="6">
        <f>0/(10^5)</f>
        <v>0</v>
      </c>
      <c r="G68" s="6">
        <f>0/(10^5)</f>
        <v>0</v>
      </c>
      <c r="H68" s="6">
        <f>0/(10^5)</f>
        <v>0</v>
      </c>
      <c r="I68" s="6">
        <f>0/(10^5)</f>
        <v>0</v>
      </c>
      <c r="J68" s="6">
        <f t="shared" ref="J68:J76" si="12">0/(10^5)</f>
        <v>0</v>
      </c>
    </row>
    <row r="69" spans="1:10" ht="26" x14ac:dyDescent="0.35">
      <c r="A69" s="18"/>
      <c r="B69" s="27" t="s">
        <v>98</v>
      </c>
      <c r="C69" s="6">
        <f>343/(10^5)</f>
        <v>3.4299999999999999E-3</v>
      </c>
      <c r="D69" s="6">
        <f t="shared" si="11"/>
        <v>0</v>
      </c>
      <c r="E69" s="6">
        <f>54/(10^5)</f>
        <v>5.4000000000000001E-4</v>
      </c>
      <c r="F69" s="6">
        <f t="shared" ref="F69:I76" si="13">0/(10^5)</f>
        <v>0</v>
      </c>
      <c r="G69" s="6">
        <f t="shared" si="13"/>
        <v>0</v>
      </c>
      <c r="H69" s="6">
        <f t="shared" si="13"/>
        <v>0</v>
      </c>
      <c r="I69" s="6">
        <f>0/(10^5)</f>
        <v>0</v>
      </c>
      <c r="J69" s="6">
        <f t="shared" si="12"/>
        <v>0</v>
      </c>
    </row>
    <row r="70" spans="1:10" ht="26" x14ac:dyDescent="0.35">
      <c r="A70" s="18"/>
      <c r="B70" s="27" t="s">
        <v>99</v>
      </c>
      <c r="C70" s="6">
        <f t="shared" ref="C70:C76" si="14">0/(10^5)</f>
        <v>0</v>
      </c>
      <c r="D70" s="6">
        <f t="shared" si="11"/>
        <v>0</v>
      </c>
      <c r="E70" s="6">
        <f>0/(10^5)</f>
        <v>0</v>
      </c>
      <c r="F70" s="6">
        <f t="shared" si="13"/>
        <v>0</v>
      </c>
      <c r="G70" s="6">
        <f t="shared" si="13"/>
        <v>0</v>
      </c>
      <c r="H70" s="6">
        <f t="shared" si="13"/>
        <v>0</v>
      </c>
      <c r="I70" s="6">
        <f>28/(10^5)</f>
        <v>2.7999999999999998E-4</v>
      </c>
      <c r="J70" s="6">
        <f t="shared" si="12"/>
        <v>0</v>
      </c>
    </row>
    <row r="71" spans="1:10" x14ac:dyDescent="0.35">
      <c r="A71" s="18"/>
      <c r="B71" s="27" t="s">
        <v>100</v>
      </c>
      <c r="C71" s="6">
        <f t="shared" si="14"/>
        <v>0</v>
      </c>
      <c r="D71" s="6">
        <f t="shared" si="11"/>
        <v>0</v>
      </c>
      <c r="E71" s="6">
        <f>486/(10^5)</f>
        <v>4.8599999999999997E-3</v>
      </c>
      <c r="F71" s="6">
        <f t="shared" si="13"/>
        <v>0</v>
      </c>
      <c r="G71" s="6">
        <f t="shared" si="13"/>
        <v>0</v>
      </c>
      <c r="H71" s="6">
        <f t="shared" si="13"/>
        <v>0</v>
      </c>
      <c r="I71" s="6">
        <f t="shared" si="13"/>
        <v>0</v>
      </c>
      <c r="J71" s="6">
        <f t="shared" si="12"/>
        <v>0</v>
      </c>
    </row>
    <row r="72" spans="1:10" x14ac:dyDescent="0.35">
      <c r="A72" s="18"/>
      <c r="B72" s="27" t="s">
        <v>101</v>
      </c>
      <c r="C72" s="6">
        <f t="shared" si="14"/>
        <v>0</v>
      </c>
      <c r="D72" s="6">
        <f t="shared" si="11"/>
        <v>0</v>
      </c>
      <c r="E72" s="6">
        <f>0/(10^5)</f>
        <v>0</v>
      </c>
      <c r="F72" s="6">
        <f t="shared" si="13"/>
        <v>0</v>
      </c>
      <c r="G72" s="6">
        <f t="shared" si="13"/>
        <v>0</v>
      </c>
      <c r="H72" s="6">
        <f t="shared" si="13"/>
        <v>0</v>
      </c>
      <c r="I72" s="6">
        <f t="shared" si="13"/>
        <v>0</v>
      </c>
      <c r="J72" s="6">
        <f t="shared" si="12"/>
        <v>0</v>
      </c>
    </row>
    <row r="73" spans="1:10" ht="52" x14ac:dyDescent="0.35">
      <c r="A73" s="18"/>
      <c r="B73" s="27" t="s">
        <v>102</v>
      </c>
      <c r="C73" s="6">
        <f t="shared" si="14"/>
        <v>0</v>
      </c>
      <c r="D73" s="6">
        <f t="shared" si="11"/>
        <v>0</v>
      </c>
      <c r="E73" s="6">
        <f>0/(10^5)</f>
        <v>0</v>
      </c>
      <c r="F73" s="6">
        <f t="shared" si="13"/>
        <v>0</v>
      </c>
      <c r="G73" s="6">
        <f t="shared" si="13"/>
        <v>0</v>
      </c>
      <c r="H73" s="6">
        <f t="shared" si="13"/>
        <v>0</v>
      </c>
      <c r="I73" s="6">
        <f t="shared" si="13"/>
        <v>0</v>
      </c>
      <c r="J73" s="6">
        <f t="shared" si="12"/>
        <v>0</v>
      </c>
    </row>
    <row r="74" spans="1:10" ht="39" x14ac:dyDescent="0.35">
      <c r="A74" s="18"/>
      <c r="B74" s="27" t="s">
        <v>103</v>
      </c>
      <c r="C74" s="6">
        <f t="shared" si="14"/>
        <v>0</v>
      </c>
      <c r="D74" s="6">
        <f t="shared" si="11"/>
        <v>0</v>
      </c>
      <c r="E74" s="6">
        <f>0/(10^5)</f>
        <v>0</v>
      </c>
      <c r="F74" s="6">
        <f t="shared" si="13"/>
        <v>0</v>
      </c>
      <c r="G74" s="6">
        <f t="shared" si="13"/>
        <v>0</v>
      </c>
      <c r="H74" s="6">
        <f t="shared" si="13"/>
        <v>0</v>
      </c>
      <c r="I74" s="6">
        <f t="shared" si="13"/>
        <v>0</v>
      </c>
      <c r="J74" s="6">
        <f t="shared" si="12"/>
        <v>0</v>
      </c>
    </row>
    <row r="75" spans="1:10" ht="39" x14ac:dyDescent="0.35">
      <c r="A75" s="17" t="s">
        <v>19</v>
      </c>
      <c r="B75" s="34"/>
      <c r="C75" s="6">
        <f t="shared" si="14"/>
        <v>0</v>
      </c>
      <c r="D75" s="6">
        <f t="shared" si="11"/>
        <v>0</v>
      </c>
      <c r="E75" s="6">
        <f>0/(10^5)</f>
        <v>0</v>
      </c>
      <c r="F75" s="6">
        <f t="shared" si="13"/>
        <v>0</v>
      </c>
      <c r="G75" s="6">
        <f t="shared" si="13"/>
        <v>0</v>
      </c>
      <c r="H75" s="6">
        <f t="shared" si="13"/>
        <v>0</v>
      </c>
      <c r="I75" s="6">
        <f t="shared" si="13"/>
        <v>0</v>
      </c>
      <c r="J75" s="6">
        <f t="shared" si="12"/>
        <v>0</v>
      </c>
    </row>
    <row r="76" spans="1:10" ht="26" x14ac:dyDescent="0.35">
      <c r="A76" s="18"/>
      <c r="B76" s="27" t="s">
        <v>104</v>
      </c>
      <c r="C76" s="6">
        <f t="shared" si="14"/>
        <v>0</v>
      </c>
      <c r="D76" s="6">
        <f t="shared" si="11"/>
        <v>0</v>
      </c>
      <c r="E76" s="6">
        <f>0/(10^5)</f>
        <v>0</v>
      </c>
      <c r="F76" s="6">
        <f t="shared" si="13"/>
        <v>0</v>
      </c>
      <c r="G76" s="6">
        <f t="shared" si="13"/>
        <v>0</v>
      </c>
      <c r="H76" s="6">
        <f t="shared" si="13"/>
        <v>0</v>
      </c>
      <c r="I76" s="6">
        <f t="shared" si="13"/>
        <v>0</v>
      </c>
      <c r="J76" s="6">
        <f t="shared" si="12"/>
        <v>0</v>
      </c>
    </row>
    <row r="77" spans="1:10" ht="39" x14ac:dyDescent="0.35">
      <c r="A77" s="18"/>
      <c r="B77" s="27" t="s">
        <v>105</v>
      </c>
      <c r="C77" s="6">
        <f>19015/(10^5)</f>
        <v>0.19015000000000001</v>
      </c>
      <c r="D77" s="6">
        <f>822/(10^5)</f>
        <v>8.2199999999999999E-3</v>
      </c>
      <c r="E77" s="6">
        <f>2116/(10^5)</f>
        <v>2.1160000000000002E-2</v>
      </c>
      <c r="F77" s="6">
        <f>1502/(10^5)</f>
        <v>1.502E-2</v>
      </c>
      <c r="G77" s="6">
        <f>9534/(10^5)</f>
        <v>9.5339999999999994E-2</v>
      </c>
      <c r="H77" s="6">
        <f>5034/(10^5)</f>
        <v>5.0340000000000003E-2</v>
      </c>
      <c r="I77" s="6">
        <f>318/(10^5)</f>
        <v>3.1800000000000001E-3</v>
      </c>
      <c r="J77" s="6">
        <f>5005/(10^5)</f>
        <v>5.0049999999999997E-2</v>
      </c>
    </row>
    <row r="78" spans="1:10" ht="39" x14ac:dyDescent="0.35">
      <c r="A78" s="18"/>
      <c r="B78" s="27" t="s">
        <v>106</v>
      </c>
      <c r="C78" s="6">
        <f t="shared" ref="C78:J89" si="15">0/(10^5)</f>
        <v>0</v>
      </c>
      <c r="D78" s="6">
        <f t="shared" si="15"/>
        <v>0</v>
      </c>
      <c r="E78" s="6">
        <f t="shared" si="15"/>
        <v>0</v>
      </c>
      <c r="F78" s="6">
        <f t="shared" si="15"/>
        <v>0</v>
      </c>
      <c r="G78" s="6">
        <f t="shared" si="15"/>
        <v>0</v>
      </c>
      <c r="H78" s="6">
        <f t="shared" si="15"/>
        <v>0</v>
      </c>
      <c r="I78" s="6">
        <f t="shared" si="15"/>
        <v>0</v>
      </c>
      <c r="J78" s="6">
        <f t="shared" si="15"/>
        <v>0</v>
      </c>
    </row>
    <row r="79" spans="1:10" ht="39" x14ac:dyDescent="0.35">
      <c r="A79" s="18"/>
      <c r="B79" s="27" t="s">
        <v>107</v>
      </c>
      <c r="C79" s="6">
        <f t="shared" si="15"/>
        <v>0</v>
      </c>
      <c r="D79" s="6">
        <f t="shared" si="15"/>
        <v>0</v>
      </c>
      <c r="E79" s="6">
        <f t="shared" si="15"/>
        <v>0</v>
      </c>
      <c r="F79" s="6">
        <f t="shared" si="15"/>
        <v>0</v>
      </c>
      <c r="G79" s="6">
        <f t="shared" si="15"/>
        <v>0</v>
      </c>
      <c r="H79" s="6">
        <f t="shared" si="15"/>
        <v>0</v>
      </c>
      <c r="I79" s="6">
        <f t="shared" si="15"/>
        <v>0</v>
      </c>
      <c r="J79" s="6">
        <f t="shared" si="15"/>
        <v>0</v>
      </c>
    </row>
    <row r="80" spans="1:10" ht="52" x14ac:dyDescent="0.35">
      <c r="A80" s="18"/>
      <c r="B80" s="27" t="s">
        <v>108</v>
      </c>
      <c r="C80" s="6">
        <f t="shared" si="15"/>
        <v>0</v>
      </c>
      <c r="D80" s="6">
        <f t="shared" si="15"/>
        <v>0</v>
      </c>
      <c r="E80" s="6">
        <f t="shared" si="15"/>
        <v>0</v>
      </c>
      <c r="F80" s="6">
        <f t="shared" si="15"/>
        <v>0</v>
      </c>
      <c r="G80" s="6">
        <f t="shared" si="15"/>
        <v>0</v>
      </c>
      <c r="H80" s="6">
        <f t="shared" si="15"/>
        <v>0</v>
      </c>
      <c r="I80" s="6">
        <f t="shared" si="15"/>
        <v>0</v>
      </c>
      <c r="J80" s="6">
        <f t="shared" si="15"/>
        <v>0</v>
      </c>
    </row>
    <row r="81" spans="1:10" ht="26" x14ac:dyDescent="0.35">
      <c r="A81" s="18"/>
      <c r="B81" s="27" t="s">
        <v>109</v>
      </c>
      <c r="C81" s="6">
        <f t="shared" si="15"/>
        <v>0</v>
      </c>
      <c r="D81" s="6">
        <f t="shared" si="15"/>
        <v>0</v>
      </c>
      <c r="E81" s="6">
        <f t="shared" si="15"/>
        <v>0</v>
      </c>
      <c r="F81" s="6">
        <f t="shared" si="15"/>
        <v>0</v>
      </c>
      <c r="G81" s="6">
        <f t="shared" si="15"/>
        <v>0</v>
      </c>
      <c r="H81" s="6">
        <f t="shared" si="15"/>
        <v>0</v>
      </c>
      <c r="I81" s="6">
        <f t="shared" si="15"/>
        <v>0</v>
      </c>
      <c r="J81" s="6">
        <f t="shared" si="15"/>
        <v>0</v>
      </c>
    </row>
    <row r="82" spans="1:10" ht="26" x14ac:dyDescent="0.35">
      <c r="A82" s="18"/>
      <c r="B82" s="27" t="s">
        <v>110</v>
      </c>
      <c r="C82" s="6">
        <f t="shared" si="15"/>
        <v>0</v>
      </c>
      <c r="D82" s="6">
        <f t="shared" si="15"/>
        <v>0</v>
      </c>
      <c r="E82" s="6">
        <f t="shared" si="15"/>
        <v>0</v>
      </c>
      <c r="F82" s="6">
        <f t="shared" si="15"/>
        <v>0</v>
      </c>
      <c r="G82" s="6">
        <f t="shared" si="15"/>
        <v>0</v>
      </c>
      <c r="H82" s="6">
        <f t="shared" si="15"/>
        <v>0</v>
      </c>
      <c r="I82" s="6">
        <f t="shared" si="15"/>
        <v>0</v>
      </c>
      <c r="J82" s="6">
        <f t="shared" si="15"/>
        <v>0</v>
      </c>
    </row>
    <row r="83" spans="1:10" ht="26" x14ac:dyDescent="0.35">
      <c r="A83" s="18"/>
      <c r="B83" s="27" t="s">
        <v>111</v>
      </c>
      <c r="C83" s="6">
        <f t="shared" si="15"/>
        <v>0</v>
      </c>
      <c r="D83" s="6">
        <f t="shared" si="15"/>
        <v>0</v>
      </c>
      <c r="E83" s="6">
        <f t="shared" si="15"/>
        <v>0</v>
      </c>
      <c r="F83" s="6">
        <f t="shared" si="15"/>
        <v>0</v>
      </c>
      <c r="G83" s="6">
        <f t="shared" si="15"/>
        <v>0</v>
      </c>
      <c r="H83" s="6">
        <f t="shared" si="15"/>
        <v>0</v>
      </c>
      <c r="I83" s="6">
        <f t="shared" si="15"/>
        <v>0</v>
      </c>
      <c r="J83" s="6">
        <f t="shared" si="15"/>
        <v>0</v>
      </c>
    </row>
    <row r="84" spans="1:10" ht="65" x14ac:dyDescent="0.35">
      <c r="A84" s="18"/>
      <c r="B84" s="27" t="s">
        <v>112</v>
      </c>
      <c r="C84" s="6">
        <f t="shared" si="15"/>
        <v>0</v>
      </c>
      <c r="D84" s="6">
        <f t="shared" si="15"/>
        <v>0</v>
      </c>
      <c r="E84" s="6">
        <f t="shared" si="15"/>
        <v>0</v>
      </c>
      <c r="F84" s="6">
        <f t="shared" si="15"/>
        <v>0</v>
      </c>
      <c r="G84" s="6">
        <f t="shared" si="15"/>
        <v>0</v>
      </c>
      <c r="H84" s="6">
        <f t="shared" si="15"/>
        <v>0</v>
      </c>
      <c r="I84" s="6">
        <f t="shared" si="15"/>
        <v>0</v>
      </c>
      <c r="J84" s="6">
        <f t="shared" si="15"/>
        <v>0</v>
      </c>
    </row>
    <row r="85" spans="1:10" ht="52" x14ac:dyDescent="0.35">
      <c r="A85" s="18"/>
      <c r="B85" s="27" t="s">
        <v>113</v>
      </c>
      <c r="C85" s="6">
        <f t="shared" si="15"/>
        <v>0</v>
      </c>
      <c r="D85" s="6">
        <f t="shared" si="15"/>
        <v>0</v>
      </c>
      <c r="E85" s="6">
        <f t="shared" si="15"/>
        <v>0</v>
      </c>
      <c r="F85" s="6">
        <f t="shared" si="15"/>
        <v>0</v>
      </c>
      <c r="G85" s="6">
        <f t="shared" si="15"/>
        <v>0</v>
      </c>
      <c r="H85" s="6">
        <f t="shared" si="15"/>
        <v>0</v>
      </c>
      <c r="I85" s="6">
        <f t="shared" si="15"/>
        <v>0</v>
      </c>
      <c r="J85" s="6">
        <f t="shared" si="15"/>
        <v>0</v>
      </c>
    </row>
    <row r="86" spans="1:10" ht="39" x14ac:dyDescent="0.35">
      <c r="A86" s="18"/>
      <c r="B86" s="27" t="s">
        <v>114</v>
      </c>
      <c r="C86" s="6">
        <f t="shared" si="15"/>
        <v>0</v>
      </c>
      <c r="D86" s="6">
        <f t="shared" si="15"/>
        <v>0</v>
      </c>
      <c r="E86" s="6">
        <f t="shared" si="15"/>
        <v>0</v>
      </c>
      <c r="F86" s="6">
        <f t="shared" si="15"/>
        <v>0</v>
      </c>
      <c r="G86" s="6">
        <f t="shared" si="15"/>
        <v>0</v>
      </c>
      <c r="H86" s="6">
        <f t="shared" si="15"/>
        <v>0</v>
      </c>
      <c r="I86" s="6">
        <f t="shared" si="15"/>
        <v>0</v>
      </c>
      <c r="J86" s="6">
        <f t="shared" si="15"/>
        <v>0</v>
      </c>
    </row>
    <row r="87" spans="1:10" ht="39" x14ac:dyDescent="0.35">
      <c r="A87" s="18"/>
      <c r="B87" s="27" t="s">
        <v>115</v>
      </c>
      <c r="C87" s="6">
        <f t="shared" si="15"/>
        <v>0</v>
      </c>
      <c r="D87" s="6">
        <f t="shared" si="15"/>
        <v>0</v>
      </c>
      <c r="E87" s="6">
        <f t="shared" si="15"/>
        <v>0</v>
      </c>
      <c r="F87" s="6">
        <f t="shared" si="15"/>
        <v>0</v>
      </c>
      <c r="G87" s="6">
        <f t="shared" si="15"/>
        <v>0</v>
      </c>
      <c r="H87" s="6">
        <f t="shared" si="15"/>
        <v>0</v>
      </c>
      <c r="I87" s="6">
        <f t="shared" si="15"/>
        <v>0</v>
      </c>
      <c r="J87" s="6">
        <f t="shared" si="15"/>
        <v>0</v>
      </c>
    </row>
    <row r="88" spans="1:10" ht="52" x14ac:dyDescent="0.35">
      <c r="A88" s="18"/>
      <c r="B88" s="27" t="s">
        <v>116</v>
      </c>
      <c r="C88" s="6">
        <f t="shared" si="15"/>
        <v>0</v>
      </c>
      <c r="D88" s="6">
        <f t="shared" si="15"/>
        <v>0</v>
      </c>
      <c r="E88" s="6">
        <f t="shared" si="15"/>
        <v>0</v>
      </c>
      <c r="F88" s="6">
        <f t="shared" si="15"/>
        <v>0</v>
      </c>
      <c r="G88" s="6">
        <f t="shared" si="15"/>
        <v>0</v>
      </c>
      <c r="H88" s="6">
        <f t="shared" si="15"/>
        <v>0</v>
      </c>
      <c r="I88" s="6">
        <f t="shared" si="15"/>
        <v>0</v>
      </c>
      <c r="J88" s="6">
        <f t="shared" si="15"/>
        <v>0</v>
      </c>
    </row>
    <row r="89" spans="1:10" ht="26" x14ac:dyDescent="0.35">
      <c r="A89" s="18"/>
      <c r="B89" s="27" t="s">
        <v>117</v>
      </c>
      <c r="C89" s="6">
        <f t="shared" si="15"/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</row>
    <row r="90" spans="1:10" ht="52" x14ac:dyDescent="0.35">
      <c r="A90" s="18"/>
      <c r="B90" s="27" t="s">
        <v>118</v>
      </c>
      <c r="C90" s="6">
        <f>506863/(10^5)</f>
        <v>5.0686299999999997</v>
      </c>
      <c r="D90" s="6">
        <f>21923/(10^5)</f>
        <v>0.21923000000000001</v>
      </c>
      <c r="E90" s="6">
        <f>56398/(10^5)</f>
        <v>0.56398000000000004</v>
      </c>
      <c r="F90" s="6">
        <f>40044/(10^5)</f>
        <v>0.40044000000000002</v>
      </c>
      <c r="G90" s="6">
        <f>254130/(10^5)</f>
        <v>2.5413000000000001</v>
      </c>
      <c r="H90" s="6">
        <f>134174/(10^5)</f>
        <v>1.3417399999999999</v>
      </c>
      <c r="I90" s="6">
        <f>8472/(10^5)</f>
        <v>8.4720000000000004E-2</v>
      </c>
      <c r="J90" s="6">
        <f>133405/(10^5)</f>
        <v>1.33405</v>
      </c>
    </row>
    <row r="91" spans="1:10" ht="15" thickBot="1" x14ac:dyDescent="0.4">
      <c r="A91" s="19"/>
      <c r="B91" s="19"/>
      <c r="C91" s="15"/>
      <c r="D91" s="15"/>
      <c r="E91" s="15"/>
      <c r="F91" s="15"/>
      <c r="G91" s="15"/>
      <c r="H91" s="15"/>
      <c r="I91" s="15"/>
      <c r="J91" s="15"/>
    </row>
    <row r="92" spans="1:10" ht="39.5" thickBot="1" x14ac:dyDescent="0.4">
      <c r="A92" s="20" t="s">
        <v>20</v>
      </c>
      <c r="B92" s="35"/>
      <c r="C92" s="10">
        <f t="shared" ref="C92:J92" si="16">SUM(C21:C91)</f>
        <v>7.1087899999999999</v>
      </c>
      <c r="D92" s="10">
        <f t="shared" si="16"/>
        <v>0.26483000000000001</v>
      </c>
      <c r="E92" s="10">
        <f t="shared" si="16"/>
        <v>0.61648000000000003</v>
      </c>
      <c r="F92" s="10">
        <f t="shared" si="16"/>
        <v>0.43439</v>
      </c>
      <c r="G92" s="10">
        <f t="shared" si="16"/>
        <v>2.8044099999999998</v>
      </c>
      <c r="H92" s="10">
        <f t="shared" si="16"/>
        <v>1.5410200000000001</v>
      </c>
      <c r="I92" s="10">
        <f t="shared" si="16"/>
        <v>9.4300000000000009E-2</v>
      </c>
      <c r="J92" s="10">
        <f t="shared" si="16"/>
        <v>1.9138600000000001</v>
      </c>
    </row>
    <row r="93" spans="1:10" ht="91.5" thickBot="1" x14ac:dyDescent="0.4">
      <c r="A93" s="9" t="s">
        <v>21</v>
      </c>
      <c r="B93" s="29"/>
      <c r="C93" s="10">
        <f t="shared" ref="C93:J93" si="17">C6-C15-C20-C92</f>
        <v>-18.36063</v>
      </c>
      <c r="D93" s="10">
        <f t="shared" si="17"/>
        <v>0.98463000000000001</v>
      </c>
      <c r="E93" s="10">
        <f t="shared" si="17"/>
        <v>-1.8785300000000005</v>
      </c>
      <c r="F93" s="10">
        <f t="shared" si="17"/>
        <v>3.9585200000000005</v>
      </c>
      <c r="G93" s="10">
        <f t="shared" si="17"/>
        <v>20.994510000000002</v>
      </c>
      <c r="H93" s="10">
        <f t="shared" si="17"/>
        <v>7.4826000000000015</v>
      </c>
      <c r="I93" s="10">
        <f t="shared" si="17"/>
        <v>0.49427000000000004</v>
      </c>
      <c r="J93" s="10">
        <f t="shared" si="17"/>
        <v>-0.47223000000000015</v>
      </c>
    </row>
    <row r="94" spans="1:10" ht="39.5" thickBot="1" x14ac:dyDescent="0.4">
      <c r="A94" s="16" t="s">
        <v>22</v>
      </c>
      <c r="B94" s="33"/>
      <c r="C94" s="21">
        <f t="shared" ref="C94:J94" si="18">C93/C6</f>
        <v>-2.4111484210540142</v>
      </c>
      <c r="D94" s="21">
        <f t="shared" si="18"/>
        <v>0.72946362424062816</v>
      </c>
      <c r="E94" s="21">
        <f t="shared" si="18"/>
        <v>-0.63663876368319405</v>
      </c>
      <c r="F94" s="21">
        <f t="shared" si="18"/>
        <v>0.75136615652101291</v>
      </c>
      <c r="G94" s="21">
        <f t="shared" si="18"/>
        <v>0.7044943729736296</v>
      </c>
      <c r="H94" s="21">
        <f t="shared" si="18"/>
        <v>0.60147970470212997</v>
      </c>
      <c r="I94" s="21">
        <f t="shared" si="18"/>
        <v>0.38922268857932574</v>
      </c>
      <c r="J94" s="21">
        <f t="shared" si="18"/>
        <v>-0.17986288326033145</v>
      </c>
    </row>
    <row r="95" spans="1:10" ht="39" x14ac:dyDescent="0.35">
      <c r="A95" s="17" t="s">
        <v>23</v>
      </c>
      <c r="B95" s="34"/>
      <c r="C95" s="12">
        <f>SUM(C96:C164)</f>
        <v>2.8344800000000001</v>
      </c>
      <c r="D95" s="12">
        <f t="shared" ref="D95:J95" si="19">SUM(D96:D164)</f>
        <v>9.4299999999999995E-2</v>
      </c>
      <c r="E95" s="12">
        <f t="shared" si="19"/>
        <v>1.5562300000000002</v>
      </c>
      <c r="F95" s="12">
        <f t="shared" si="19"/>
        <v>0.26277</v>
      </c>
      <c r="G95" s="12">
        <f t="shared" si="19"/>
        <v>1.55633</v>
      </c>
      <c r="H95" s="12">
        <f t="shared" si="19"/>
        <v>1.00041</v>
      </c>
      <c r="I95" s="12">
        <f t="shared" si="19"/>
        <v>0.22032999999999997</v>
      </c>
      <c r="J95" s="12">
        <f t="shared" si="19"/>
        <v>0.97124999999999995</v>
      </c>
    </row>
    <row r="96" spans="1:10" ht="39" x14ac:dyDescent="0.35">
      <c r="A96" s="18"/>
      <c r="B96" s="27" t="s">
        <v>54</v>
      </c>
      <c r="C96" s="6">
        <f>1337/(10^5)</f>
        <v>1.337E-2</v>
      </c>
      <c r="D96" s="6">
        <f>0/(10^5)</f>
        <v>0</v>
      </c>
      <c r="E96" s="6">
        <f>73/(10^5)</f>
        <v>7.2999999999999996E-4</v>
      </c>
      <c r="F96" s="6">
        <f>227/(10^5)</f>
        <v>2.2699999999999999E-3</v>
      </c>
      <c r="G96" s="6">
        <f>6334/(10^5)</f>
        <v>6.3339999999999994E-2</v>
      </c>
      <c r="H96" s="6">
        <f>2820/(10^5)</f>
        <v>2.8199999999999999E-2</v>
      </c>
      <c r="I96" s="6">
        <f>0/(10^5)</f>
        <v>0</v>
      </c>
      <c r="J96" s="6">
        <f>54/(10^5)</f>
        <v>5.4000000000000001E-4</v>
      </c>
    </row>
    <row r="97" spans="1:10" ht="39" x14ac:dyDescent="0.35">
      <c r="A97" s="18"/>
      <c r="B97" s="27" t="s">
        <v>55</v>
      </c>
      <c r="C97" s="6">
        <f>0/(10^5)</f>
        <v>0</v>
      </c>
      <c r="D97" s="6">
        <f>0/(10^5)</f>
        <v>0</v>
      </c>
      <c r="E97" s="6">
        <f t="shared" ref="E97:H99" si="20">0/(10^5)</f>
        <v>0</v>
      </c>
      <c r="F97" s="6">
        <f t="shared" si="20"/>
        <v>0</v>
      </c>
      <c r="G97" s="6">
        <f t="shared" si="20"/>
        <v>0</v>
      </c>
      <c r="H97" s="6">
        <f t="shared" si="20"/>
        <v>0</v>
      </c>
      <c r="I97" s="6">
        <f>0/(10^5)</f>
        <v>0</v>
      </c>
      <c r="J97" s="6">
        <f t="shared" ref="J97:J99" si="21">0/(10^5)</f>
        <v>0</v>
      </c>
    </row>
    <row r="98" spans="1:10" ht="26" x14ac:dyDescent="0.35">
      <c r="A98" s="18"/>
      <c r="B98" s="27" t="s">
        <v>56</v>
      </c>
      <c r="C98" s="6">
        <f>0/(10^5)</f>
        <v>0</v>
      </c>
      <c r="D98" s="6">
        <f>0/(10^5)</f>
        <v>0</v>
      </c>
      <c r="E98" s="6">
        <f t="shared" si="20"/>
        <v>0</v>
      </c>
      <c r="F98" s="6">
        <f t="shared" si="20"/>
        <v>0</v>
      </c>
      <c r="G98" s="6">
        <f t="shared" si="20"/>
        <v>0</v>
      </c>
      <c r="H98" s="6">
        <f t="shared" si="20"/>
        <v>0</v>
      </c>
      <c r="I98" s="6">
        <f>0/(10^5)</f>
        <v>0</v>
      </c>
      <c r="J98" s="6">
        <f t="shared" si="21"/>
        <v>0</v>
      </c>
    </row>
    <row r="99" spans="1:10" ht="39" x14ac:dyDescent="0.35">
      <c r="A99" s="18"/>
      <c r="B99" s="27" t="s">
        <v>57</v>
      </c>
      <c r="C99" s="6">
        <f>986/(10^5)</f>
        <v>9.8600000000000007E-3</v>
      </c>
      <c r="D99" s="6">
        <f>0/(10^5)</f>
        <v>0</v>
      </c>
      <c r="E99" s="6">
        <f t="shared" si="20"/>
        <v>0</v>
      </c>
      <c r="F99" s="6">
        <f t="shared" si="20"/>
        <v>0</v>
      </c>
      <c r="G99" s="6">
        <f t="shared" si="20"/>
        <v>0</v>
      </c>
      <c r="H99" s="6">
        <f t="shared" si="20"/>
        <v>0</v>
      </c>
      <c r="I99" s="6">
        <f>0/(10^5)</f>
        <v>0</v>
      </c>
      <c r="J99" s="6">
        <f t="shared" si="21"/>
        <v>0</v>
      </c>
    </row>
    <row r="100" spans="1:10" ht="26" x14ac:dyDescent="0.35">
      <c r="A100" s="18"/>
      <c r="B100" s="27" t="s">
        <v>58</v>
      </c>
      <c r="C100" s="6">
        <f>11211/(10^5)</f>
        <v>0.11211</v>
      </c>
      <c r="D100" s="6">
        <f>0/(10^5)</f>
        <v>0</v>
      </c>
      <c r="E100" s="6">
        <f>117/(10^5)</f>
        <v>1.17E-3</v>
      </c>
      <c r="F100" s="6">
        <f>59/(10^5)</f>
        <v>5.9000000000000003E-4</v>
      </c>
      <c r="G100" s="6">
        <f>1624/(10^5)</f>
        <v>1.6240000000000001E-2</v>
      </c>
      <c r="H100" s="6">
        <f>2776/(10^5)</f>
        <v>2.776E-2</v>
      </c>
      <c r="I100" s="6">
        <f>0/(10^5)</f>
        <v>0</v>
      </c>
      <c r="J100" s="6">
        <f>59/(10^5)</f>
        <v>5.9000000000000003E-4</v>
      </c>
    </row>
    <row r="101" spans="1:10" ht="39" x14ac:dyDescent="0.35">
      <c r="A101" s="18"/>
      <c r="B101" s="27" t="s">
        <v>59</v>
      </c>
      <c r="C101" s="6">
        <f>7398/(10^5)</f>
        <v>7.3980000000000004E-2</v>
      </c>
      <c r="D101" s="6">
        <f>78/(10^5)</f>
        <v>7.7999999999999999E-4</v>
      </c>
      <c r="E101" s="6">
        <f>602/(10^5)</f>
        <v>6.0200000000000002E-3</v>
      </c>
      <c r="F101" s="6">
        <f>621/(10^5)</f>
        <v>6.2100000000000002E-3</v>
      </c>
      <c r="G101" s="6">
        <f>2200/(10^5)</f>
        <v>2.1999999999999999E-2</v>
      </c>
      <c r="H101" s="6">
        <f>2215/(10^5)</f>
        <v>2.215E-2</v>
      </c>
      <c r="I101" s="6">
        <f>104/(10^5)</f>
        <v>1.0399999999999999E-3</v>
      </c>
      <c r="J101" s="6">
        <f>2976/(10^5)</f>
        <v>2.9760000000000002E-2</v>
      </c>
    </row>
    <row r="102" spans="1:10" ht="26" x14ac:dyDescent="0.35">
      <c r="A102" s="18"/>
      <c r="B102" s="27" t="s">
        <v>60</v>
      </c>
      <c r="C102" s="6">
        <f t="shared" ref="C102:J104" si="22">0/(10^5)</f>
        <v>0</v>
      </c>
      <c r="D102" s="6">
        <f t="shared" si="22"/>
        <v>0</v>
      </c>
      <c r="E102" s="6">
        <f t="shared" si="22"/>
        <v>0</v>
      </c>
      <c r="F102" s="6">
        <f t="shared" si="22"/>
        <v>0</v>
      </c>
      <c r="G102" s="6">
        <f t="shared" si="22"/>
        <v>0</v>
      </c>
      <c r="H102" s="6">
        <f t="shared" si="22"/>
        <v>0</v>
      </c>
      <c r="I102" s="6">
        <f t="shared" si="22"/>
        <v>0</v>
      </c>
      <c r="J102" s="6">
        <f t="shared" si="22"/>
        <v>0</v>
      </c>
    </row>
    <row r="103" spans="1:10" ht="39" x14ac:dyDescent="0.35">
      <c r="A103" s="18"/>
      <c r="B103" s="27" t="s">
        <v>61</v>
      </c>
      <c r="C103" s="6">
        <f t="shared" si="22"/>
        <v>0</v>
      </c>
      <c r="D103" s="6">
        <f t="shared" si="22"/>
        <v>0</v>
      </c>
      <c r="E103" s="6">
        <f t="shared" si="22"/>
        <v>0</v>
      </c>
      <c r="F103" s="6">
        <f t="shared" si="22"/>
        <v>0</v>
      </c>
      <c r="G103" s="6">
        <f t="shared" si="22"/>
        <v>0</v>
      </c>
      <c r="H103" s="6">
        <f t="shared" si="22"/>
        <v>0</v>
      </c>
      <c r="I103" s="6">
        <f t="shared" si="22"/>
        <v>0</v>
      </c>
      <c r="J103" s="6">
        <f t="shared" si="22"/>
        <v>0</v>
      </c>
    </row>
    <row r="104" spans="1:10" ht="26" x14ac:dyDescent="0.35">
      <c r="A104" s="17" t="s">
        <v>17</v>
      </c>
      <c r="B104" s="34"/>
      <c r="C104" s="6">
        <f t="shared" si="22"/>
        <v>0</v>
      </c>
      <c r="D104" s="6">
        <f t="shared" si="22"/>
        <v>0</v>
      </c>
      <c r="E104" s="6">
        <f t="shared" si="22"/>
        <v>0</v>
      </c>
      <c r="F104" s="6">
        <f t="shared" si="22"/>
        <v>0</v>
      </c>
      <c r="G104" s="6">
        <f t="shared" si="22"/>
        <v>0</v>
      </c>
      <c r="H104" s="6">
        <f t="shared" si="22"/>
        <v>0</v>
      </c>
      <c r="I104" s="6">
        <f t="shared" si="22"/>
        <v>0</v>
      </c>
      <c r="J104" s="6">
        <f t="shared" si="22"/>
        <v>0</v>
      </c>
    </row>
    <row r="105" spans="1:10" ht="26" x14ac:dyDescent="0.35">
      <c r="A105" s="18"/>
      <c r="B105" s="27" t="s">
        <v>62</v>
      </c>
      <c r="C105" s="6">
        <f>517/(10^5)</f>
        <v>5.1700000000000001E-3</v>
      </c>
      <c r="D105" s="6">
        <f>0/(10^5)</f>
        <v>0</v>
      </c>
      <c r="E105" s="6">
        <f>1337/(10^5)</f>
        <v>1.337E-2</v>
      </c>
      <c r="F105" s="6">
        <f>2813/(10^5)</f>
        <v>2.8129999999999999E-2</v>
      </c>
      <c r="G105" s="6">
        <f>17403/(10^5)</f>
        <v>0.17402999999999999</v>
      </c>
      <c r="H105" s="6">
        <f>14626/(10^5)</f>
        <v>0.14626</v>
      </c>
      <c r="I105" s="6">
        <f>3058/(10^5)</f>
        <v>3.058E-2</v>
      </c>
      <c r="J105" s="6">
        <f>334/(10^5)</f>
        <v>3.3400000000000001E-3</v>
      </c>
    </row>
    <row r="106" spans="1:10" ht="39" x14ac:dyDescent="0.35">
      <c r="A106" s="18"/>
      <c r="B106" s="27" t="s">
        <v>63</v>
      </c>
      <c r="C106" s="6">
        <f>102181/(10^5)</f>
        <v>1.0218100000000001</v>
      </c>
      <c r="D106" s="6">
        <f>3584/(10^5)</f>
        <v>3.5839999999999997E-2</v>
      </c>
      <c r="E106" s="6">
        <f>688/(10^5)</f>
        <v>6.8799999999999998E-3</v>
      </c>
      <c r="F106" s="6">
        <f>2365/(10^5)</f>
        <v>2.3650000000000001E-2</v>
      </c>
      <c r="G106" s="6">
        <f>8746/(10^5)</f>
        <v>8.7459999999999996E-2</v>
      </c>
      <c r="H106" s="6">
        <f>7646/(10^5)</f>
        <v>7.646E-2</v>
      </c>
      <c r="I106" s="6">
        <f>3956/(10^5)</f>
        <v>3.9559999999999998E-2</v>
      </c>
      <c r="J106" s="6">
        <f>56683/(10^5)</f>
        <v>0.56682999999999995</v>
      </c>
    </row>
    <row r="107" spans="1:10" ht="39" x14ac:dyDescent="0.35">
      <c r="A107" s="18"/>
      <c r="B107" s="27" t="s">
        <v>64</v>
      </c>
      <c r="C107" s="6">
        <f>0/(10^5)</f>
        <v>0</v>
      </c>
      <c r="D107" s="6">
        <f>0/(10^5)</f>
        <v>0</v>
      </c>
      <c r="E107" s="6">
        <f>806/(10^5)</f>
        <v>8.0599999999999995E-3</v>
      </c>
      <c r="F107" s="6">
        <f>0/(10^5)</f>
        <v>0</v>
      </c>
      <c r="G107" s="6">
        <f>0/(10^5)</f>
        <v>0</v>
      </c>
      <c r="H107" s="6">
        <f>0/(10^5)</f>
        <v>0</v>
      </c>
      <c r="I107" s="6">
        <f>4442/(10^5)</f>
        <v>4.4420000000000001E-2</v>
      </c>
      <c r="J107" s="6">
        <f>0/(10^5)</f>
        <v>0</v>
      </c>
    </row>
    <row r="108" spans="1:10" x14ac:dyDescent="0.35">
      <c r="A108" s="18"/>
      <c r="B108" s="27" t="s">
        <v>65</v>
      </c>
      <c r="C108" s="6">
        <f>8173/(10^5)</f>
        <v>8.1729999999999997E-2</v>
      </c>
      <c r="D108" s="6">
        <f>210/(10^5)</f>
        <v>2.0999999999999999E-3</v>
      </c>
      <c r="E108" s="6">
        <f>627/(10^5)</f>
        <v>6.2700000000000004E-3</v>
      </c>
      <c r="F108" s="6">
        <f>935/(10^5)</f>
        <v>9.3500000000000007E-3</v>
      </c>
      <c r="G108" s="6">
        <f>4376/(10^5)</f>
        <v>4.376E-2</v>
      </c>
      <c r="H108" s="6">
        <f>3551/(10^5)</f>
        <v>3.551E-2</v>
      </c>
      <c r="I108" s="6">
        <f>367/(10^5)</f>
        <v>3.6700000000000001E-3</v>
      </c>
      <c r="J108" s="6">
        <f>951/(10^5)</f>
        <v>9.5099999999999994E-3</v>
      </c>
    </row>
    <row r="109" spans="1:10" ht="39" x14ac:dyDescent="0.35">
      <c r="A109" s="18"/>
      <c r="B109" s="27" t="s">
        <v>66</v>
      </c>
      <c r="C109" s="6">
        <f t="shared" ref="C109:J124" si="23">0/(10^5)</f>
        <v>0</v>
      </c>
      <c r="D109" s="6">
        <f t="shared" si="23"/>
        <v>0</v>
      </c>
      <c r="E109" s="6">
        <f t="shared" si="23"/>
        <v>0</v>
      </c>
      <c r="F109" s="6">
        <f t="shared" si="23"/>
        <v>0</v>
      </c>
      <c r="G109" s="6">
        <f t="shared" si="23"/>
        <v>0</v>
      </c>
      <c r="H109" s="6">
        <f t="shared" si="23"/>
        <v>0</v>
      </c>
      <c r="I109" s="6">
        <f t="shared" si="23"/>
        <v>0</v>
      </c>
      <c r="J109" s="6">
        <f t="shared" si="23"/>
        <v>0</v>
      </c>
    </row>
    <row r="110" spans="1:10" ht="39" x14ac:dyDescent="0.35">
      <c r="A110" s="17" t="s">
        <v>18</v>
      </c>
      <c r="B110" s="34"/>
      <c r="C110" s="6">
        <f t="shared" si="23"/>
        <v>0</v>
      </c>
      <c r="D110" s="6">
        <f t="shared" si="23"/>
        <v>0</v>
      </c>
      <c r="E110" s="6">
        <f t="shared" si="23"/>
        <v>0</v>
      </c>
      <c r="F110" s="6">
        <f t="shared" si="23"/>
        <v>0</v>
      </c>
      <c r="G110" s="6">
        <f t="shared" si="23"/>
        <v>0</v>
      </c>
      <c r="H110" s="6">
        <f t="shared" si="23"/>
        <v>0</v>
      </c>
      <c r="I110" s="6">
        <f t="shared" si="23"/>
        <v>0</v>
      </c>
      <c r="J110" s="6">
        <f t="shared" si="23"/>
        <v>0</v>
      </c>
    </row>
    <row r="111" spans="1:10" ht="26" x14ac:dyDescent="0.35">
      <c r="A111" s="18"/>
      <c r="B111" s="27" t="s">
        <v>67</v>
      </c>
      <c r="C111" s="6">
        <f>3169/(10^5)</f>
        <v>3.1690000000000003E-2</v>
      </c>
      <c r="D111" s="6">
        <f t="shared" si="23"/>
        <v>0</v>
      </c>
      <c r="E111" s="6">
        <f t="shared" si="23"/>
        <v>0</v>
      </c>
      <c r="F111" s="6">
        <f t="shared" si="23"/>
        <v>0</v>
      </c>
      <c r="G111" s="6">
        <f t="shared" si="23"/>
        <v>0</v>
      </c>
      <c r="H111" s="6">
        <f t="shared" si="23"/>
        <v>0</v>
      </c>
      <c r="I111" s="6">
        <f t="shared" si="23"/>
        <v>0</v>
      </c>
      <c r="J111" s="6">
        <f t="shared" si="23"/>
        <v>0</v>
      </c>
    </row>
    <row r="112" spans="1:10" ht="26" x14ac:dyDescent="0.35">
      <c r="A112" s="18"/>
      <c r="B112" s="27" t="s">
        <v>68</v>
      </c>
      <c r="C112" s="6">
        <f>16503/(10^5)</f>
        <v>0.16503000000000001</v>
      </c>
      <c r="D112" s="6">
        <f>439/(10^5)</f>
        <v>4.3899999999999998E-3</v>
      </c>
      <c r="E112" s="6">
        <f>751/(10^5)</f>
        <v>7.5100000000000002E-3</v>
      </c>
      <c r="F112" s="6">
        <f>1326/(10^5)</f>
        <v>1.3259999999999999E-2</v>
      </c>
      <c r="G112" s="6">
        <f>7724/(10^5)</f>
        <v>7.7240000000000003E-2</v>
      </c>
      <c r="H112" s="6">
        <f>11262/(10^5)</f>
        <v>0.11262</v>
      </c>
      <c r="I112" s="6">
        <f t="shared" si="23"/>
        <v>0</v>
      </c>
      <c r="J112" s="6">
        <f>1308/(10^5)</f>
        <v>1.308E-2</v>
      </c>
    </row>
    <row r="113" spans="1:10" x14ac:dyDescent="0.35">
      <c r="A113" s="18"/>
      <c r="B113" s="27" t="s">
        <v>69</v>
      </c>
      <c r="C113" s="6">
        <f t="shared" ref="C113:H128" si="24">0/(10^5)</f>
        <v>0</v>
      </c>
      <c r="D113" s="6">
        <f t="shared" si="24"/>
        <v>0</v>
      </c>
      <c r="E113" s="6">
        <f t="shared" si="24"/>
        <v>0</v>
      </c>
      <c r="F113" s="6">
        <f t="shared" si="24"/>
        <v>0</v>
      </c>
      <c r="G113" s="6">
        <f t="shared" si="24"/>
        <v>0</v>
      </c>
      <c r="H113" s="6">
        <f t="shared" si="24"/>
        <v>0</v>
      </c>
      <c r="I113" s="6">
        <f t="shared" si="23"/>
        <v>0</v>
      </c>
      <c r="J113" s="6">
        <f t="shared" si="23"/>
        <v>0</v>
      </c>
    </row>
    <row r="114" spans="1:10" ht="39" x14ac:dyDescent="0.35">
      <c r="A114" s="18"/>
      <c r="B114" s="27" t="s">
        <v>70</v>
      </c>
      <c r="C114" s="6">
        <f t="shared" si="24"/>
        <v>0</v>
      </c>
      <c r="D114" s="6">
        <f t="shared" si="24"/>
        <v>0</v>
      </c>
      <c r="E114" s="6">
        <f t="shared" si="24"/>
        <v>0</v>
      </c>
      <c r="F114" s="6">
        <f t="shared" si="24"/>
        <v>0</v>
      </c>
      <c r="G114" s="6">
        <f t="shared" si="24"/>
        <v>0</v>
      </c>
      <c r="H114" s="6">
        <f t="shared" si="24"/>
        <v>0</v>
      </c>
      <c r="I114" s="6">
        <f t="shared" si="23"/>
        <v>0</v>
      </c>
      <c r="J114" s="6">
        <f t="shared" si="23"/>
        <v>0</v>
      </c>
    </row>
    <row r="115" spans="1:10" x14ac:dyDescent="0.35">
      <c r="A115" s="18"/>
      <c r="B115" s="27" t="s">
        <v>71</v>
      </c>
      <c r="C115" s="6">
        <f t="shared" si="24"/>
        <v>0</v>
      </c>
      <c r="D115" s="6">
        <f t="shared" si="24"/>
        <v>0</v>
      </c>
      <c r="E115" s="6">
        <f t="shared" si="24"/>
        <v>0</v>
      </c>
      <c r="F115" s="6">
        <f t="shared" si="24"/>
        <v>0</v>
      </c>
      <c r="G115" s="6">
        <f t="shared" si="24"/>
        <v>0</v>
      </c>
      <c r="H115" s="6">
        <f t="shared" si="24"/>
        <v>0</v>
      </c>
      <c r="I115" s="6">
        <f t="shared" si="23"/>
        <v>0</v>
      </c>
      <c r="J115" s="6">
        <f t="shared" si="23"/>
        <v>0</v>
      </c>
    </row>
    <row r="116" spans="1:10" ht="39" x14ac:dyDescent="0.35">
      <c r="A116" s="18"/>
      <c r="B116" s="27" t="s">
        <v>72</v>
      </c>
      <c r="C116" s="6">
        <f t="shared" si="24"/>
        <v>0</v>
      </c>
      <c r="D116" s="6">
        <f t="shared" si="24"/>
        <v>0</v>
      </c>
      <c r="E116" s="6">
        <f t="shared" si="24"/>
        <v>0</v>
      </c>
      <c r="F116" s="6">
        <f t="shared" si="24"/>
        <v>0</v>
      </c>
      <c r="G116" s="6">
        <f t="shared" si="24"/>
        <v>0</v>
      </c>
      <c r="H116" s="6">
        <f t="shared" si="24"/>
        <v>0</v>
      </c>
      <c r="I116" s="6">
        <f t="shared" si="23"/>
        <v>0</v>
      </c>
      <c r="J116" s="6">
        <f t="shared" si="23"/>
        <v>0</v>
      </c>
    </row>
    <row r="117" spans="1:10" ht="26" x14ac:dyDescent="0.35">
      <c r="A117" s="18"/>
      <c r="B117" s="27" t="s">
        <v>73</v>
      </c>
      <c r="C117" s="6">
        <f t="shared" si="24"/>
        <v>0</v>
      </c>
      <c r="D117" s="6">
        <f t="shared" si="24"/>
        <v>0</v>
      </c>
      <c r="E117" s="6">
        <f t="shared" si="24"/>
        <v>0</v>
      </c>
      <c r="F117" s="6">
        <f t="shared" si="24"/>
        <v>0</v>
      </c>
      <c r="G117" s="6">
        <f t="shared" si="24"/>
        <v>0</v>
      </c>
      <c r="H117" s="6">
        <f t="shared" si="24"/>
        <v>0</v>
      </c>
      <c r="I117" s="6">
        <f t="shared" si="23"/>
        <v>0</v>
      </c>
      <c r="J117" s="6">
        <f t="shared" si="23"/>
        <v>0</v>
      </c>
    </row>
    <row r="118" spans="1:10" ht="39" x14ac:dyDescent="0.35">
      <c r="A118" s="18"/>
      <c r="B118" s="27" t="s">
        <v>74</v>
      </c>
      <c r="C118" s="6">
        <f t="shared" si="24"/>
        <v>0</v>
      </c>
      <c r="D118" s="6">
        <f t="shared" si="24"/>
        <v>0</v>
      </c>
      <c r="E118" s="6">
        <f t="shared" si="24"/>
        <v>0</v>
      </c>
      <c r="F118" s="6">
        <f t="shared" si="24"/>
        <v>0</v>
      </c>
      <c r="G118" s="6">
        <f t="shared" si="24"/>
        <v>0</v>
      </c>
      <c r="H118" s="6">
        <f t="shared" si="24"/>
        <v>0</v>
      </c>
      <c r="I118" s="6">
        <f t="shared" si="23"/>
        <v>0</v>
      </c>
      <c r="J118" s="6">
        <f t="shared" si="23"/>
        <v>0</v>
      </c>
    </row>
    <row r="119" spans="1:10" ht="39" x14ac:dyDescent="0.35">
      <c r="A119" s="18"/>
      <c r="B119" s="27" t="s">
        <v>75</v>
      </c>
      <c r="C119" s="6">
        <f t="shared" si="24"/>
        <v>0</v>
      </c>
      <c r="D119" s="6">
        <f t="shared" si="24"/>
        <v>0</v>
      </c>
      <c r="E119" s="6">
        <f t="shared" si="24"/>
        <v>0</v>
      </c>
      <c r="F119" s="6">
        <f t="shared" si="24"/>
        <v>0</v>
      </c>
      <c r="G119" s="6">
        <f t="shared" si="24"/>
        <v>0</v>
      </c>
      <c r="H119" s="6">
        <f t="shared" si="24"/>
        <v>0</v>
      </c>
      <c r="I119" s="6">
        <f t="shared" si="23"/>
        <v>0</v>
      </c>
      <c r="J119" s="6">
        <f t="shared" si="23"/>
        <v>0</v>
      </c>
    </row>
    <row r="120" spans="1:10" ht="26" x14ac:dyDescent="0.35">
      <c r="A120" s="18"/>
      <c r="B120" s="27" t="s">
        <v>76</v>
      </c>
      <c r="C120" s="6">
        <f t="shared" si="24"/>
        <v>0</v>
      </c>
      <c r="D120" s="6">
        <f t="shared" si="24"/>
        <v>0</v>
      </c>
      <c r="E120" s="6">
        <f t="shared" si="24"/>
        <v>0</v>
      </c>
      <c r="F120" s="6">
        <f t="shared" si="24"/>
        <v>0</v>
      </c>
      <c r="G120" s="6">
        <f t="shared" si="24"/>
        <v>0</v>
      </c>
      <c r="H120" s="6">
        <f t="shared" si="24"/>
        <v>0</v>
      </c>
      <c r="I120" s="6">
        <f t="shared" si="23"/>
        <v>0</v>
      </c>
      <c r="J120" s="6">
        <f t="shared" si="23"/>
        <v>0</v>
      </c>
    </row>
    <row r="121" spans="1:10" ht="39" x14ac:dyDescent="0.35">
      <c r="A121" s="18"/>
      <c r="B121" s="27" t="s">
        <v>77</v>
      </c>
      <c r="C121" s="6">
        <f t="shared" si="24"/>
        <v>0</v>
      </c>
      <c r="D121" s="6">
        <f t="shared" si="24"/>
        <v>0</v>
      </c>
      <c r="E121" s="6">
        <f t="shared" si="24"/>
        <v>0</v>
      </c>
      <c r="F121" s="6">
        <f t="shared" si="24"/>
        <v>0</v>
      </c>
      <c r="G121" s="6">
        <f t="shared" si="24"/>
        <v>0</v>
      </c>
      <c r="H121" s="6">
        <f t="shared" si="24"/>
        <v>0</v>
      </c>
      <c r="I121" s="6">
        <f t="shared" si="23"/>
        <v>0</v>
      </c>
      <c r="J121" s="6">
        <f t="shared" si="23"/>
        <v>0</v>
      </c>
    </row>
    <row r="122" spans="1:10" ht="26" x14ac:dyDescent="0.35">
      <c r="A122" s="18"/>
      <c r="B122" s="27" t="s">
        <v>78</v>
      </c>
      <c r="C122" s="6">
        <f>6171/(10^5)</f>
        <v>6.1710000000000001E-2</v>
      </c>
      <c r="D122" s="6">
        <f t="shared" si="24"/>
        <v>0</v>
      </c>
      <c r="E122" s="6">
        <f t="shared" si="24"/>
        <v>0</v>
      </c>
      <c r="F122" s="6">
        <f t="shared" si="24"/>
        <v>0</v>
      </c>
      <c r="G122" s="6">
        <f t="shared" si="24"/>
        <v>0</v>
      </c>
      <c r="H122" s="6">
        <f t="shared" si="24"/>
        <v>0</v>
      </c>
      <c r="I122" s="6">
        <f t="shared" si="23"/>
        <v>0</v>
      </c>
      <c r="J122" s="6">
        <f t="shared" si="23"/>
        <v>0</v>
      </c>
    </row>
    <row r="123" spans="1:10" ht="26" x14ac:dyDescent="0.35">
      <c r="A123" s="18"/>
      <c r="B123" s="27" t="s">
        <v>80</v>
      </c>
      <c r="C123" s="6">
        <f>0/(10^5)</f>
        <v>0</v>
      </c>
      <c r="D123" s="6">
        <f t="shared" si="24"/>
        <v>0</v>
      </c>
      <c r="E123" s="6">
        <f t="shared" si="24"/>
        <v>0</v>
      </c>
      <c r="F123" s="6">
        <f t="shared" si="24"/>
        <v>0</v>
      </c>
      <c r="G123" s="6">
        <f t="shared" si="24"/>
        <v>0</v>
      </c>
      <c r="H123" s="6">
        <f t="shared" si="24"/>
        <v>0</v>
      </c>
      <c r="I123" s="6">
        <f t="shared" si="23"/>
        <v>0</v>
      </c>
      <c r="J123" s="6">
        <f t="shared" si="23"/>
        <v>0</v>
      </c>
    </row>
    <row r="124" spans="1:10" ht="39" x14ac:dyDescent="0.35">
      <c r="A124" s="18"/>
      <c r="B124" s="27" t="s">
        <v>81</v>
      </c>
      <c r="C124" s="6">
        <f>0/(10^5)</f>
        <v>0</v>
      </c>
      <c r="D124" s="6">
        <f t="shared" si="24"/>
        <v>0</v>
      </c>
      <c r="E124" s="6">
        <f t="shared" si="24"/>
        <v>0</v>
      </c>
      <c r="F124" s="6">
        <f t="shared" si="24"/>
        <v>0</v>
      </c>
      <c r="G124" s="6">
        <f t="shared" si="24"/>
        <v>0</v>
      </c>
      <c r="H124" s="6">
        <f t="shared" si="24"/>
        <v>0</v>
      </c>
      <c r="I124" s="6">
        <f t="shared" si="23"/>
        <v>0</v>
      </c>
      <c r="J124" s="6">
        <f t="shared" si="23"/>
        <v>0</v>
      </c>
    </row>
    <row r="125" spans="1:10" ht="26" x14ac:dyDescent="0.35">
      <c r="A125" s="18"/>
      <c r="B125" s="27" t="s">
        <v>82</v>
      </c>
      <c r="C125" s="6">
        <f>399/(10^5)</f>
        <v>3.9899999999999996E-3</v>
      </c>
      <c r="D125" s="6">
        <f t="shared" si="24"/>
        <v>0</v>
      </c>
      <c r="E125" s="6">
        <f t="shared" si="24"/>
        <v>0</v>
      </c>
      <c r="F125" s="6">
        <f t="shared" si="24"/>
        <v>0</v>
      </c>
      <c r="G125" s="6">
        <f t="shared" si="24"/>
        <v>0</v>
      </c>
      <c r="H125" s="6">
        <f>30/(10^5)</f>
        <v>2.9999999999999997E-4</v>
      </c>
      <c r="I125" s="6">
        <f t="shared" ref="I125:J130" si="25">0/(10^5)</f>
        <v>0</v>
      </c>
      <c r="J125" s="6">
        <f>29/(10^5)</f>
        <v>2.9E-4</v>
      </c>
    </row>
    <row r="126" spans="1:10" ht="39" x14ac:dyDescent="0.35">
      <c r="A126" s="18"/>
      <c r="B126" s="27" t="s">
        <v>83</v>
      </c>
      <c r="C126" s="6">
        <f>0/(10^5)</f>
        <v>0</v>
      </c>
      <c r="D126" s="6">
        <f t="shared" si="24"/>
        <v>0</v>
      </c>
      <c r="E126" s="6">
        <f t="shared" si="24"/>
        <v>0</v>
      </c>
      <c r="F126" s="6">
        <f t="shared" si="24"/>
        <v>0</v>
      </c>
      <c r="G126" s="6">
        <f t="shared" si="24"/>
        <v>0</v>
      </c>
      <c r="H126" s="6">
        <f>0/(10^5)</f>
        <v>0</v>
      </c>
      <c r="I126" s="6">
        <f t="shared" si="25"/>
        <v>0</v>
      </c>
      <c r="J126" s="6">
        <f>1/(10^5)</f>
        <v>1.0000000000000001E-5</v>
      </c>
    </row>
    <row r="127" spans="1:10" ht="39" x14ac:dyDescent="0.35">
      <c r="A127" s="18"/>
      <c r="B127" s="27" t="s">
        <v>84</v>
      </c>
      <c r="C127" s="6">
        <f>709/(10^5)</f>
        <v>7.0899999999999999E-3</v>
      </c>
      <c r="D127" s="6">
        <f t="shared" si="24"/>
        <v>0</v>
      </c>
      <c r="E127" s="6">
        <f>193/(10^5)</f>
        <v>1.9300000000000001E-3</v>
      </c>
      <c r="F127" s="6">
        <f t="shared" si="24"/>
        <v>0</v>
      </c>
      <c r="G127" s="6">
        <f t="shared" si="24"/>
        <v>0</v>
      </c>
      <c r="H127" s="6">
        <f>0/(10^5)</f>
        <v>0</v>
      </c>
      <c r="I127" s="6">
        <f t="shared" si="25"/>
        <v>0</v>
      </c>
      <c r="J127" s="6">
        <f t="shared" si="25"/>
        <v>0</v>
      </c>
    </row>
    <row r="128" spans="1:10" ht="26" x14ac:dyDescent="0.35">
      <c r="A128" s="18"/>
      <c r="B128" s="27" t="s">
        <v>85</v>
      </c>
      <c r="C128" s="6">
        <f t="shared" ref="C128:H138" si="26">0/(10^5)</f>
        <v>0</v>
      </c>
      <c r="D128" s="6">
        <f t="shared" si="24"/>
        <v>0</v>
      </c>
      <c r="E128" s="6">
        <f t="shared" si="24"/>
        <v>0</v>
      </c>
      <c r="F128" s="6">
        <f t="shared" si="24"/>
        <v>0</v>
      </c>
      <c r="G128" s="6">
        <f t="shared" si="24"/>
        <v>0</v>
      </c>
      <c r="H128" s="6">
        <f>0/(10^5)</f>
        <v>0</v>
      </c>
      <c r="I128" s="6">
        <f>5763/(10^5)</f>
        <v>5.7630000000000001E-2</v>
      </c>
      <c r="J128" s="6">
        <f t="shared" si="25"/>
        <v>0</v>
      </c>
    </row>
    <row r="129" spans="1:10" ht="26" x14ac:dyDescent="0.35">
      <c r="A129" s="18"/>
      <c r="B129" s="27" t="s">
        <v>86</v>
      </c>
      <c r="C129" s="6">
        <f t="shared" si="26"/>
        <v>0</v>
      </c>
      <c r="D129" s="6">
        <f t="shared" si="26"/>
        <v>0</v>
      </c>
      <c r="E129" s="6">
        <f t="shared" si="26"/>
        <v>0</v>
      </c>
      <c r="F129" s="6">
        <f t="shared" si="26"/>
        <v>0</v>
      </c>
      <c r="G129" s="6">
        <f t="shared" si="26"/>
        <v>0</v>
      </c>
      <c r="H129" s="6">
        <f>0/(10^5)</f>
        <v>0</v>
      </c>
      <c r="I129" s="6">
        <f t="shared" ref="I129:J138" si="27">0/(10^5)</f>
        <v>0</v>
      </c>
      <c r="J129" s="6">
        <f t="shared" si="25"/>
        <v>0</v>
      </c>
    </row>
    <row r="130" spans="1:10" ht="26" x14ac:dyDescent="0.35">
      <c r="A130" s="18"/>
      <c r="B130" s="27" t="s">
        <v>87</v>
      </c>
      <c r="C130" s="6">
        <f t="shared" si="26"/>
        <v>0</v>
      </c>
      <c r="D130" s="6">
        <f t="shared" si="26"/>
        <v>0</v>
      </c>
      <c r="E130" s="6">
        <f t="shared" si="26"/>
        <v>0</v>
      </c>
      <c r="F130" s="6">
        <f>7517/(10^5)</f>
        <v>7.5170000000000001E-2</v>
      </c>
      <c r="G130" s="6">
        <f>43489/(10^5)</f>
        <v>0.43489</v>
      </c>
      <c r="H130" s="6">
        <f>20184/(10^5)</f>
        <v>0.20183999999999999</v>
      </c>
      <c r="I130" s="6">
        <f t="shared" si="27"/>
        <v>0</v>
      </c>
      <c r="J130" s="6">
        <f t="shared" si="25"/>
        <v>0</v>
      </c>
    </row>
    <row r="131" spans="1:10" x14ac:dyDescent="0.35">
      <c r="A131" s="18"/>
      <c r="B131" s="27" t="s">
        <v>88</v>
      </c>
      <c r="C131" s="6">
        <f t="shared" si="26"/>
        <v>0</v>
      </c>
      <c r="D131" s="6">
        <f t="shared" si="26"/>
        <v>0</v>
      </c>
      <c r="E131" s="6">
        <f t="shared" si="26"/>
        <v>0</v>
      </c>
      <c r="F131" s="6">
        <f t="shared" si="26"/>
        <v>0</v>
      </c>
      <c r="G131" s="6">
        <f t="shared" si="26"/>
        <v>0</v>
      </c>
      <c r="H131" s="6">
        <f>15/(10^5)</f>
        <v>1.4999999999999999E-4</v>
      </c>
      <c r="I131" s="6">
        <f t="shared" si="27"/>
        <v>0</v>
      </c>
      <c r="J131" s="6">
        <f>3/(10^5)</f>
        <v>3.0000000000000001E-5</v>
      </c>
    </row>
    <row r="132" spans="1:10" ht="26" x14ac:dyDescent="0.35">
      <c r="A132" s="18"/>
      <c r="B132" s="27" t="s">
        <v>89</v>
      </c>
      <c r="C132" s="6">
        <f t="shared" si="26"/>
        <v>0</v>
      </c>
      <c r="D132" s="6">
        <f t="shared" si="26"/>
        <v>0</v>
      </c>
      <c r="E132" s="6">
        <f t="shared" si="26"/>
        <v>0</v>
      </c>
      <c r="F132" s="6">
        <f t="shared" si="26"/>
        <v>0</v>
      </c>
      <c r="G132" s="6">
        <f t="shared" si="26"/>
        <v>0</v>
      </c>
      <c r="H132" s="6">
        <f t="shared" si="26"/>
        <v>0</v>
      </c>
      <c r="I132" s="6">
        <f t="shared" si="27"/>
        <v>0</v>
      </c>
      <c r="J132" s="6">
        <f t="shared" si="27"/>
        <v>0</v>
      </c>
    </row>
    <row r="133" spans="1:10" ht="52" x14ac:dyDescent="0.35">
      <c r="A133" s="18"/>
      <c r="B133" s="27" t="s">
        <v>90</v>
      </c>
      <c r="C133" s="6">
        <f t="shared" si="26"/>
        <v>0</v>
      </c>
      <c r="D133" s="6">
        <f t="shared" si="26"/>
        <v>0</v>
      </c>
      <c r="E133" s="6">
        <f t="shared" si="26"/>
        <v>0</v>
      </c>
      <c r="F133" s="6">
        <f t="shared" si="26"/>
        <v>0</v>
      </c>
      <c r="G133" s="6">
        <f t="shared" si="26"/>
        <v>0</v>
      </c>
      <c r="H133" s="6">
        <f t="shared" si="26"/>
        <v>0</v>
      </c>
      <c r="I133" s="6">
        <f t="shared" si="27"/>
        <v>0</v>
      </c>
      <c r="J133" s="6">
        <f t="shared" si="27"/>
        <v>0</v>
      </c>
    </row>
    <row r="134" spans="1:10" ht="39" x14ac:dyDescent="0.35">
      <c r="A134" s="18"/>
      <c r="B134" s="27" t="s">
        <v>91</v>
      </c>
      <c r="C134" s="6">
        <f t="shared" si="26"/>
        <v>0</v>
      </c>
      <c r="D134" s="6">
        <f t="shared" si="26"/>
        <v>0</v>
      </c>
      <c r="E134" s="6">
        <f t="shared" si="26"/>
        <v>0</v>
      </c>
      <c r="F134" s="6">
        <f t="shared" si="26"/>
        <v>0</v>
      </c>
      <c r="G134" s="6">
        <f t="shared" si="26"/>
        <v>0</v>
      </c>
      <c r="H134" s="6">
        <f t="shared" si="26"/>
        <v>0</v>
      </c>
      <c r="I134" s="6">
        <f t="shared" si="27"/>
        <v>0</v>
      </c>
      <c r="J134" s="6">
        <f t="shared" si="27"/>
        <v>0</v>
      </c>
    </row>
    <row r="135" spans="1:10" ht="39" x14ac:dyDescent="0.35">
      <c r="A135" s="18"/>
      <c r="B135" s="27" t="s">
        <v>92</v>
      </c>
      <c r="C135" s="6">
        <f t="shared" si="26"/>
        <v>0</v>
      </c>
      <c r="D135" s="6">
        <f t="shared" si="26"/>
        <v>0</v>
      </c>
      <c r="E135" s="6">
        <f t="shared" si="26"/>
        <v>0</v>
      </c>
      <c r="F135" s="6">
        <f t="shared" si="26"/>
        <v>0</v>
      </c>
      <c r="G135" s="6">
        <f t="shared" si="26"/>
        <v>0</v>
      </c>
      <c r="H135" s="6">
        <f t="shared" si="26"/>
        <v>0</v>
      </c>
      <c r="I135" s="6">
        <f t="shared" si="27"/>
        <v>0</v>
      </c>
      <c r="J135" s="6">
        <f t="shared" si="27"/>
        <v>0</v>
      </c>
    </row>
    <row r="136" spans="1:10" x14ac:dyDescent="0.35">
      <c r="A136" s="18"/>
      <c r="B136" s="27" t="s">
        <v>93</v>
      </c>
      <c r="C136" s="6">
        <f t="shared" si="26"/>
        <v>0</v>
      </c>
      <c r="D136" s="6">
        <f t="shared" si="26"/>
        <v>0</v>
      </c>
      <c r="E136" s="6">
        <f t="shared" si="26"/>
        <v>0</v>
      </c>
      <c r="F136" s="6">
        <f>0/(10^5)</f>
        <v>0</v>
      </c>
      <c r="G136" s="6">
        <f>3/(10^5)</f>
        <v>3.0000000000000001E-5</v>
      </c>
      <c r="H136" s="6">
        <f t="shared" si="26"/>
        <v>0</v>
      </c>
      <c r="I136" s="6">
        <f t="shared" si="27"/>
        <v>0</v>
      </c>
      <c r="J136" s="6">
        <f t="shared" si="27"/>
        <v>0</v>
      </c>
    </row>
    <row r="137" spans="1:10" ht="39" x14ac:dyDescent="0.35">
      <c r="A137" s="18"/>
      <c r="B137" s="27" t="s">
        <v>94</v>
      </c>
      <c r="C137" s="6">
        <f t="shared" si="26"/>
        <v>0</v>
      </c>
      <c r="D137" s="6">
        <f t="shared" si="26"/>
        <v>0</v>
      </c>
      <c r="E137" s="6">
        <f t="shared" si="26"/>
        <v>0</v>
      </c>
      <c r="F137" s="6">
        <f>0/(10^5)</f>
        <v>0</v>
      </c>
      <c r="G137" s="6">
        <f>0/(10^5)</f>
        <v>0</v>
      </c>
      <c r="H137" s="6">
        <f t="shared" si="26"/>
        <v>0</v>
      </c>
      <c r="I137" s="6">
        <f t="shared" si="27"/>
        <v>0</v>
      </c>
      <c r="J137" s="6">
        <f t="shared" si="27"/>
        <v>0</v>
      </c>
    </row>
    <row r="138" spans="1:10" ht="39" x14ac:dyDescent="0.35">
      <c r="A138" s="18"/>
      <c r="B138" s="27" t="s">
        <v>95</v>
      </c>
      <c r="C138" s="6">
        <f t="shared" si="26"/>
        <v>0</v>
      </c>
      <c r="D138" s="6">
        <f t="shared" si="26"/>
        <v>0</v>
      </c>
      <c r="E138" s="6">
        <f t="shared" si="26"/>
        <v>0</v>
      </c>
      <c r="F138" s="6">
        <f>0/(10^5)</f>
        <v>0</v>
      </c>
      <c r="G138" s="6">
        <f>0/(10^5)</f>
        <v>0</v>
      </c>
      <c r="H138" s="6">
        <f t="shared" si="26"/>
        <v>0</v>
      </c>
      <c r="I138" s="6">
        <f t="shared" si="27"/>
        <v>0</v>
      </c>
      <c r="J138" s="6">
        <f t="shared" si="27"/>
        <v>0</v>
      </c>
    </row>
    <row r="139" spans="1:10" ht="39" x14ac:dyDescent="0.35">
      <c r="A139" s="18"/>
      <c r="B139" s="27" t="s">
        <v>96</v>
      </c>
      <c r="C139" s="6">
        <f>7638/(10^5)</f>
        <v>7.6380000000000003E-2</v>
      </c>
      <c r="D139" s="6">
        <f>102/(10^5)</f>
        <v>1.0200000000000001E-3</v>
      </c>
      <c r="E139" s="6">
        <f>1210/(10^5)</f>
        <v>1.21E-2</v>
      </c>
      <c r="F139" s="6">
        <f>1181/(10^5)</f>
        <v>1.1809999999999999E-2</v>
      </c>
      <c r="G139" s="6">
        <f>5565/(10^5)</f>
        <v>5.5649999999999998E-2</v>
      </c>
      <c r="H139" s="6">
        <f>4003/(10^5)</f>
        <v>4.0030000000000003E-2</v>
      </c>
      <c r="I139" s="6">
        <f>199/(10^5)</f>
        <v>1.99E-3</v>
      </c>
      <c r="J139" s="6">
        <f>3135/(10^5)</f>
        <v>3.1350000000000003E-2</v>
      </c>
    </row>
    <row r="140" spans="1:10" ht="52" x14ac:dyDescent="0.35">
      <c r="A140" s="18"/>
      <c r="B140" s="27" t="s">
        <v>97</v>
      </c>
      <c r="C140" s="6">
        <f t="shared" ref="C140:J143" si="28">0/(10^5)</f>
        <v>0</v>
      </c>
      <c r="D140" s="6">
        <f t="shared" si="28"/>
        <v>0</v>
      </c>
      <c r="E140" s="6">
        <f t="shared" si="28"/>
        <v>0</v>
      </c>
      <c r="F140" s="6">
        <f t="shared" si="28"/>
        <v>0</v>
      </c>
      <c r="G140" s="6">
        <f t="shared" si="28"/>
        <v>0</v>
      </c>
      <c r="H140" s="6">
        <f t="shared" si="28"/>
        <v>0</v>
      </c>
      <c r="I140" s="6">
        <f t="shared" si="28"/>
        <v>0</v>
      </c>
      <c r="J140" s="6">
        <f t="shared" si="28"/>
        <v>0</v>
      </c>
    </row>
    <row r="141" spans="1:10" ht="26" x14ac:dyDescent="0.35">
      <c r="A141" s="18"/>
      <c r="B141" s="27" t="s">
        <v>98</v>
      </c>
      <c r="C141" s="6">
        <f t="shared" si="28"/>
        <v>0</v>
      </c>
      <c r="D141" s="6">
        <f t="shared" si="28"/>
        <v>0</v>
      </c>
      <c r="E141" s="6">
        <f t="shared" si="28"/>
        <v>0</v>
      </c>
      <c r="F141" s="6">
        <f t="shared" si="28"/>
        <v>0</v>
      </c>
      <c r="G141" s="6">
        <f t="shared" si="28"/>
        <v>0</v>
      </c>
      <c r="H141" s="6">
        <f t="shared" si="28"/>
        <v>0</v>
      </c>
      <c r="I141" s="6">
        <f t="shared" si="28"/>
        <v>0</v>
      </c>
      <c r="J141" s="6">
        <f t="shared" si="28"/>
        <v>0</v>
      </c>
    </row>
    <row r="142" spans="1:10" ht="26" x14ac:dyDescent="0.35">
      <c r="A142" s="18"/>
      <c r="B142" s="27" t="s">
        <v>99</v>
      </c>
      <c r="C142" s="6">
        <f t="shared" si="28"/>
        <v>0</v>
      </c>
      <c r="D142" s="6">
        <f t="shared" si="28"/>
        <v>0</v>
      </c>
      <c r="E142" s="6">
        <f t="shared" si="28"/>
        <v>0</v>
      </c>
      <c r="F142" s="6">
        <f t="shared" si="28"/>
        <v>0</v>
      </c>
      <c r="G142" s="6">
        <f t="shared" si="28"/>
        <v>0</v>
      </c>
      <c r="H142" s="6">
        <f t="shared" si="28"/>
        <v>0</v>
      </c>
      <c r="I142" s="6">
        <f>2095/(10^5)</f>
        <v>2.095E-2</v>
      </c>
      <c r="J142" s="6">
        <f t="shared" si="28"/>
        <v>0</v>
      </c>
    </row>
    <row r="143" spans="1:10" ht="26" x14ac:dyDescent="0.35">
      <c r="A143" s="18"/>
      <c r="B143" s="27" t="s">
        <v>79</v>
      </c>
      <c r="C143" s="6">
        <f>127/(10^5)</f>
        <v>1.2700000000000001E-3</v>
      </c>
      <c r="D143" s="6">
        <f>0/(10^5)</f>
        <v>0</v>
      </c>
      <c r="E143" s="6">
        <f>0/(10^5)</f>
        <v>0</v>
      </c>
      <c r="F143" s="6">
        <f>0/(10^5)</f>
        <v>0</v>
      </c>
      <c r="G143" s="6">
        <f>36/(10^5)</f>
        <v>3.6000000000000002E-4</v>
      </c>
      <c r="H143" s="6">
        <f t="shared" si="28"/>
        <v>0</v>
      </c>
      <c r="I143" s="6">
        <f t="shared" si="28"/>
        <v>0</v>
      </c>
      <c r="J143" s="6">
        <f t="shared" si="28"/>
        <v>0</v>
      </c>
    </row>
    <row r="144" spans="1:10" x14ac:dyDescent="0.35">
      <c r="A144" s="18"/>
      <c r="B144" s="27" t="s">
        <v>100</v>
      </c>
      <c r="C144" s="6">
        <f t="shared" ref="C144:D148" si="29">0/(10^5)</f>
        <v>0</v>
      </c>
      <c r="D144" s="6">
        <f t="shared" si="29"/>
        <v>0</v>
      </c>
      <c r="E144" s="6">
        <f>136284/(10^5)</f>
        <v>1.3628400000000001</v>
      </c>
      <c r="F144" s="6">
        <f t="shared" ref="F144:J148" si="30">0/(10^5)</f>
        <v>0</v>
      </c>
      <c r="G144" s="6">
        <f t="shared" si="30"/>
        <v>0</v>
      </c>
      <c r="H144" s="6">
        <f t="shared" si="30"/>
        <v>0</v>
      </c>
      <c r="I144" s="6">
        <f t="shared" si="30"/>
        <v>0</v>
      </c>
      <c r="J144" s="6">
        <f t="shared" si="30"/>
        <v>0</v>
      </c>
    </row>
    <row r="145" spans="1:10" x14ac:dyDescent="0.35">
      <c r="A145" s="18"/>
      <c r="B145" s="27" t="s">
        <v>101</v>
      </c>
      <c r="C145" s="6">
        <f t="shared" si="29"/>
        <v>0</v>
      </c>
      <c r="D145" s="6">
        <f t="shared" si="29"/>
        <v>0</v>
      </c>
      <c r="E145" s="6">
        <f>0/(10^5)</f>
        <v>0</v>
      </c>
      <c r="F145" s="6">
        <f t="shared" si="30"/>
        <v>0</v>
      </c>
      <c r="G145" s="6">
        <f t="shared" si="30"/>
        <v>0</v>
      </c>
      <c r="H145" s="6">
        <f t="shared" si="30"/>
        <v>0</v>
      </c>
      <c r="I145" s="6">
        <f t="shared" si="30"/>
        <v>0</v>
      </c>
      <c r="J145" s="6">
        <f t="shared" si="30"/>
        <v>0</v>
      </c>
    </row>
    <row r="146" spans="1:10" ht="52" x14ac:dyDescent="0.35">
      <c r="A146" s="18"/>
      <c r="B146" s="27" t="s">
        <v>102</v>
      </c>
      <c r="C146" s="6">
        <f t="shared" si="29"/>
        <v>0</v>
      </c>
      <c r="D146" s="6">
        <f t="shared" si="29"/>
        <v>0</v>
      </c>
      <c r="E146" s="6">
        <f>0/(10^5)</f>
        <v>0</v>
      </c>
      <c r="F146" s="6">
        <f t="shared" si="30"/>
        <v>0</v>
      </c>
      <c r="G146" s="6">
        <f t="shared" si="30"/>
        <v>0</v>
      </c>
      <c r="H146" s="6">
        <f t="shared" si="30"/>
        <v>0</v>
      </c>
      <c r="I146" s="6">
        <f t="shared" si="30"/>
        <v>0</v>
      </c>
      <c r="J146" s="6">
        <f t="shared" si="30"/>
        <v>0</v>
      </c>
    </row>
    <row r="147" spans="1:10" ht="39" x14ac:dyDescent="0.35">
      <c r="A147" s="18"/>
      <c r="B147" s="27" t="s">
        <v>103</v>
      </c>
      <c r="C147" s="6">
        <f t="shared" si="29"/>
        <v>0</v>
      </c>
      <c r="D147" s="6">
        <f t="shared" si="29"/>
        <v>0</v>
      </c>
      <c r="E147" s="6">
        <f>0/(10^5)</f>
        <v>0</v>
      </c>
      <c r="F147" s="6">
        <f t="shared" si="30"/>
        <v>0</v>
      </c>
      <c r="G147" s="6">
        <f t="shared" si="30"/>
        <v>0</v>
      </c>
      <c r="H147" s="6">
        <f t="shared" si="30"/>
        <v>0</v>
      </c>
      <c r="I147" s="6">
        <f t="shared" si="30"/>
        <v>0</v>
      </c>
      <c r="J147" s="6">
        <f t="shared" si="30"/>
        <v>0</v>
      </c>
    </row>
    <row r="148" spans="1:10" ht="52" x14ac:dyDescent="0.35">
      <c r="A148" s="17" t="s">
        <v>24</v>
      </c>
      <c r="B148" s="34"/>
      <c r="C148" s="6">
        <f t="shared" si="29"/>
        <v>0</v>
      </c>
      <c r="D148" s="6">
        <f t="shared" si="29"/>
        <v>0</v>
      </c>
      <c r="E148" s="6">
        <f>0/(10^5)</f>
        <v>0</v>
      </c>
      <c r="F148" s="6">
        <f t="shared" si="30"/>
        <v>0</v>
      </c>
      <c r="G148" s="6">
        <f t="shared" si="30"/>
        <v>0</v>
      </c>
      <c r="H148" s="6">
        <f t="shared" si="30"/>
        <v>0</v>
      </c>
      <c r="I148" s="6">
        <f t="shared" si="30"/>
        <v>0</v>
      </c>
      <c r="J148" s="6">
        <f t="shared" si="30"/>
        <v>0</v>
      </c>
    </row>
    <row r="149" spans="1:10" ht="26" x14ac:dyDescent="0.35">
      <c r="A149" s="18"/>
      <c r="B149" s="27" t="s">
        <v>104</v>
      </c>
      <c r="C149" s="6">
        <f>4361/(10^5)</f>
        <v>4.3610000000000003E-2</v>
      </c>
      <c r="D149" s="6">
        <f>189/(10^5)</f>
        <v>1.89E-3</v>
      </c>
      <c r="E149" s="6">
        <f>485/(10^5)</f>
        <v>4.8500000000000001E-3</v>
      </c>
      <c r="F149" s="6">
        <f>344/(10^5)</f>
        <v>3.4399999999999999E-3</v>
      </c>
      <c r="G149" s="6">
        <f>2186/(10^5)</f>
        <v>2.1860000000000001E-2</v>
      </c>
      <c r="H149" s="6">
        <f>1154/(10^5)</f>
        <v>1.154E-2</v>
      </c>
      <c r="I149" s="6">
        <f>73/(10^5)</f>
        <v>7.2999999999999996E-4</v>
      </c>
      <c r="J149" s="6">
        <f>1148/(10^5)</f>
        <v>1.1480000000000001E-2</v>
      </c>
    </row>
    <row r="150" spans="1:10" ht="39" x14ac:dyDescent="0.35">
      <c r="A150" s="18"/>
      <c r="B150" s="27" t="s">
        <v>105</v>
      </c>
      <c r="C150" s="6">
        <f>50127/(10^5)</f>
        <v>0.50126999999999999</v>
      </c>
      <c r="D150" s="6">
        <f>2168/(10^5)</f>
        <v>2.1680000000000001E-2</v>
      </c>
      <c r="E150" s="6">
        <f>5578/(10^5)</f>
        <v>5.5780000000000003E-2</v>
      </c>
      <c r="F150" s="6">
        <f>3960/(10^5)</f>
        <v>3.9600000000000003E-2</v>
      </c>
      <c r="G150" s="6">
        <f>25132/(10^5)</f>
        <v>0.25131999999999999</v>
      </c>
      <c r="H150" s="6">
        <f>13269/(10^5)</f>
        <v>0.13269</v>
      </c>
      <c r="I150" s="6">
        <f>838/(10^5)</f>
        <v>8.3800000000000003E-3</v>
      </c>
      <c r="J150" s="6">
        <f>13193/(10^5)</f>
        <v>0.13192999999999999</v>
      </c>
    </row>
    <row r="151" spans="1:10" ht="39" x14ac:dyDescent="0.35">
      <c r="A151" s="18"/>
      <c r="B151" s="27" t="s">
        <v>106</v>
      </c>
      <c r="C151" s="6">
        <f t="shared" ref="C151:J151" si="31">0/(10^5)</f>
        <v>0</v>
      </c>
      <c r="D151" s="6">
        <f t="shared" si="31"/>
        <v>0</v>
      </c>
      <c r="E151" s="6">
        <f t="shared" si="31"/>
        <v>0</v>
      </c>
      <c r="F151" s="6">
        <f t="shared" si="31"/>
        <v>0</v>
      </c>
      <c r="G151" s="6">
        <f t="shared" si="31"/>
        <v>0</v>
      </c>
      <c r="H151" s="6">
        <f t="shared" si="31"/>
        <v>0</v>
      </c>
      <c r="I151" s="6">
        <f t="shared" si="31"/>
        <v>0</v>
      </c>
      <c r="J151" s="6">
        <f t="shared" si="31"/>
        <v>0</v>
      </c>
    </row>
    <row r="152" spans="1:10" ht="26" x14ac:dyDescent="0.35">
      <c r="A152" s="18"/>
      <c r="B152" s="27" t="s">
        <v>109</v>
      </c>
      <c r="C152" s="6">
        <f>2918/(10^5)</f>
        <v>2.9180000000000001E-2</v>
      </c>
      <c r="D152" s="6">
        <f>126/(10^5)</f>
        <v>1.2600000000000001E-3</v>
      </c>
      <c r="E152" s="6">
        <f>325/(10^5)</f>
        <v>3.2499999999999999E-3</v>
      </c>
      <c r="F152" s="6">
        <f>230/(10^5)</f>
        <v>2.3E-3</v>
      </c>
      <c r="G152" s="6">
        <f>1463/(10^5)</f>
        <v>1.4630000000000001E-2</v>
      </c>
      <c r="H152" s="6">
        <f>772/(10^5)</f>
        <v>7.7200000000000003E-3</v>
      </c>
      <c r="I152" s="6">
        <f>49/(10^5)</f>
        <v>4.8999999999999998E-4</v>
      </c>
      <c r="J152" s="6">
        <f>768/(10^5)</f>
        <v>7.6800000000000002E-3</v>
      </c>
    </row>
    <row r="153" spans="1:10" ht="26" x14ac:dyDescent="0.35">
      <c r="A153" s="18"/>
      <c r="B153" s="27" t="s">
        <v>110</v>
      </c>
      <c r="C153" s="6">
        <f>57060/(10^5)</f>
        <v>0.5706</v>
      </c>
      <c r="D153" s="6">
        <f>2468/(10^5)</f>
        <v>2.4680000000000001E-2</v>
      </c>
      <c r="E153" s="6">
        <f>6349/(10^5)</f>
        <v>6.3490000000000005E-2</v>
      </c>
      <c r="F153" s="6">
        <f>4508/(10^5)</f>
        <v>4.5080000000000002E-2</v>
      </c>
      <c r="G153" s="6">
        <f>28609/(10^5)</f>
        <v>0.28609000000000001</v>
      </c>
      <c r="H153" s="6">
        <f>15105/(10^5)</f>
        <v>0.15104999999999999</v>
      </c>
      <c r="I153" s="6">
        <f>954/(10^5)</f>
        <v>9.5399999999999999E-3</v>
      </c>
      <c r="J153" s="6">
        <f>15018/(10^5)</f>
        <v>0.15018000000000001</v>
      </c>
    </row>
    <row r="154" spans="1:10" ht="26" x14ac:dyDescent="0.35">
      <c r="A154" s="18"/>
      <c r="B154" s="27" t="s">
        <v>111</v>
      </c>
      <c r="C154" s="6">
        <f>2463/(10^5)</f>
        <v>2.4629999999999999E-2</v>
      </c>
      <c r="D154" s="6">
        <f>66/(10^5)</f>
        <v>6.6E-4</v>
      </c>
      <c r="E154" s="6">
        <f>198/(10^5)</f>
        <v>1.98E-3</v>
      </c>
      <c r="F154" s="6">
        <f>191/(10^5)</f>
        <v>1.91E-3</v>
      </c>
      <c r="G154" s="6">
        <f>743/(10^5)</f>
        <v>7.43E-3</v>
      </c>
      <c r="H154" s="6">
        <f>613/(10^5)</f>
        <v>6.13E-3</v>
      </c>
      <c r="I154" s="6">
        <f>135/(10^5)</f>
        <v>1.3500000000000001E-3</v>
      </c>
      <c r="J154" s="6">
        <f>1465/(10^5)</f>
        <v>1.465E-2</v>
      </c>
    </row>
    <row r="155" spans="1:10" ht="39" x14ac:dyDescent="0.35">
      <c r="A155" s="18"/>
      <c r="B155" s="27" t="s">
        <v>107</v>
      </c>
      <c r="C155" s="6">
        <f t="shared" ref="C155:J162" si="32">0/(10^5)</f>
        <v>0</v>
      </c>
      <c r="D155" s="6">
        <f t="shared" si="32"/>
        <v>0</v>
      </c>
      <c r="E155" s="6">
        <f t="shared" si="32"/>
        <v>0</v>
      </c>
      <c r="F155" s="6">
        <f t="shared" si="32"/>
        <v>0</v>
      </c>
      <c r="G155" s="6">
        <f t="shared" si="32"/>
        <v>0</v>
      </c>
      <c r="H155" s="6">
        <f t="shared" si="32"/>
        <v>0</v>
      </c>
      <c r="I155" s="6">
        <f t="shared" si="32"/>
        <v>0</v>
      </c>
      <c r="J155" s="6">
        <f t="shared" si="32"/>
        <v>0</v>
      </c>
    </row>
    <row r="156" spans="1:10" ht="52" x14ac:dyDescent="0.35">
      <c r="A156" s="18"/>
      <c r="B156" s="27" t="s">
        <v>108</v>
      </c>
      <c r="C156" s="6">
        <f t="shared" si="32"/>
        <v>0</v>
      </c>
      <c r="D156" s="6">
        <f t="shared" si="32"/>
        <v>0</v>
      </c>
      <c r="E156" s="6">
        <f t="shared" si="32"/>
        <v>0</v>
      </c>
      <c r="F156" s="6">
        <f t="shared" si="32"/>
        <v>0</v>
      </c>
      <c r="G156" s="6">
        <f t="shared" si="32"/>
        <v>0</v>
      </c>
      <c r="H156" s="6">
        <f t="shared" si="32"/>
        <v>0</v>
      </c>
      <c r="I156" s="6">
        <f t="shared" si="32"/>
        <v>0</v>
      </c>
      <c r="J156" s="6">
        <f t="shared" si="32"/>
        <v>0</v>
      </c>
    </row>
    <row r="157" spans="1:10" ht="26" x14ac:dyDescent="0.35">
      <c r="A157" s="18"/>
      <c r="B157" s="27" t="s">
        <v>117</v>
      </c>
      <c r="C157" s="6">
        <f t="shared" si="32"/>
        <v>0</v>
      </c>
      <c r="D157" s="6">
        <f t="shared" si="32"/>
        <v>0</v>
      </c>
      <c r="E157" s="6">
        <f t="shared" si="32"/>
        <v>0</v>
      </c>
      <c r="F157" s="6">
        <f t="shared" si="32"/>
        <v>0</v>
      </c>
      <c r="G157" s="6">
        <f t="shared" si="32"/>
        <v>0</v>
      </c>
      <c r="H157" s="6">
        <f t="shared" si="32"/>
        <v>0</v>
      </c>
      <c r="I157" s="6">
        <f t="shared" si="32"/>
        <v>0</v>
      </c>
      <c r="J157" s="6">
        <f t="shared" si="32"/>
        <v>0</v>
      </c>
    </row>
    <row r="158" spans="1:10" ht="65" x14ac:dyDescent="0.35">
      <c r="A158" s="18"/>
      <c r="B158" s="27" t="s">
        <v>112</v>
      </c>
      <c r="C158" s="6">
        <f t="shared" si="32"/>
        <v>0</v>
      </c>
      <c r="D158" s="6">
        <f t="shared" si="32"/>
        <v>0</v>
      </c>
      <c r="E158" s="6">
        <f t="shared" si="32"/>
        <v>0</v>
      </c>
      <c r="F158" s="6">
        <f t="shared" si="32"/>
        <v>0</v>
      </c>
      <c r="G158" s="6">
        <f t="shared" si="32"/>
        <v>0</v>
      </c>
      <c r="H158" s="6">
        <f t="shared" si="32"/>
        <v>0</v>
      </c>
      <c r="I158" s="6">
        <f t="shared" si="32"/>
        <v>0</v>
      </c>
      <c r="J158" s="6">
        <f t="shared" si="32"/>
        <v>0</v>
      </c>
    </row>
    <row r="159" spans="1:10" ht="52" x14ac:dyDescent="0.35">
      <c r="A159" s="18"/>
      <c r="B159" s="27" t="s">
        <v>113</v>
      </c>
      <c r="C159" s="6">
        <f t="shared" si="32"/>
        <v>0</v>
      </c>
      <c r="D159" s="6">
        <f t="shared" si="32"/>
        <v>0</v>
      </c>
      <c r="E159" s="6">
        <f t="shared" si="32"/>
        <v>0</v>
      </c>
      <c r="F159" s="6">
        <f t="shared" si="32"/>
        <v>0</v>
      </c>
      <c r="G159" s="6">
        <f t="shared" si="32"/>
        <v>0</v>
      </c>
      <c r="H159" s="6">
        <f t="shared" si="32"/>
        <v>0</v>
      </c>
      <c r="I159" s="6">
        <f t="shared" si="32"/>
        <v>0</v>
      </c>
      <c r="J159" s="6">
        <f t="shared" si="32"/>
        <v>0</v>
      </c>
    </row>
    <row r="160" spans="1:10" ht="39" x14ac:dyDescent="0.35">
      <c r="A160" s="18"/>
      <c r="B160" s="27" t="s">
        <v>114</v>
      </c>
      <c r="C160" s="6">
        <f t="shared" si="32"/>
        <v>0</v>
      </c>
      <c r="D160" s="6">
        <f t="shared" si="32"/>
        <v>0</v>
      </c>
      <c r="E160" s="6">
        <f t="shared" si="32"/>
        <v>0</v>
      </c>
      <c r="F160" s="6">
        <f t="shared" si="32"/>
        <v>0</v>
      </c>
      <c r="G160" s="6">
        <f t="shared" si="32"/>
        <v>0</v>
      </c>
      <c r="H160" s="6">
        <f t="shared" si="32"/>
        <v>0</v>
      </c>
      <c r="I160" s="6">
        <f t="shared" si="32"/>
        <v>0</v>
      </c>
      <c r="J160" s="6">
        <f t="shared" si="32"/>
        <v>0</v>
      </c>
    </row>
    <row r="161" spans="1:10" ht="39" x14ac:dyDescent="0.35">
      <c r="A161" s="18"/>
      <c r="B161" s="27" t="s">
        <v>115</v>
      </c>
      <c r="C161" s="6">
        <f t="shared" si="32"/>
        <v>0</v>
      </c>
      <c r="D161" s="6">
        <f t="shared" si="32"/>
        <v>0</v>
      </c>
      <c r="E161" s="6">
        <f t="shared" si="32"/>
        <v>0</v>
      </c>
      <c r="F161" s="6">
        <f t="shared" si="32"/>
        <v>0</v>
      </c>
      <c r="G161" s="6">
        <f t="shared" si="32"/>
        <v>0</v>
      </c>
      <c r="H161" s="6">
        <f t="shared" si="32"/>
        <v>0</v>
      </c>
      <c r="I161" s="6">
        <f t="shared" si="32"/>
        <v>0</v>
      </c>
      <c r="J161" s="6">
        <f t="shared" si="32"/>
        <v>0</v>
      </c>
    </row>
    <row r="162" spans="1:10" ht="52" x14ac:dyDescent="0.35">
      <c r="A162" s="18"/>
      <c r="B162" s="27" t="s">
        <v>116</v>
      </c>
      <c r="C162" s="6">
        <f t="shared" si="32"/>
        <v>0</v>
      </c>
      <c r="D162" s="6">
        <f t="shared" si="32"/>
        <v>0</v>
      </c>
      <c r="E162" s="6">
        <f t="shared" si="32"/>
        <v>0</v>
      </c>
      <c r="F162" s="6">
        <f t="shared" si="32"/>
        <v>0</v>
      </c>
      <c r="G162" s="6">
        <f t="shared" si="32"/>
        <v>0</v>
      </c>
      <c r="H162" s="6">
        <f t="shared" si="32"/>
        <v>0</v>
      </c>
      <c r="I162" s="6">
        <f t="shared" si="32"/>
        <v>0</v>
      </c>
      <c r="J162" s="6">
        <f t="shared" si="32"/>
        <v>0</v>
      </c>
    </row>
    <row r="163" spans="1:10" x14ac:dyDescent="0.35">
      <c r="A163" s="19"/>
      <c r="B163" s="19"/>
      <c r="C163" s="15"/>
      <c r="D163" s="15"/>
      <c r="E163" s="15"/>
      <c r="F163" s="15"/>
      <c r="G163" s="15"/>
      <c r="H163" s="15"/>
      <c r="I163" s="15"/>
      <c r="J163" s="15"/>
    </row>
    <row r="164" spans="1:10" ht="15" thickBot="1" x14ac:dyDescent="0.4">
      <c r="A164" s="7"/>
      <c r="B164" s="32"/>
      <c r="C164" s="15"/>
      <c r="D164" s="15"/>
      <c r="E164" s="15"/>
      <c r="F164" s="15"/>
      <c r="G164" s="15"/>
      <c r="H164" s="15"/>
      <c r="I164" s="15"/>
      <c r="J164" s="15"/>
    </row>
    <row r="165" spans="1:10" ht="52.5" thickBot="1" x14ac:dyDescent="0.4">
      <c r="A165" s="9" t="s">
        <v>25</v>
      </c>
      <c r="B165" s="29"/>
      <c r="C165" s="10">
        <f t="shared" ref="C165:J165" si="33">SUM(C96:C164)</f>
        <v>2.8344800000000001</v>
      </c>
      <c r="D165" s="10">
        <f t="shared" si="33"/>
        <v>9.4299999999999995E-2</v>
      </c>
      <c r="E165" s="10">
        <f t="shared" si="33"/>
        <v>1.5562300000000002</v>
      </c>
      <c r="F165" s="10">
        <f t="shared" si="33"/>
        <v>0.26277</v>
      </c>
      <c r="G165" s="10">
        <f t="shared" si="33"/>
        <v>1.55633</v>
      </c>
      <c r="H165" s="10">
        <f t="shared" si="33"/>
        <v>1.00041</v>
      </c>
      <c r="I165" s="10">
        <f t="shared" si="33"/>
        <v>0.22032999999999997</v>
      </c>
      <c r="J165" s="10">
        <f t="shared" si="33"/>
        <v>0.97124999999999995</v>
      </c>
    </row>
    <row r="166" spans="1:10" ht="26.5" thickBot="1" x14ac:dyDescent="0.4">
      <c r="A166" s="9" t="s">
        <v>26</v>
      </c>
      <c r="B166" s="29"/>
      <c r="C166" s="10">
        <f t="shared" ref="C166:J166" si="34">C93-C165</f>
        <v>-21.19511</v>
      </c>
      <c r="D166" s="10">
        <f t="shared" si="34"/>
        <v>0.89033000000000007</v>
      </c>
      <c r="E166" s="10">
        <f t="shared" si="34"/>
        <v>-3.4347600000000007</v>
      </c>
      <c r="F166" s="10">
        <f t="shared" si="34"/>
        <v>3.6957500000000003</v>
      </c>
      <c r="G166" s="10">
        <f t="shared" si="34"/>
        <v>19.438180000000003</v>
      </c>
      <c r="H166" s="10">
        <f t="shared" si="34"/>
        <v>6.482190000000001</v>
      </c>
      <c r="I166" s="10">
        <f t="shared" si="34"/>
        <v>0.27394000000000007</v>
      </c>
      <c r="J166" s="10">
        <f t="shared" si="34"/>
        <v>-1.4434800000000001</v>
      </c>
    </row>
    <row r="167" spans="1:10" ht="104.5" thickBot="1" x14ac:dyDescent="0.4">
      <c r="A167" s="16" t="s">
        <v>27</v>
      </c>
      <c r="B167" s="33"/>
      <c r="C167" s="21">
        <f t="shared" ref="C167:J167" si="35">C166/C6</f>
        <v>-2.7833770415593659</v>
      </c>
      <c r="D167" s="21">
        <f t="shared" si="35"/>
        <v>0.65960142243295306</v>
      </c>
      <c r="E167" s="21">
        <f t="shared" si="35"/>
        <v>-1.1640492086623515</v>
      </c>
      <c r="F167" s="21">
        <f t="shared" si="35"/>
        <v>0.70148981764966034</v>
      </c>
      <c r="G167" s="21">
        <f t="shared" si="35"/>
        <v>0.65226997109475515</v>
      </c>
      <c r="H167" s="21">
        <f t="shared" si="35"/>
        <v>0.52106296301059785</v>
      </c>
      <c r="I167" s="21">
        <f t="shared" si="35"/>
        <v>0.21571947176527104</v>
      </c>
      <c r="J167" s="21">
        <f t="shared" si="35"/>
        <v>-0.54979242049133503</v>
      </c>
    </row>
    <row r="168" spans="1:10" ht="39" x14ac:dyDescent="0.35">
      <c r="A168" s="17" t="s">
        <v>28</v>
      </c>
      <c r="B168" s="34"/>
      <c r="C168" s="12">
        <f>SUM(C169:C244)</f>
        <v>9.7586899999999996</v>
      </c>
      <c r="D168" s="12">
        <f t="shared" ref="D168:J168" si="36">SUM(D169:D244)</f>
        <v>0.30130999999999997</v>
      </c>
      <c r="E168" s="12">
        <f t="shared" si="36"/>
        <v>2.0851900000000003</v>
      </c>
      <c r="F168" s="12">
        <f t="shared" si="36"/>
        <v>0.77736000000000005</v>
      </c>
      <c r="G168" s="12">
        <f t="shared" si="36"/>
        <v>4.4975700000000005</v>
      </c>
      <c r="H168" s="12">
        <f t="shared" si="36"/>
        <v>3.5166399999999998</v>
      </c>
      <c r="I168" s="12">
        <f t="shared" si="36"/>
        <v>0.37302000000000002</v>
      </c>
      <c r="J168" s="12">
        <f t="shared" si="36"/>
        <v>3.0915900000000001</v>
      </c>
    </row>
    <row r="169" spans="1:10" ht="39" x14ac:dyDescent="0.35">
      <c r="A169" s="18"/>
      <c r="B169" s="27" t="s">
        <v>54</v>
      </c>
      <c r="C169" s="6">
        <f>4114/(10^5)</f>
        <v>4.1140000000000003E-2</v>
      </c>
      <c r="D169" s="6">
        <f>0/(10^5)</f>
        <v>0</v>
      </c>
      <c r="E169" s="6">
        <f>223/(10^5)</f>
        <v>2.2300000000000002E-3</v>
      </c>
      <c r="F169" s="6">
        <f>699/(10^5)</f>
        <v>6.9899999999999997E-3</v>
      </c>
      <c r="G169" s="6">
        <f>19488/(10^5)</f>
        <v>0.19488</v>
      </c>
      <c r="H169" s="6">
        <f>8676/(10^5)</f>
        <v>8.6760000000000004E-2</v>
      </c>
      <c r="I169" s="6">
        <f>0/(10^5)</f>
        <v>0</v>
      </c>
      <c r="J169" s="6">
        <f>167/(10^5)</f>
        <v>1.67E-3</v>
      </c>
    </row>
    <row r="170" spans="1:10" ht="39" x14ac:dyDescent="0.35">
      <c r="A170" s="18"/>
      <c r="B170" s="27" t="s">
        <v>55</v>
      </c>
      <c r="C170" s="6">
        <f>0/(10^5)</f>
        <v>0</v>
      </c>
      <c r="D170" s="6">
        <f>0/(10^5)</f>
        <v>0</v>
      </c>
      <c r="E170" s="6">
        <f t="shared" ref="E170:H172" si="37">0/(10^5)</f>
        <v>0</v>
      </c>
      <c r="F170" s="6">
        <f t="shared" si="37"/>
        <v>0</v>
      </c>
      <c r="G170" s="6">
        <f t="shared" si="37"/>
        <v>0</v>
      </c>
      <c r="H170" s="6">
        <f t="shared" si="37"/>
        <v>0</v>
      </c>
      <c r="I170" s="6">
        <f>0/(10^5)</f>
        <v>0</v>
      </c>
      <c r="J170" s="6">
        <f t="shared" ref="J170:J172" si="38">0/(10^5)</f>
        <v>0</v>
      </c>
    </row>
    <row r="171" spans="1:10" ht="26" x14ac:dyDescent="0.35">
      <c r="A171" s="18"/>
      <c r="B171" s="27" t="s">
        <v>56</v>
      </c>
      <c r="C171" s="6">
        <f>0/(10^5)</f>
        <v>0</v>
      </c>
      <c r="D171" s="6">
        <f>0/(10^5)</f>
        <v>0</v>
      </c>
      <c r="E171" s="6">
        <f t="shared" si="37"/>
        <v>0</v>
      </c>
      <c r="F171" s="6">
        <f t="shared" si="37"/>
        <v>0</v>
      </c>
      <c r="G171" s="6">
        <f t="shared" si="37"/>
        <v>0</v>
      </c>
      <c r="H171" s="6">
        <f t="shared" si="37"/>
        <v>0</v>
      </c>
      <c r="I171" s="6">
        <f>0/(10^5)</f>
        <v>0</v>
      </c>
      <c r="J171" s="6">
        <f t="shared" si="38"/>
        <v>0</v>
      </c>
    </row>
    <row r="172" spans="1:10" ht="39" x14ac:dyDescent="0.35">
      <c r="A172" s="18"/>
      <c r="B172" s="27" t="s">
        <v>57</v>
      </c>
      <c r="C172" s="6">
        <f>117/(10^5)</f>
        <v>1.17E-3</v>
      </c>
      <c r="D172" s="6">
        <f>0/(10^5)</f>
        <v>0</v>
      </c>
      <c r="E172" s="6">
        <f t="shared" si="37"/>
        <v>0</v>
      </c>
      <c r="F172" s="6">
        <f t="shared" si="37"/>
        <v>0</v>
      </c>
      <c r="G172" s="6">
        <f t="shared" si="37"/>
        <v>0</v>
      </c>
      <c r="H172" s="6">
        <f t="shared" si="37"/>
        <v>0</v>
      </c>
      <c r="I172" s="6">
        <f>0/(10^5)</f>
        <v>0</v>
      </c>
      <c r="J172" s="6">
        <f t="shared" si="38"/>
        <v>0</v>
      </c>
    </row>
    <row r="173" spans="1:10" ht="26" x14ac:dyDescent="0.35">
      <c r="A173" s="18"/>
      <c r="B173" s="27" t="s">
        <v>58</v>
      </c>
      <c r="C173" s="6">
        <f>10257/(10^5)</f>
        <v>0.10256999999999999</v>
      </c>
      <c r="D173" s="6">
        <f>0/(10^5)</f>
        <v>0</v>
      </c>
      <c r="E173" s="6">
        <f>107/(10^5)</f>
        <v>1.07E-3</v>
      </c>
      <c r="F173" s="6">
        <f>54/(10^5)</f>
        <v>5.4000000000000001E-4</v>
      </c>
      <c r="G173" s="6">
        <f>1485/(10^5)</f>
        <v>1.485E-2</v>
      </c>
      <c r="H173" s="6">
        <f>2540/(10^5)</f>
        <v>2.5399999999999999E-2</v>
      </c>
      <c r="I173" s="6">
        <f>0/(10^5)</f>
        <v>0</v>
      </c>
      <c r="J173" s="6">
        <f>54/(10^5)</f>
        <v>5.4000000000000001E-4</v>
      </c>
    </row>
    <row r="174" spans="1:10" ht="39" x14ac:dyDescent="0.35">
      <c r="A174" s="18"/>
      <c r="B174" s="27" t="s">
        <v>59</v>
      </c>
      <c r="C174" s="6">
        <f>23486/(10^5)</f>
        <v>0.23486000000000001</v>
      </c>
      <c r="D174" s="6">
        <f>249/(10^5)</f>
        <v>2.49E-3</v>
      </c>
      <c r="E174" s="6">
        <f>1910/(10^5)</f>
        <v>1.9099999999999999E-2</v>
      </c>
      <c r="F174" s="6">
        <f>1972/(10^5)</f>
        <v>1.9720000000000001E-2</v>
      </c>
      <c r="G174" s="6">
        <f>6985/(10^5)</f>
        <v>6.9849999999999995E-2</v>
      </c>
      <c r="H174" s="6">
        <f>7030/(10^5)</f>
        <v>7.0300000000000001E-2</v>
      </c>
      <c r="I174" s="6">
        <f>331/(10^5)</f>
        <v>3.31E-3</v>
      </c>
      <c r="J174" s="6">
        <f>9448/(10^5)</f>
        <v>9.4479999999999995E-2</v>
      </c>
    </row>
    <row r="175" spans="1:10" ht="26" x14ac:dyDescent="0.35">
      <c r="A175" s="18"/>
      <c r="B175" s="27" t="s">
        <v>60</v>
      </c>
      <c r="C175" s="6">
        <f>20195/(10^5)</f>
        <v>0.20194999999999999</v>
      </c>
      <c r="D175" s="6">
        <f>195/(10^5)</f>
        <v>1.9499999999999999E-3</v>
      </c>
      <c r="E175" s="6">
        <f>920/(10^5)</f>
        <v>9.1999999999999998E-3</v>
      </c>
      <c r="F175" s="6">
        <f>2111/(10^5)</f>
        <v>2.111E-2</v>
      </c>
      <c r="G175" s="6">
        <f>9580/(10^5)</f>
        <v>9.5799999999999996E-2</v>
      </c>
      <c r="H175" s="6">
        <f>10206/(10^5)</f>
        <v>0.10206</v>
      </c>
      <c r="I175" s="6">
        <f>0/(10^5)</f>
        <v>0</v>
      </c>
      <c r="J175" s="6">
        <f>14864/(10^5)</f>
        <v>0.14863999999999999</v>
      </c>
    </row>
    <row r="176" spans="1:10" ht="39" x14ac:dyDescent="0.35">
      <c r="A176" s="18"/>
      <c r="B176" s="27" t="s">
        <v>61</v>
      </c>
      <c r="C176" s="6">
        <f>-6120/(10^5)</f>
        <v>-6.1199999999999997E-2</v>
      </c>
      <c r="D176" s="6">
        <f>0/(10^5)</f>
        <v>0</v>
      </c>
      <c r="E176" s="6">
        <f>0/(10^5)</f>
        <v>0</v>
      </c>
      <c r="F176" s="6">
        <f>-3360/(10^5)</f>
        <v>-3.3599999999999998E-2</v>
      </c>
      <c r="G176" s="6">
        <f>-17385/(10^5)</f>
        <v>-0.17385</v>
      </c>
      <c r="H176" s="6">
        <f>-14284/(10^5)</f>
        <v>-0.14283999999999999</v>
      </c>
      <c r="I176" s="6">
        <f>-384/(10^5)</f>
        <v>-3.8400000000000001E-3</v>
      </c>
      <c r="J176" s="6">
        <f>-206/(10^5)</f>
        <v>-2.0600000000000002E-3</v>
      </c>
    </row>
    <row r="177" spans="1:10" ht="26" x14ac:dyDescent="0.35">
      <c r="A177" s="17" t="s">
        <v>17</v>
      </c>
      <c r="B177" s="34"/>
      <c r="C177" s="6">
        <f>0/(10^5)</f>
        <v>0</v>
      </c>
      <c r="D177" s="6">
        <f>0/(10^5)</f>
        <v>0</v>
      </c>
      <c r="E177" s="6">
        <f>0/(10^5)</f>
        <v>0</v>
      </c>
      <c r="F177" s="6">
        <f t="shared" ref="F177:J177" si="39">0/(10^5)</f>
        <v>0</v>
      </c>
      <c r="G177" s="6">
        <f t="shared" si="39"/>
        <v>0</v>
      </c>
      <c r="H177" s="6">
        <f t="shared" si="39"/>
        <v>0</v>
      </c>
      <c r="I177" s="6">
        <f t="shared" si="39"/>
        <v>0</v>
      </c>
      <c r="J177" s="6">
        <f t="shared" si="39"/>
        <v>0</v>
      </c>
    </row>
    <row r="178" spans="1:10" ht="26" x14ac:dyDescent="0.35">
      <c r="A178" s="18"/>
      <c r="B178" s="27" t="s">
        <v>62</v>
      </c>
      <c r="C178" s="6">
        <f>3433/(10^5)</f>
        <v>3.4329999999999999E-2</v>
      </c>
      <c r="D178" s="6">
        <f>0/(10^5)</f>
        <v>0</v>
      </c>
      <c r="E178" s="6">
        <f>11699/(10^5)</f>
        <v>0.11699</v>
      </c>
      <c r="F178" s="6">
        <f>18286/(10^5)</f>
        <v>0.18285999999999999</v>
      </c>
      <c r="G178" s="6">
        <f>97961/(10^5)</f>
        <v>0.97960999999999998</v>
      </c>
      <c r="H178" s="6">
        <f>73756/(10^5)</f>
        <v>0.73755999999999999</v>
      </c>
      <c r="I178" s="6">
        <f>14884/(10^5)</f>
        <v>0.14884</v>
      </c>
      <c r="J178" s="6">
        <f>2230/(10^5)</f>
        <v>2.23E-2</v>
      </c>
    </row>
    <row r="179" spans="1:10" ht="39" x14ac:dyDescent="0.35">
      <c r="A179" s="18"/>
      <c r="B179" s="27" t="s">
        <v>63</v>
      </c>
      <c r="C179" s="6">
        <f>380387/(10^5)</f>
        <v>3.8038699999999999</v>
      </c>
      <c r="D179" s="6">
        <f>7608/(10^5)</f>
        <v>7.6079999999999995E-2</v>
      </c>
      <c r="E179" s="6">
        <f>17815/(10^5)</f>
        <v>0.17815</v>
      </c>
      <c r="F179" s="6">
        <f>16412/(10^5)</f>
        <v>0.16411999999999999</v>
      </c>
      <c r="G179" s="6">
        <f>60802/(10^5)</f>
        <v>0.60802</v>
      </c>
      <c r="H179" s="6">
        <f>53067/(10^5)</f>
        <v>0.53066999999999998</v>
      </c>
      <c r="I179" s="6">
        <f>450/(10^5)</f>
        <v>4.4999999999999997E-3</v>
      </c>
      <c r="J179" s="6">
        <f>128637/(10^5)</f>
        <v>1.28637</v>
      </c>
    </row>
    <row r="180" spans="1:10" ht="39" x14ac:dyDescent="0.35">
      <c r="A180" s="18"/>
      <c r="B180" s="27" t="s">
        <v>64</v>
      </c>
      <c r="C180" s="6">
        <f>0/(10^5)</f>
        <v>0</v>
      </c>
      <c r="D180" s="6">
        <f>0/(10^5)</f>
        <v>0</v>
      </c>
      <c r="E180" s="6">
        <f>2167/(10^5)</f>
        <v>2.1669999999999998E-2</v>
      </c>
      <c r="F180" s="6">
        <f t="shared" ref="F180:J195" si="40">0/(10^5)</f>
        <v>0</v>
      </c>
      <c r="G180" s="6">
        <f t="shared" si="40"/>
        <v>0</v>
      </c>
      <c r="H180" s="6">
        <f t="shared" si="40"/>
        <v>0</v>
      </c>
      <c r="I180" s="6">
        <f>10272/(10^5)</f>
        <v>0.10272000000000001</v>
      </c>
      <c r="J180" s="6">
        <f t="shared" ref="J180:J183" si="41">0/(10^5)</f>
        <v>0</v>
      </c>
    </row>
    <row r="181" spans="1:10" x14ac:dyDescent="0.35">
      <c r="A181" s="18"/>
      <c r="B181" s="27" t="s">
        <v>65</v>
      </c>
      <c r="C181" s="6">
        <f>0/(10^5)</f>
        <v>0</v>
      </c>
      <c r="D181" s="6">
        <f>0/(10^5)</f>
        <v>0</v>
      </c>
      <c r="E181" s="6">
        <f>0/(10^5)</f>
        <v>0</v>
      </c>
      <c r="F181" s="6">
        <f t="shared" si="40"/>
        <v>0</v>
      </c>
      <c r="G181" s="6">
        <f t="shared" si="40"/>
        <v>0</v>
      </c>
      <c r="H181" s="6">
        <f t="shared" si="40"/>
        <v>0</v>
      </c>
      <c r="I181" s="6">
        <f t="shared" si="40"/>
        <v>0</v>
      </c>
      <c r="J181" s="6">
        <f t="shared" si="41"/>
        <v>0</v>
      </c>
    </row>
    <row r="182" spans="1:10" ht="39" x14ac:dyDescent="0.35">
      <c r="A182" s="18"/>
      <c r="B182" s="27" t="s">
        <v>66</v>
      </c>
      <c r="C182" s="6">
        <f>41/(10^5)</f>
        <v>4.0999999999999999E-4</v>
      </c>
      <c r="D182" s="6">
        <f>0/(10^5)</f>
        <v>0</v>
      </c>
      <c r="E182" s="6">
        <f>0/(10^5)</f>
        <v>0</v>
      </c>
      <c r="F182" s="6">
        <f t="shared" si="40"/>
        <v>0</v>
      </c>
      <c r="G182" s="6">
        <f t="shared" si="40"/>
        <v>0</v>
      </c>
      <c r="H182" s="6">
        <f t="shared" si="40"/>
        <v>0</v>
      </c>
      <c r="I182" s="6">
        <f t="shared" si="40"/>
        <v>0</v>
      </c>
      <c r="J182" s="6">
        <f t="shared" si="41"/>
        <v>0</v>
      </c>
    </row>
    <row r="183" spans="1:10" ht="39" x14ac:dyDescent="0.35">
      <c r="A183" s="17" t="s">
        <v>18</v>
      </c>
      <c r="B183" s="34"/>
      <c r="C183" s="6">
        <f>0/(10^5)</f>
        <v>0</v>
      </c>
      <c r="D183" s="6">
        <f>0/(10^5)</f>
        <v>0</v>
      </c>
      <c r="E183" s="6">
        <f>0/(10^5)</f>
        <v>0</v>
      </c>
      <c r="F183" s="6">
        <f t="shared" si="40"/>
        <v>0</v>
      </c>
      <c r="G183" s="6">
        <f t="shared" si="40"/>
        <v>0</v>
      </c>
      <c r="H183" s="6">
        <f t="shared" si="40"/>
        <v>0</v>
      </c>
      <c r="I183" s="6">
        <f t="shared" si="40"/>
        <v>0</v>
      </c>
      <c r="J183" s="6">
        <f t="shared" si="41"/>
        <v>0</v>
      </c>
    </row>
    <row r="184" spans="1:10" ht="26" x14ac:dyDescent="0.35">
      <c r="A184" s="18"/>
      <c r="B184" s="27" t="s">
        <v>67</v>
      </c>
      <c r="C184" s="6">
        <f>238/(10^5)</f>
        <v>2.3800000000000002E-3</v>
      </c>
      <c r="D184" s="6">
        <f>0/(10^5)</f>
        <v>0</v>
      </c>
      <c r="E184" s="6">
        <f>0/(10^5)</f>
        <v>0</v>
      </c>
      <c r="F184" s="6">
        <f t="shared" si="40"/>
        <v>0</v>
      </c>
      <c r="G184" s="6">
        <f t="shared" si="40"/>
        <v>0</v>
      </c>
      <c r="H184" s="6">
        <f t="shared" si="40"/>
        <v>0</v>
      </c>
      <c r="I184" s="6">
        <f t="shared" si="40"/>
        <v>0</v>
      </c>
      <c r="J184" s="6">
        <f>0/(10^5)</f>
        <v>0</v>
      </c>
    </row>
    <row r="185" spans="1:10" ht="26" x14ac:dyDescent="0.35">
      <c r="A185" s="18"/>
      <c r="B185" s="27" t="s">
        <v>68</v>
      </c>
      <c r="C185" s="6">
        <f>1477/(10^5)</f>
        <v>1.477E-2</v>
      </c>
      <c r="D185" s="6">
        <f>39/(10^5)</f>
        <v>3.8999999999999999E-4</v>
      </c>
      <c r="E185" s="6">
        <f>67/(10^5)</f>
        <v>6.7000000000000002E-4</v>
      </c>
      <c r="F185" s="6">
        <f>119/(10^5)</f>
        <v>1.1900000000000001E-3</v>
      </c>
      <c r="G185" s="6">
        <f>691/(10^5)</f>
        <v>6.9100000000000003E-3</v>
      </c>
      <c r="H185" s="6">
        <f>1008/(10^5)</f>
        <v>1.008E-2</v>
      </c>
      <c r="I185" s="6">
        <f t="shared" si="40"/>
        <v>0</v>
      </c>
      <c r="J185" s="6">
        <f>117/(10^5)</f>
        <v>1.17E-3</v>
      </c>
    </row>
    <row r="186" spans="1:10" x14ac:dyDescent="0.35">
      <c r="A186" s="18"/>
      <c r="B186" s="27" t="s">
        <v>69</v>
      </c>
      <c r="C186" s="6">
        <f t="shared" ref="C186:J201" si="42">0/(10^5)</f>
        <v>0</v>
      </c>
      <c r="D186" s="6">
        <f t="shared" si="42"/>
        <v>0</v>
      </c>
      <c r="E186" s="6">
        <f t="shared" si="42"/>
        <v>0</v>
      </c>
      <c r="F186" s="6">
        <f t="shared" si="42"/>
        <v>0</v>
      </c>
      <c r="G186" s="6">
        <f t="shared" si="42"/>
        <v>0</v>
      </c>
      <c r="H186" s="6">
        <f t="shared" si="42"/>
        <v>0</v>
      </c>
      <c r="I186" s="6">
        <f t="shared" si="40"/>
        <v>0</v>
      </c>
      <c r="J186" s="6">
        <f t="shared" si="40"/>
        <v>0</v>
      </c>
    </row>
    <row r="187" spans="1:10" ht="39" x14ac:dyDescent="0.35">
      <c r="A187" s="18"/>
      <c r="B187" s="27" t="s">
        <v>70</v>
      </c>
      <c r="C187" s="6">
        <f t="shared" si="42"/>
        <v>0</v>
      </c>
      <c r="D187" s="6">
        <f t="shared" si="42"/>
        <v>0</v>
      </c>
      <c r="E187" s="6">
        <f t="shared" si="42"/>
        <v>0</v>
      </c>
      <c r="F187" s="6">
        <f t="shared" si="42"/>
        <v>0</v>
      </c>
      <c r="G187" s="6">
        <f t="shared" si="42"/>
        <v>0</v>
      </c>
      <c r="H187" s="6">
        <f t="shared" si="42"/>
        <v>0</v>
      </c>
      <c r="I187" s="6">
        <f t="shared" si="40"/>
        <v>0</v>
      </c>
      <c r="J187" s="6">
        <f t="shared" si="40"/>
        <v>0</v>
      </c>
    </row>
    <row r="188" spans="1:10" x14ac:dyDescent="0.35">
      <c r="A188" s="18"/>
      <c r="B188" s="27" t="s">
        <v>71</v>
      </c>
      <c r="C188" s="6">
        <f t="shared" si="42"/>
        <v>0</v>
      </c>
      <c r="D188" s="6">
        <f t="shared" si="42"/>
        <v>0</v>
      </c>
      <c r="E188" s="6">
        <f t="shared" si="42"/>
        <v>0</v>
      </c>
      <c r="F188" s="6">
        <f t="shared" si="42"/>
        <v>0</v>
      </c>
      <c r="G188" s="6">
        <f t="shared" si="42"/>
        <v>0</v>
      </c>
      <c r="H188" s="6">
        <f t="shared" si="42"/>
        <v>0</v>
      </c>
      <c r="I188" s="6">
        <f t="shared" si="40"/>
        <v>0</v>
      </c>
      <c r="J188" s="6">
        <f t="shared" si="40"/>
        <v>0</v>
      </c>
    </row>
    <row r="189" spans="1:10" ht="39" x14ac:dyDescent="0.35">
      <c r="A189" s="18"/>
      <c r="B189" s="27" t="s">
        <v>72</v>
      </c>
      <c r="C189" s="6">
        <f t="shared" si="42"/>
        <v>0</v>
      </c>
      <c r="D189" s="6">
        <f t="shared" si="42"/>
        <v>0</v>
      </c>
      <c r="E189" s="6">
        <f t="shared" si="42"/>
        <v>0</v>
      </c>
      <c r="F189" s="6">
        <f t="shared" si="42"/>
        <v>0</v>
      </c>
      <c r="G189" s="6">
        <f t="shared" si="42"/>
        <v>0</v>
      </c>
      <c r="H189" s="6">
        <f t="shared" si="42"/>
        <v>0</v>
      </c>
      <c r="I189" s="6">
        <f t="shared" si="40"/>
        <v>0</v>
      </c>
      <c r="J189" s="6">
        <f t="shared" si="40"/>
        <v>0</v>
      </c>
    </row>
    <row r="190" spans="1:10" ht="26" x14ac:dyDescent="0.35">
      <c r="A190" s="18"/>
      <c r="B190" s="27" t="s">
        <v>73</v>
      </c>
      <c r="C190" s="6">
        <f t="shared" si="42"/>
        <v>0</v>
      </c>
      <c r="D190" s="6">
        <f t="shared" si="42"/>
        <v>0</v>
      </c>
      <c r="E190" s="6">
        <f t="shared" si="42"/>
        <v>0</v>
      </c>
      <c r="F190" s="6">
        <f t="shared" si="42"/>
        <v>0</v>
      </c>
      <c r="G190" s="6">
        <f t="shared" si="42"/>
        <v>0</v>
      </c>
      <c r="H190" s="6">
        <f t="shared" si="42"/>
        <v>0</v>
      </c>
      <c r="I190" s="6">
        <f t="shared" si="40"/>
        <v>0</v>
      </c>
      <c r="J190" s="6">
        <f t="shared" si="40"/>
        <v>0</v>
      </c>
    </row>
    <row r="191" spans="1:10" ht="39" x14ac:dyDescent="0.35">
      <c r="A191" s="18"/>
      <c r="B191" s="27" t="s">
        <v>74</v>
      </c>
      <c r="C191" s="6">
        <f t="shared" si="42"/>
        <v>0</v>
      </c>
      <c r="D191" s="6">
        <f t="shared" si="42"/>
        <v>0</v>
      </c>
      <c r="E191" s="6">
        <f t="shared" si="42"/>
        <v>0</v>
      </c>
      <c r="F191" s="6">
        <f t="shared" si="42"/>
        <v>0</v>
      </c>
      <c r="G191" s="6">
        <f t="shared" si="42"/>
        <v>0</v>
      </c>
      <c r="H191" s="6">
        <f t="shared" si="42"/>
        <v>0</v>
      </c>
      <c r="I191" s="6">
        <f t="shared" si="40"/>
        <v>0</v>
      </c>
      <c r="J191" s="6">
        <f t="shared" si="40"/>
        <v>0</v>
      </c>
    </row>
    <row r="192" spans="1:10" ht="39" x14ac:dyDescent="0.35">
      <c r="A192" s="18"/>
      <c r="B192" s="27" t="s">
        <v>75</v>
      </c>
      <c r="C192" s="6">
        <f t="shared" si="42"/>
        <v>0</v>
      </c>
      <c r="D192" s="6">
        <f t="shared" si="42"/>
        <v>0</v>
      </c>
      <c r="E192" s="6">
        <f t="shared" si="42"/>
        <v>0</v>
      </c>
      <c r="F192" s="6">
        <f t="shared" si="42"/>
        <v>0</v>
      </c>
      <c r="G192" s="6">
        <f t="shared" si="42"/>
        <v>0</v>
      </c>
      <c r="H192" s="6">
        <f t="shared" si="42"/>
        <v>0</v>
      </c>
      <c r="I192" s="6">
        <f t="shared" si="40"/>
        <v>0</v>
      </c>
      <c r="J192" s="6">
        <f t="shared" si="40"/>
        <v>0</v>
      </c>
    </row>
    <row r="193" spans="1:10" ht="26" x14ac:dyDescent="0.35">
      <c r="A193" s="18"/>
      <c r="B193" s="27" t="s">
        <v>76</v>
      </c>
      <c r="C193" s="6">
        <f t="shared" si="42"/>
        <v>0</v>
      </c>
      <c r="D193" s="6">
        <f t="shared" si="42"/>
        <v>0</v>
      </c>
      <c r="E193" s="6">
        <f t="shared" si="42"/>
        <v>0</v>
      </c>
      <c r="F193" s="6">
        <f t="shared" si="42"/>
        <v>0</v>
      </c>
      <c r="G193" s="6">
        <f t="shared" si="42"/>
        <v>0</v>
      </c>
      <c r="H193" s="6">
        <f t="shared" si="42"/>
        <v>0</v>
      </c>
      <c r="I193" s="6">
        <f t="shared" si="40"/>
        <v>0</v>
      </c>
      <c r="J193" s="6">
        <f t="shared" si="40"/>
        <v>0</v>
      </c>
    </row>
    <row r="194" spans="1:10" ht="39" x14ac:dyDescent="0.35">
      <c r="A194" s="18"/>
      <c r="B194" s="27" t="s">
        <v>77</v>
      </c>
      <c r="C194" s="6">
        <f t="shared" si="42"/>
        <v>0</v>
      </c>
      <c r="D194" s="6">
        <f t="shared" si="42"/>
        <v>0</v>
      </c>
      <c r="E194" s="6">
        <f t="shared" si="42"/>
        <v>0</v>
      </c>
      <c r="F194" s="6">
        <f t="shared" si="42"/>
        <v>0</v>
      </c>
      <c r="G194" s="6">
        <f t="shared" si="42"/>
        <v>0</v>
      </c>
      <c r="H194" s="6">
        <f t="shared" si="42"/>
        <v>0</v>
      </c>
      <c r="I194" s="6">
        <f t="shared" si="40"/>
        <v>0</v>
      </c>
      <c r="J194" s="6">
        <f t="shared" si="40"/>
        <v>0</v>
      </c>
    </row>
    <row r="195" spans="1:10" ht="26" x14ac:dyDescent="0.35">
      <c r="A195" s="18"/>
      <c r="B195" s="27" t="s">
        <v>78</v>
      </c>
      <c r="C195" s="6">
        <f>2246/(10^5)</f>
        <v>2.2460000000000001E-2</v>
      </c>
      <c r="D195" s="6">
        <f t="shared" si="42"/>
        <v>0</v>
      </c>
      <c r="E195" s="6">
        <f t="shared" si="42"/>
        <v>0</v>
      </c>
      <c r="F195" s="6">
        <f t="shared" si="42"/>
        <v>0</v>
      </c>
      <c r="G195" s="6">
        <f t="shared" si="42"/>
        <v>0</v>
      </c>
      <c r="H195" s="6">
        <f t="shared" si="42"/>
        <v>0</v>
      </c>
      <c r="I195" s="6">
        <f t="shared" si="40"/>
        <v>0</v>
      </c>
      <c r="J195" s="6">
        <f t="shared" si="40"/>
        <v>0</v>
      </c>
    </row>
    <row r="196" spans="1:10" ht="26" x14ac:dyDescent="0.35">
      <c r="A196" s="18"/>
      <c r="B196" s="27" t="s">
        <v>80</v>
      </c>
      <c r="C196" s="6">
        <f>0/(10^5)</f>
        <v>0</v>
      </c>
      <c r="D196" s="6">
        <f t="shared" si="42"/>
        <v>0</v>
      </c>
      <c r="E196" s="6">
        <f t="shared" si="42"/>
        <v>0</v>
      </c>
      <c r="F196" s="6">
        <f t="shared" si="42"/>
        <v>0</v>
      </c>
      <c r="G196" s="6">
        <f t="shared" si="42"/>
        <v>0</v>
      </c>
      <c r="H196" s="6">
        <f t="shared" si="42"/>
        <v>0</v>
      </c>
      <c r="I196" s="6">
        <f t="shared" si="42"/>
        <v>0</v>
      </c>
      <c r="J196" s="6">
        <f t="shared" si="42"/>
        <v>0</v>
      </c>
    </row>
    <row r="197" spans="1:10" ht="39" x14ac:dyDescent="0.35">
      <c r="A197" s="18"/>
      <c r="B197" s="27" t="s">
        <v>81</v>
      </c>
      <c r="C197" s="6">
        <f>0/(10^5)</f>
        <v>0</v>
      </c>
      <c r="D197" s="6">
        <f t="shared" si="42"/>
        <v>0</v>
      </c>
      <c r="E197" s="6">
        <f t="shared" si="42"/>
        <v>0</v>
      </c>
      <c r="F197" s="6">
        <f t="shared" si="42"/>
        <v>0</v>
      </c>
      <c r="G197" s="6">
        <f t="shared" si="42"/>
        <v>0</v>
      </c>
      <c r="H197" s="6">
        <f t="shared" si="42"/>
        <v>0</v>
      </c>
      <c r="I197" s="6">
        <f t="shared" si="42"/>
        <v>0</v>
      </c>
      <c r="J197" s="6">
        <f t="shared" si="42"/>
        <v>0</v>
      </c>
    </row>
    <row r="198" spans="1:10" ht="26" x14ac:dyDescent="0.35">
      <c r="A198" s="18"/>
      <c r="B198" s="27" t="s">
        <v>82</v>
      </c>
      <c r="C198" s="6">
        <f>59/(10^5)</f>
        <v>5.9000000000000003E-4</v>
      </c>
      <c r="D198" s="6">
        <f t="shared" si="42"/>
        <v>0</v>
      </c>
      <c r="E198" s="6">
        <f t="shared" si="42"/>
        <v>0</v>
      </c>
      <c r="F198" s="6">
        <f t="shared" si="42"/>
        <v>0</v>
      </c>
      <c r="G198" s="6">
        <f t="shared" si="42"/>
        <v>0</v>
      </c>
      <c r="H198" s="6">
        <f>4/(10^5)</f>
        <v>4.0000000000000003E-5</v>
      </c>
      <c r="I198" s="6">
        <f t="shared" si="42"/>
        <v>0</v>
      </c>
      <c r="J198" s="6">
        <f>4/(10^5)</f>
        <v>4.0000000000000003E-5</v>
      </c>
    </row>
    <row r="199" spans="1:10" ht="39" x14ac:dyDescent="0.35">
      <c r="A199" s="18"/>
      <c r="B199" s="27" t="s">
        <v>83</v>
      </c>
      <c r="C199" s="6">
        <f>0/(10^5)</f>
        <v>0</v>
      </c>
      <c r="D199" s="6">
        <f t="shared" si="42"/>
        <v>0</v>
      </c>
      <c r="E199" s="6">
        <f t="shared" si="42"/>
        <v>0</v>
      </c>
      <c r="F199" s="6">
        <f t="shared" si="42"/>
        <v>0</v>
      </c>
      <c r="G199" s="6">
        <f t="shared" si="42"/>
        <v>0</v>
      </c>
      <c r="H199" s="6">
        <f>0/(10^5)</f>
        <v>0</v>
      </c>
      <c r="I199" s="6">
        <f t="shared" si="42"/>
        <v>0</v>
      </c>
      <c r="J199" s="6">
        <f>0/(10^5)</f>
        <v>0</v>
      </c>
    </row>
    <row r="200" spans="1:10" ht="39" x14ac:dyDescent="0.35">
      <c r="A200" s="18"/>
      <c r="B200" s="27" t="s">
        <v>84</v>
      </c>
      <c r="C200" s="6">
        <f>64/(10^5)</f>
        <v>6.4000000000000005E-4</v>
      </c>
      <c r="D200" s="6">
        <f t="shared" si="42"/>
        <v>0</v>
      </c>
      <c r="E200" s="6">
        <f>17/(10^5)</f>
        <v>1.7000000000000001E-4</v>
      </c>
      <c r="F200" s="6">
        <f t="shared" si="42"/>
        <v>0</v>
      </c>
      <c r="G200" s="6">
        <f t="shared" si="42"/>
        <v>0</v>
      </c>
      <c r="H200" s="6">
        <f>0/(10^5)</f>
        <v>0</v>
      </c>
      <c r="I200" s="6">
        <f t="shared" si="42"/>
        <v>0</v>
      </c>
      <c r="J200" s="6">
        <f>0/(10^5)</f>
        <v>0</v>
      </c>
    </row>
    <row r="201" spans="1:10" ht="26" x14ac:dyDescent="0.35">
      <c r="A201" s="18"/>
      <c r="B201" s="27" t="s">
        <v>85</v>
      </c>
      <c r="C201" s="6">
        <f t="shared" ref="C201:H211" si="43">0/(10^5)</f>
        <v>0</v>
      </c>
      <c r="D201" s="6">
        <f t="shared" si="42"/>
        <v>0</v>
      </c>
      <c r="E201" s="6">
        <f t="shared" si="42"/>
        <v>0</v>
      </c>
      <c r="F201" s="6">
        <f t="shared" si="42"/>
        <v>0</v>
      </c>
      <c r="G201" s="6">
        <f t="shared" si="42"/>
        <v>0</v>
      </c>
      <c r="H201" s="6">
        <f>0/(10^5)</f>
        <v>0</v>
      </c>
      <c r="I201" s="6">
        <f>456/(10^5)</f>
        <v>4.5599999999999998E-3</v>
      </c>
      <c r="J201" s="6">
        <f>0/(10^5)</f>
        <v>0</v>
      </c>
    </row>
    <row r="202" spans="1:10" ht="26" x14ac:dyDescent="0.35">
      <c r="A202" s="18"/>
      <c r="B202" s="27" t="s">
        <v>86</v>
      </c>
      <c r="C202" s="6">
        <f t="shared" si="43"/>
        <v>0</v>
      </c>
      <c r="D202" s="6">
        <f t="shared" si="43"/>
        <v>0</v>
      </c>
      <c r="E202" s="6">
        <f t="shared" si="43"/>
        <v>0</v>
      </c>
      <c r="F202" s="6">
        <f t="shared" si="43"/>
        <v>0</v>
      </c>
      <c r="G202" s="6">
        <f t="shared" si="43"/>
        <v>0</v>
      </c>
      <c r="H202" s="6">
        <f>0/(10^5)</f>
        <v>0</v>
      </c>
      <c r="I202" s="6">
        <f t="shared" ref="I202:J211" si="44">0/(10^5)</f>
        <v>0</v>
      </c>
      <c r="J202" s="6">
        <f>0/(10^5)</f>
        <v>0</v>
      </c>
    </row>
    <row r="203" spans="1:10" ht="26" x14ac:dyDescent="0.35">
      <c r="A203" s="18"/>
      <c r="B203" s="27" t="s">
        <v>87</v>
      </c>
      <c r="C203" s="6">
        <f t="shared" si="43"/>
        <v>0</v>
      </c>
      <c r="D203" s="6">
        <f t="shared" si="43"/>
        <v>0</v>
      </c>
      <c r="E203" s="6">
        <f t="shared" si="43"/>
        <v>0</v>
      </c>
      <c r="F203" s="6">
        <f>830/(10^5)</f>
        <v>8.3000000000000001E-3</v>
      </c>
      <c r="G203" s="6">
        <f>4801/(10^5)</f>
        <v>4.8009999999999997E-2</v>
      </c>
      <c r="H203" s="6">
        <f>2228/(10^5)</f>
        <v>2.2280000000000001E-2</v>
      </c>
      <c r="I203" s="6">
        <f t="shared" si="44"/>
        <v>0</v>
      </c>
      <c r="J203" s="6">
        <f>0/(10^5)</f>
        <v>0</v>
      </c>
    </row>
    <row r="204" spans="1:10" x14ac:dyDescent="0.35">
      <c r="A204" s="18"/>
      <c r="B204" s="27" t="s">
        <v>88</v>
      </c>
      <c r="C204" s="6">
        <f t="shared" si="43"/>
        <v>0</v>
      </c>
      <c r="D204" s="6">
        <f t="shared" si="43"/>
        <v>0</v>
      </c>
      <c r="E204" s="6">
        <f t="shared" si="43"/>
        <v>0</v>
      </c>
      <c r="F204" s="6">
        <f t="shared" si="43"/>
        <v>0</v>
      </c>
      <c r="G204" s="6">
        <f t="shared" si="43"/>
        <v>0</v>
      </c>
      <c r="H204" s="6">
        <f>3/(10^5)</f>
        <v>3.0000000000000001E-5</v>
      </c>
      <c r="I204" s="6">
        <f t="shared" si="44"/>
        <v>0</v>
      </c>
      <c r="J204" s="6">
        <f>1/(10^5)</f>
        <v>1.0000000000000001E-5</v>
      </c>
    </row>
    <row r="205" spans="1:10" ht="26" x14ac:dyDescent="0.35">
      <c r="A205" s="18"/>
      <c r="B205" s="27" t="s">
        <v>89</v>
      </c>
      <c r="C205" s="6">
        <f t="shared" si="43"/>
        <v>0</v>
      </c>
      <c r="D205" s="6">
        <f t="shared" si="43"/>
        <v>0</v>
      </c>
      <c r="E205" s="6">
        <f t="shared" si="43"/>
        <v>0</v>
      </c>
      <c r="F205" s="6">
        <f t="shared" si="43"/>
        <v>0</v>
      </c>
      <c r="G205" s="6">
        <f t="shared" si="43"/>
        <v>0</v>
      </c>
      <c r="H205" s="6">
        <f t="shared" si="43"/>
        <v>0</v>
      </c>
      <c r="I205" s="6">
        <f t="shared" si="44"/>
        <v>0</v>
      </c>
      <c r="J205" s="6">
        <f t="shared" si="44"/>
        <v>0</v>
      </c>
    </row>
    <row r="206" spans="1:10" ht="52" x14ac:dyDescent="0.35">
      <c r="A206" s="18"/>
      <c r="B206" s="27" t="s">
        <v>90</v>
      </c>
      <c r="C206" s="6">
        <f t="shared" si="43"/>
        <v>0</v>
      </c>
      <c r="D206" s="6">
        <f t="shared" si="43"/>
        <v>0</v>
      </c>
      <c r="E206" s="6">
        <f t="shared" si="43"/>
        <v>0</v>
      </c>
      <c r="F206" s="6">
        <f t="shared" si="43"/>
        <v>0</v>
      </c>
      <c r="G206" s="6">
        <f t="shared" si="43"/>
        <v>0</v>
      </c>
      <c r="H206" s="6">
        <f t="shared" si="43"/>
        <v>0</v>
      </c>
      <c r="I206" s="6">
        <f t="shared" si="44"/>
        <v>0</v>
      </c>
      <c r="J206" s="6">
        <f t="shared" si="44"/>
        <v>0</v>
      </c>
    </row>
    <row r="207" spans="1:10" ht="39" x14ac:dyDescent="0.35">
      <c r="A207" s="18"/>
      <c r="B207" s="27" t="s">
        <v>91</v>
      </c>
      <c r="C207" s="6">
        <f t="shared" si="43"/>
        <v>0</v>
      </c>
      <c r="D207" s="6">
        <f t="shared" si="43"/>
        <v>0</v>
      </c>
      <c r="E207" s="6">
        <f t="shared" si="43"/>
        <v>0</v>
      </c>
      <c r="F207" s="6">
        <f t="shared" si="43"/>
        <v>0</v>
      </c>
      <c r="G207" s="6">
        <f t="shared" si="43"/>
        <v>0</v>
      </c>
      <c r="H207" s="6">
        <f t="shared" si="43"/>
        <v>0</v>
      </c>
      <c r="I207" s="6">
        <f t="shared" si="44"/>
        <v>0</v>
      </c>
      <c r="J207" s="6">
        <f t="shared" si="44"/>
        <v>0</v>
      </c>
    </row>
    <row r="208" spans="1:10" ht="39" x14ac:dyDescent="0.35">
      <c r="A208" s="18"/>
      <c r="B208" s="27" t="s">
        <v>92</v>
      </c>
      <c r="C208" s="6">
        <f t="shared" si="43"/>
        <v>0</v>
      </c>
      <c r="D208" s="6">
        <f t="shared" si="43"/>
        <v>0</v>
      </c>
      <c r="E208" s="6">
        <f t="shared" si="43"/>
        <v>0</v>
      </c>
      <c r="F208" s="6">
        <f t="shared" si="43"/>
        <v>0</v>
      </c>
      <c r="G208" s="6">
        <f t="shared" si="43"/>
        <v>0</v>
      </c>
      <c r="H208" s="6">
        <f t="shared" si="43"/>
        <v>0</v>
      </c>
      <c r="I208" s="6">
        <f t="shared" si="44"/>
        <v>0</v>
      </c>
      <c r="J208" s="6">
        <f t="shared" si="44"/>
        <v>0</v>
      </c>
    </row>
    <row r="209" spans="1:10" x14ac:dyDescent="0.35">
      <c r="A209" s="18"/>
      <c r="B209" s="27" t="s">
        <v>93</v>
      </c>
      <c r="C209" s="6">
        <f t="shared" si="43"/>
        <v>0</v>
      </c>
      <c r="D209" s="6">
        <f t="shared" si="43"/>
        <v>0</v>
      </c>
      <c r="E209" s="6">
        <f t="shared" si="43"/>
        <v>0</v>
      </c>
      <c r="F209" s="6">
        <f>0/(10^5)</f>
        <v>0</v>
      </c>
      <c r="G209" s="6">
        <f>1/(10^5)</f>
        <v>1.0000000000000001E-5</v>
      </c>
      <c r="H209" s="6">
        <f t="shared" si="43"/>
        <v>0</v>
      </c>
      <c r="I209" s="6">
        <f t="shared" si="44"/>
        <v>0</v>
      </c>
      <c r="J209" s="6">
        <f t="shared" si="44"/>
        <v>0</v>
      </c>
    </row>
    <row r="210" spans="1:10" ht="39" x14ac:dyDescent="0.35">
      <c r="A210" s="18"/>
      <c r="B210" s="27" t="s">
        <v>94</v>
      </c>
      <c r="C210" s="6">
        <f t="shared" si="43"/>
        <v>0</v>
      </c>
      <c r="D210" s="6">
        <f t="shared" si="43"/>
        <v>0</v>
      </c>
      <c r="E210" s="6">
        <f t="shared" si="43"/>
        <v>0</v>
      </c>
      <c r="F210" s="6">
        <f>0/(10^5)</f>
        <v>0</v>
      </c>
      <c r="G210" s="6">
        <f>0/(10^5)</f>
        <v>0</v>
      </c>
      <c r="H210" s="6">
        <f t="shared" si="43"/>
        <v>0</v>
      </c>
      <c r="I210" s="6">
        <f t="shared" si="44"/>
        <v>0</v>
      </c>
      <c r="J210" s="6">
        <f t="shared" si="44"/>
        <v>0</v>
      </c>
    </row>
    <row r="211" spans="1:10" ht="39" x14ac:dyDescent="0.35">
      <c r="A211" s="18"/>
      <c r="B211" s="27" t="s">
        <v>95</v>
      </c>
      <c r="C211" s="6">
        <f t="shared" si="43"/>
        <v>0</v>
      </c>
      <c r="D211" s="6">
        <f t="shared" si="43"/>
        <v>0</v>
      </c>
      <c r="E211" s="6">
        <f t="shared" si="43"/>
        <v>0</v>
      </c>
      <c r="F211" s="6">
        <f>0/(10^5)</f>
        <v>0</v>
      </c>
      <c r="G211" s="6">
        <f>0/(10^5)</f>
        <v>0</v>
      </c>
      <c r="H211" s="6">
        <f t="shared" si="43"/>
        <v>0</v>
      </c>
      <c r="I211" s="6">
        <f t="shared" si="44"/>
        <v>0</v>
      </c>
      <c r="J211" s="6">
        <f t="shared" si="44"/>
        <v>0</v>
      </c>
    </row>
    <row r="212" spans="1:10" ht="39" x14ac:dyDescent="0.35">
      <c r="A212" s="18"/>
      <c r="B212" s="27" t="s">
        <v>96</v>
      </c>
      <c r="C212" s="6">
        <f>2702/(10^5)</f>
        <v>2.7019999999999999E-2</v>
      </c>
      <c r="D212" s="6">
        <f>36/(10^5)</f>
        <v>3.6000000000000002E-4</v>
      </c>
      <c r="E212" s="6">
        <f>428/(10^5)</f>
        <v>4.28E-3</v>
      </c>
      <c r="F212" s="6">
        <f>418/(10^5)</f>
        <v>4.1799999999999997E-3</v>
      </c>
      <c r="G212" s="6">
        <f>1969/(10^5)</f>
        <v>1.9689999999999999E-2</v>
      </c>
      <c r="H212" s="6">
        <f>1416/(10^5)</f>
        <v>1.4160000000000001E-2</v>
      </c>
      <c r="I212" s="6">
        <f>70/(10^5)</f>
        <v>6.9999999999999999E-4</v>
      </c>
      <c r="J212" s="6">
        <f>1109/(10^5)</f>
        <v>1.1089999999999999E-2</v>
      </c>
    </row>
    <row r="213" spans="1:10" ht="52" x14ac:dyDescent="0.35">
      <c r="A213" s="18"/>
      <c r="B213" s="27" t="s">
        <v>97</v>
      </c>
      <c r="C213" s="6">
        <f t="shared" ref="C213:J215" si="45">0/(10^5)</f>
        <v>0</v>
      </c>
      <c r="D213" s="6">
        <f t="shared" si="45"/>
        <v>0</v>
      </c>
      <c r="E213" s="6">
        <f t="shared" si="45"/>
        <v>0</v>
      </c>
      <c r="F213" s="6">
        <f t="shared" si="45"/>
        <v>0</v>
      </c>
      <c r="G213" s="6">
        <f t="shared" si="45"/>
        <v>0</v>
      </c>
      <c r="H213" s="6">
        <f t="shared" si="45"/>
        <v>0</v>
      </c>
      <c r="I213" s="6">
        <f t="shared" si="45"/>
        <v>0</v>
      </c>
      <c r="J213" s="6">
        <f t="shared" si="45"/>
        <v>0</v>
      </c>
    </row>
    <row r="214" spans="1:10" ht="26" x14ac:dyDescent="0.35">
      <c r="A214" s="18"/>
      <c r="B214" s="27" t="s">
        <v>98</v>
      </c>
      <c r="C214" s="6">
        <f>3246/(10^5)</f>
        <v>3.2460000000000003E-2</v>
      </c>
      <c r="D214" s="6">
        <f>0/(10^5)</f>
        <v>0</v>
      </c>
      <c r="E214" s="6">
        <f>511/(10^5)</f>
        <v>5.11E-3</v>
      </c>
      <c r="F214" s="6">
        <f t="shared" si="45"/>
        <v>0</v>
      </c>
      <c r="G214" s="6">
        <f t="shared" si="45"/>
        <v>0</v>
      </c>
      <c r="H214" s="6">
        <f t="shared" si="45"/>
        <v>0</v>
      </c>
      <c r="I214" s="6">
        <f t="shared" si="45"/>
        <v>0</v>
      </c>
      <c r="J214" s="6">
        <f t="shared" si="45"/>
        <v>0</v>
      </c>
    </row>
    <row r="215" spans="1:10" ht="26" x14ac:dyDescent="0.35">
      <c r="A215" s="18"/>
      <c r="B215" s="27" t="s">
        <v>99</v>
      </c>
      <c r="C215" s="6">
        <f>0/(10^5)</f>
        <v>0</v>
      </c>
      <c r="D215" s="6">
        <f>0/(10^5)</f>
        <v>0</v>
      </c>
      <c r="E215" s="6">
        <f>0/(10^5)</f>
        <v>0</v>
      </c>
      <c r="F215" s="6">
        <f>0/(10^5)</f>
        <v>0</v>
      </c>
      <c r="G215" s="6">
        <f>0/(10^5)</f>
        <v>0</v>
      </c>
      <c r="H215" s="6">
        <f>0/(10^5)</f>
        <v>0</v>
      </c>
      <c r="I215" s="6">
        <f>2050/(10^5)</f>
        <v>2.0500000000000001E-2</v>
      </c>
      <c r="J215" s="6">
        <f t="shared" si="45"/>
        <v>0</v>
      </c>
    </row>
    <row r="216" spans="1:10" ht="26" x14ac:dyDescent="0.35">
      <c r="A216" s="18"/>
      <c r="B216" s="27" t="s">
        <v>79</v>
      </c>
      <c r="C216" s="6">
        <f>22/(10^5)</f>
        <v>2.2000000000000001E-4</v>
      </c>
      <c r="D216" s="6">
        <f>0/(10^5)</f>
        <v>0</v>
      </c>
      <c r="E216" s="6">
        <f>0/(10^5)</f>
        <v>0</v>
      </c>
      <c r="F216" s="6">
        <f>0/(10^5)</f>
        <v>0</v>
      </c>
      <c r="G216" s="6">
        <f>6/(10^5)</f>
        <v>6.0000000000000002E-5</v>
      </c>
      <c r="H216" s="6">
        <f t="shared" ref="H216:J216" si="46">0/(10^5)</f>
        <v>0</v>
      </c>
      <c r="I216" s="6">
        <f t="shared" si="46"/>
        <v>0</v>
      </c>
      <c r="J216" s="6">
        <f t="shared" si="46"/>
        <v>0</v>
      </c>
    </row>
    <row r="217" spans="1:10" x14ac:dyDescent="0.35">
      <c r="A217" s="18"/>
      <c r="B217" s="27" t="s">
        <v>100</v>
      </c>
      <c r="C217" s="6">
        <f>0/(10^5)</f>
        <v>0</v>
      </c>
      <c r="D217" s="6">
        <f>0/(10^5)</f>
        <v>0</v>
      </c>
      <c r="E217" s="6">
        <f>116044/(10^5)</f>
        <v>1.1604399999999999</v>
      </c>
      <c r="F217" s="6">
        <f t="shared" ref="F217:J217" si="47">0/(10^5)</f>
        <v>0</v>
      </c>
      <c r="G217" s="6">
        <f t="shared" si="47"/>
        <v>0</v>
      </c>
      <c r="H217" s="6">
        <f t="shared" si="47"/>
        <v>0</v>
      </c>
      <c r="I217" s="6">
        <f t="shared" si="47"/>
        <v>0</v>
      </c>
      <c r="J217" s="6">
        <f t="shared" si="47"/>
        <v>0</v>
      </c>
    </row>
    <row r="218" spans="1:10" x14ac:dyDescent="0.35">
      <c r="A218" s="18"/>
      <c r="B218" s="27" t="s">
        <v>101</v>
      </c>
      <c r="C218" s="6">
        <f>30715/(10^5)</f>
        <v>0.30714999999999998</v>
      </c>
      <c r="D218" s="6">
        <f>1328/(10^5)</f>
        <v>1.328E-2</v>
      </c>
      <c r="E218" s="6">
        <f>3418/(10^5)</f>
        <v>3.4180000000000002E-2</v>
      </c>
      <c r="F218" s="6">
        <f>2427/(10^5)</f>
        <v>2.427E-2</v>
      </c>
      <c r="G218" s="6">
        <f>15400/(10^5)</f>
        <v>0.154</v>
      </c>
      <c r="H218" s="6">
        <f>8131/(10^5)</f>
        <v>8.1309999999999993E-2</v>
      </c>
      <c r="I218" s="6">
        <f>513/(10^5)</f>
        <v>5.13E-3</v>
      </c>
      <c r="J218" s="6">
        <f>8084/(10^5)</f>
        <v>8.0839999999999995E-2</v>
      </c>
    </row>
    <row r="219" spans="1:10" ht="52" x14ac:dyDescent="0.35">
      <c r="A219" s="18"/>
      <c r="B219" s="27" t="s">
        <v>102</v>
      </c>
      <c r="C219" s="6">
        <f t="shared" ref="C219:J222" si="48">0/(10^5)</f>
        <v>0</v>
      </c>
      <c r="D219" s="6">
        <f t="shared" si="48"/>
        <v>0</v>
      </c>
      <c r="E219" s="6">
        <f t="shared" si="48"/>
        <v>0</v>
      </c>
      <c r="F219" s="6">
        <f t="shared" si="48"/>
        <v>0</v>
      </c>
      <c r="G219" s="6">
        <f t="shared" si="48"/>
        <v>0</v>
      </c>
      <c r="H219" s="6">
        <f t="shared" si="48"/>
        <v>0</v>
      </c>
      <c r="I219" s="6">
        <f t="shared" si="48"/>
        <v>0</v>
      </c>
      <c r="J219" s="6">
        <f t="shared" si="48"/>
        <v>0</v>
      </c>
    </row>
    <row r="220" spans="1:10" ht="39" x14ac:dyDescent="0.35">
      <c r="A220" s="18"/>
      <c r="B220" s="27" t="s">
        <v>103</v>
      </c>
      <c r="C220" s="6">
        <f t="shared" si="48"/>
        <v>0</v>
      </c>
      <c r="D220" s="6">
        <f t="shared" si="48"/>
        <v>0</v>
      </c>
      <c r="E220" s="6">
        <f t="shared" si="48"/>
        <v>0</v>
      </c>
      <c r="F220" s="6">
        <f t="shared" si="48"/>
        <v>0</v>
      </c>
      <c r="G220" s="6">
        <f t="shared" si="48"/>
        <v>0</v>
      </c>
      <c r="H220" s="6">
        <f t="shared" si="48"/>
        <v>0</v>
      </c>
      <c r="I220" s="6">
        <f t="shared" si="48"/>
        <v>0</v>
      </c>
      <c r="J220" s="6">
        <f t="shared" si="48"/>
        <v>0</v>
      </c>
    </row>
    <row r="221" spans="1:10" ht="52" x14ac:dyDescent="0.35">
      <c r="A221" s="17" t="s">
        <v>29</v>
      </c>
      <c r="B221" s="34"/>
      <c r="C221" s="6">
        <f t="shared" si="48"/>
        <v>0</v>
      </c>
      <c r="D221" s="6">
        <f t="shared" si="48"/>
        <v>0</v>
      </c>
      <c r="E221" s="6">
        <f t="shared" si="48"/>
        <v>0</v>
      </c>
      <c r="F221" s="6">
        <f t="shared" si="48"/>
        <v>0</v>
      </c>
      <c r="G221" s="6">
        <f t="shared" si="48"/>
        <v>0</v>
      </c>
      <c r="H221" s="6">
        <f t="shared" si="48"/>
        <v>0</v>
      </c>
      <c r="I221" s="6">
        <f t="shared" si="48"/>
        <v>0</v>
      </c>
      <c r="J221" s="6">
        <f t="shared" si="48"/>
        <v>0</v>
      </c>
    </row>
    <row r="222" spans="1:10" ht="26" x14ac:dyDescent="0.35">
      <c r="A222" s="18"/>
      <c r="B222" s="27" t="s">
        <v>104</v>
      </c>
      <c r="C222" s="6">
        <f t="shared" si="48"/>
        <v>0</v>
      </c>
      <c r="D222" s="6">
        <f t="shared" si="48"/>
        <v>0</v>
      </c>
      <c r="E222" s="6">
        <f t="shared" si="48"/>
        <v>0</v>
      </c>
      <c r="F222" s="6">
        <f t="shared" si="48"/>
        <v>0</v>
      </c>
      <c r="G222" s="6">
        <f t="shared" si="48"/>
        <v>0</v>
      </c>
      <c r="H222" s="6">
        <f t="shared" si="48"/>
        <v>0</v>
      </c>
      <c r="I222" s="6">
        <f t="shared" si="48"/>
        <v>0</v>
      </c>
      <c r="J222" s="6">
        <f t="shared" si="48"/>
        <v>0</v>
      </c>
    </row>
    <row r="223" spans="1:10" ht="39" x14ac:dyDescent="0.35">
      <c r="A223" s="18"/>
      <c r="B223" s="27" t="s">
        <v>105</v>
      </c>
      <c r="C223" s="6">
        <f>10549/(10^5)</f>
        <v>0.10549</v>
      </c>
      <c r="D223" s="6">
        <f>456/(10^5)</f>
        <v>4.5599999999999998E-3</v>
      </c>
      <c r="E223" s="6">
        <f>1174/(10^5)</f>
        <v>1.174E-2</v>
      </c>
      <c r="F223" s="6">
        <f>833/(10^5)</f>
        <v>8.3300000000000006E-3</v>
      </c>
      <c r="G223" s="6">
        <f>5289/(10^5)</f>
        <v>5.289E-2</v>
      </c>
      <c r="H223" s="6">
        <f>2792/(10^5)</f>
        <v>2.792E-2</v>
      </c>
      <c r="I223" s="6">
        <f>176/(10^5)</f>
        <v>1.7600000000000001E-3</v>
      </c>
      <c r="J223" s="6">
        <f>2776/(10^5)</f>
        <v>2.776E-2</v>
      </c>
    </row>
    <row r="224" spans="1:10" ht="39" x14ac:dyDescent="0.35">
      <c r="A224" s="18"/>
      <c r="B224" s="27" t="s">
        <v>106</v>
      </c>
      <c r="C224" s="6">
        <f t="shared" ref="C224:J227" si="49">0/(10^5)</f>
        <v>0</v>
      </c>
      <c r="D224" s="6">
        <f t="shared" si="49"/>
        <v>0</v>
      </c>
      <c r="E224" s="6">
        <f t="shared" si="49"/>
        <v>0</v>
      </c>
      <c r="F224" s="6">
        <f t="shared" si="49"/>
        <v>0</v>
      </c>
      <c r="G224" s="6">
        <f t="shared" si="49"/>
        <v>0</v>
      </c>
      <c r="H224" s="6">
        <f t="shared" si="49"/>
        <v>0</v>
      </c>
      <c r="I224" s="6">
        <f t="shared" si="49"/>
        <v>0</v>
      </c>
      <c r="J224" s="6">
        <f t="shared" si="49"/>
        <v>0</v>
      </c>
    </row>
    <row r="225" spans="1:10" ht="26" x14ac:dyDescent="0.35">
      <c r="A225" s="18"/>
      <c r="B225" s="27" t="s">
        <v>109</v>
      </c>
      <c r="C225" s="6">
        <f t="shared" si="49"/>
        <v>0</v>
      </c>
      <c r="D225" s="6">
        <f t="shared" si="49"/>
        <v>0</v>
      </c>
      <c r="E225" s="6">
        <f t="shared" si="49"/>
        <v>0</v>
      </c>
      <c r="F225" s="6">
        <f t="shared" si="49"/>
        <v>0</v>
      </c>
      <c r="G225" s="6">
        <f t="shared" si="49"/>
        <v>0</v>
      </c>
      <c r="H225" s="6">
        <f t="shared" si="49"/>
        <v>0</v>
      </c>
      <c r="I225" s="6">
        <f t="shared" si="49"/>
        <v>0</v>
      </c>
      <c r="J225" s="6">
        <f t="shared" si="49"/>
        <v>0</v>
      </c>
    </row>
    <row r="226" spans="1:10" ht="26" x14ac:dyDescent="0.35">
      <c r="A226" s="18"/>
      <c r="B226" s="27" t="s">
        <v>110</v>
      </c>
      <c r="C226" s="6">
        <f t="shared" si="49"/>
        <v>0</v>
      </c>
      <c r="D226" s="6">
        <f t="shared" si="49"/>
        <v>0</v>
      </c>
      <c r="E226" s="6">
        <f t="shared" si="49"/>
        <v>0</v>
      </c>
      <c r="F226" s="6">
        <f t="shared" si="49"/>
        <v>0</v>
      </c>
      <c r="G226" s="6">
        <f t="shared" si="49"/>
        <v>0</v>
      </c>
      <c r="H226" s="6">
        <f t="shared" si="49"/>
        <v>0</v>
      </c>
      <c r="I226" s="6">
        <f t="shared" si="49"/>
        <v>0</v>
      </c>
      <c r="J226" s="6">
        <f t="shared" si="49"/>
        <v>0</v>
      </c>
    </row>
    <row r="227" spans="1:10" ht="26" x14ac:dyDescent="0.35">
      <c r="A227" s="18"/>
      <c r="B227" s="27" t="s">
        <v>111</v>
      </c>
      <c r="C227" s="6">
        <f t="shared" si="49"/>
        <v>0</v>
      </c>
      <c r="D227" s="6">
        <f t="shared" si="49"/>
        <v>0</v>
      </c>
      <c r="E227" s="6">
        <f t="shared" si="49"/>
        <v>0</v>
      </c>
      <c r="F227" s="6">
        <f t="shared" si="49"/>
        <v>0</v>
      </c>
      <c r="G227" s="6">
        <f t="shared" si="49"/>
        <v>0</v>
      </c>
      <c r="H227" s="6">
        <f t="shared" si="49"/>
        <v>0</v>
      </c>
      <c r="I227" s="6">
        <f t="shared" si="49"/>
        <v>0</v>
      </c>
      <c r="J227" s="6">
        <f t="shared" si="49"/>
        <v>0</v>
      </c>
    </row>
    <row r="228" spans="1:10" ht="39" x14ac:dyDescent="0.35">
      <c r="A228" s="18"/>
      <c r="B228" s="27" t="s">
        <v>107</v>
      </c>
      <c r="C228" s="6">
        <f>-24275/(10^5)</f>
        <v>-0.24274999999999999</v>
      </c>
      <c r="D228" s="6">
        <f>-1050/(10^5)</f>
        <v>-1.0500000000000001E-2</v>
      </c>
      <c r="E228" s="6">
        <f>-2701/(10^5)</f>
        <v>-2.7009999999999999E-2</v>
      </c>
      <c r="F228" s="6">
        <f>-1918/(10^5)</f>
        <v>-1.9179999999999999E-2</v>
      </c>
      <c r="G228" s="6">
        <f>-12171/(10^5)</f>
        <v>-0.12171</v>
      </c>
      <c r="H228" s="6">
        <f>-6426/(10^5)</f>
        <v>-6.4259999999999998E-2</v>
      </c>
      <c r="I228" s="6">
        <f>-406/(10^5)</f>
        <v>-4.0600000000000002E-3</v>
      </c>
      <c r="J228" s="6">
        <f>-6389/(10^5)</f>
        <v>-6.3890000000000002E-2</v>
      </c>
    </row>
    <row r="229" spans="1:10" ht="65" x14ac:dyDescent="0.35">
      <c r="A229" s="18"/>
      <c r="B229" s="27" t="s">
        <v>112</v>
      </c>
      <c r="C229" s="6">
        <f>0/(10^5)</f>
        <v>0</v>
      </c>
      <c r="D229" s="6">
        <f>0/(10^5)</f>
        <v>0</v>
      </c>
      <c r="E229" s="6">
        <f>0/(10^5)</f>
        <v>0</v>
      </c>
      <c r="F229" s="6">
        <f>0/(10^5)</f>
        <v>0</v>
      </c>
      <c r="G229" s="6">
        <f>0/(10^5)</f>
        <v>0</v>
      </c>
      <c r="H229" s="6">
        <f>71335/(10^5)</f>
        <v>0.71335000000000004</v>
      </c>
      <c r="I229" s="6">
        <f t="shared" ref="I229:J229" si="50">0/(10^5)</f>
        <v>0</v>
      </c>
      <c r="J229" s="6">
        <f t="shared" si="50"/>
        <v>0</v>
      </c>
    </row>
    <row r="230" spans="1:10" ht="52" x14ac:dyDescent="0.35">
      <c r="A230" s="18"/>
      <c r="B230" s="27" t="s">
        <v>113</v>
      </c>
      <c r="C230" s="6">
        <f>4520/(10^5)</f>
        <v>4.5199999999999997E-2</v>
      </c>
      <c r="D230" s="6">
        <f>0/(10^5)</f>
        <v>0</v>
      </c>
      <c r="E230" s="6">
        <f>0/(10^5)</f>
        <v>0</v>
      </c>
      <c r="F230" s="6">
        <f>0/(10^5)</f>
        <v>0</v>
      </c>
      <c r="G230" s="6">
        <f>1772/(10^5)</f>
        <v>1.772E-2</v>
      </c>
      <c r="H230" s="6">
        <f>0/(10^5)</f>
        <v>0</v>
      </c>
      <c r="I230" s="6">
        <f>143/(10^5)</f>
        <v>1.4300000000000001E-3</v>
      </c>
      <c r="J230" s="6">
        <f>4027/(10^5)</f>
        <v>4.027E-2</v>
      </c>
    </row>
    <row r="231" spans="1:10" ht="39" x14ac:dyDescent="0.35">
      <c r="A231" s="18"/>
      <c r="B231" s="27" t="s">
        <v>114</v>
      </c>
      <c r="C231" s="6">
        <f>112023/(10^5)</f>
        <v>1.1202300000000001</v>
      </c>
      <c r="D231" s="6">
        <f>4845/(10^5)</f>
        <v>4.845E-2</v>
      </c>
      <c r="E231" s="6">
        <f>12465/(10^5)</f>
        <v>0.12465</v>
      </c>
      <c r="F231" s="6">
        <f>8850/(10^5)</f>
        <v>8.8499999999999995E-2</v>
      </c>
      <c r="G231" s="6">
        <f>56166/(10^5)</f>
        <v>0.56166000000000005</v>
      </c>
      <c r="H231" s="6">
        <f>29654/(10^5)</f>
        <v>0.29654000000000003</v>
      </c>
      <c r="I231" s="6">
        <f>1873/(10^5)</f>
        <v>1.873E-2</v>
      </c>
      <c r="J231" s="6">
        <f>29484/(10^5)</f>
        <v>0.29483999999999999</v>
      </c>
    </row>
    <row r="232" spans="1:10" ht="39" x14ac:dyDescent="0.35">
      <c r="A232" s="18"/>
      <c r="B232" s="27" t="s">
        <v>115</v>
      </c>
      <c r="C232" s="6">
        <f>16614/(10^5)</f>
        <v>0.16614000000000001</v>
      </c>
      <c r="D232" s="6">
        <f t="shared" ref="D232:F233" si="51">0/(10^5)</f>
        <v>0</v>
      </c>
      <c r="E232" s="6">
        <f t="shared" si="51"/>
        <v>0</v>
      </c>
      <c r="F232" s="6">
        <f t="shared" si="51"/>
        <v>0</v>
      </c>
      <c r="G232" s="6">
        <f>6513/(10^5)</f>
        <v>6.5129999999999993E-2</v>
      </c>
      <c r="H232" s="6">
        <f>0/(10^5)</f>
        <v>0</v>
      </c>
      <c r="I232" s="6">
        <f>526/(10^5)</f>
        <v>5.2599999999999999E-3</v>
      </c>
      <c r="J232" s="6">
        <f>14800/(10^5)</f>
        <v>0.14799999999999999</v>
      </c>
    </row>
    <row r="233" spans="1:10" ht="52" x14ac:dyDescent="0.35">
      <c r="A233" s="18"/>
      <c r="B233" s="27" t="s">
        <v>116</v>
      </c>
      <c r="C233" s="6">
        <f>0/(10^5)</f>
        <v>0</v>
      </c>
      <c r="D233" s="6">
        <f t="shared" si="51"/>
        <v>0</v>
      </c>
      <c r="E233" s="6">
        <f t="shared" si="51"/>
        <v>0</v>
      </c>
      <c r="F233" s="6">
        <f t="shared" si="51"/>
        <v>0</v>
      </c>
      <c r="G233" s="6">
        <f>0/(10^5)</f>
        <v>0</v>
      </c>
      <c r="H233" s="6">
        <f>0/(10^5)</f>
        <v>0</v>
      </c>
      <c r="I233" s="6">
        <f>0/(10^5)</f>
        <v>0</v>
      </c>
      <c r="J233" s="6">
        <f>0/(10^5)</f>
        <v>0</v>
      </c>
    </row>
    <row r="234" spans="1:10" ht="52" x14ac:dyDescent="0.35">
      <c r="A234" s="18"/>
      <c r="B234" s="27" t="s">
        <v>108</v>
      </c>
      <c r="C234" s="6">
        <f>69893/(10^5)</f>
        <v>0.69893000000000005</v>
      </c>
      <c r="D234" s="6">
        <f>3023/(10^5)</f>
        <v>3.023E-2</v>
      </c>
      <c r="E234" s="6">
        <f>7777/(10^5)</f>
        <v>7.7770000000000006E-2</v>
      </c>
      <c r="F234" s="6">
        <f>5522/(10^5)</f>
        <v>5.5219999999999998E-2</v>
      </c>
      <c r="G234" s="6">
        <f>35043/(10^5)</f>
        <v>0.35043000000000002</v>
      </c>
      <c r="H234" s="6">
        <f>18502/(10^5)</f>
        <v>0.18501999999999999</v>
      </c>
      <c r="I234" s="6">
        <f>1168/(10^5)</f>
        <v>1.1679999999999999E-2</v>
      </c>
      <c r="J234" s="6">
        <f>18396/(10^5)</f>
        <v>0.18396000000000001</v>
      </c>
    </row>
    <row r="235" spans="1:10" ht="26" x14ac:dyDescent="0.35">
      <c r="A235" s="18"/>
      <c r="B235" s="27" t="s">
        <v>117</v>
      </c>
      <c r="C235" s="6">
        <f>280566/(10^5)</f>
        <v>2.80566</v>
      </c>
      <c r="D235" s="6">
        <f>12135/(10^5)</f>
        <v>0.12135</v>
      </c>
      <c r="E235" s="6">
        <f>31218/(10^5)</f>
        <v>0.31218000000000001</v>
      </c>
      <c r="F235" s="6">
        <f>22166/(10^5)</f>
        <v>0.22166</v>
      </c>
      <c r="G235" s="6">
        <f>140670/(10^5)</f>
        <v>1.4067000000000001</v>
      </c>
      <c r="H235" s="6">
        <f>74270/(10^5)</f>
        <v>0.74270000000000003</v>
      </c>
      <c r="I235" s="6">
        <f>4690/(10^5)</f>
        <v>4.6899999999999997E-2</v>
      </c>
      <c r="J235" s="6">
        <f>73844/(10^5)</f>
        <v>0.73843999999999999</v>
      </c>
    </row>
    <row r="236" spans="1:10" ht="39" x14ac:dyDescent="0.35">
      <c r="A236" s="18"/>
      <c r="B236" s="27" t="s">
        <v>119</v>
      </c>
      <c r="C236" s="6">
        <f>17559/(10^5)</f>
        <v>0.17559</v>
      </c>
      <c r="D236" s="6">
        <f>759/(10^5)</f>
        <v>7.5900000000000004E-3</v>
      </c>
      <c r="E236" s="6">
        <f>1954/(10^5)</f>
        <v>1.9539999999999998E-2</v>
      </c>
      <c r="F236" s="6">
        <f>1387/(10^5)</f>
        <v>1.387E-2</v>
      </c>
      <c r="G236" s="6">
        <f>8804/(10^5)</f>
        <v>8.8039999999999993E-2</v>
      </c>
      <c r="H236" s="6">
        <f>4648/(10^5)</f>
        <v>4.648E-2</v>
      </c>
      <c r="I236" s="6">
        <f>293/(10^5)</f>
        <v>2.9299999999999999E-3</v>
      </c>
      <c r="J236" s="6">
        <f>4621/(10^5)</f>
        <v>4.6210000000000001E-2</v>
      </c>
    </row>
    <row r="237" spans="1:10" ht="52" x14ac:dyDescent="0.35">
      <c r="A237" s="18"/>
      <c r="B237" s="27" t="s">
        <v>120</v>
      </c>
      <c r="C237" s="6">
        <f t="shared" ref="C237:J238" si="52">0/(10^5)</f>
        <v>0</v>
      </c>
      <c r="D237" s="6">
        <f t="shared" si="52"/>
        <v>0</v>
      </c>
      <c r="E237" s="6">
        <f t="shared" si="52"/>
        <v>0</v>
      </c>
      <c r="F237" s="6">
        <f t="shared" si="52"/>
        <v>0</v>
      </c>
      <c r="G237" s="6">
        <f t="shared" si="52"/>
        <v>0</v>
      </c>
      <c r="H237" s="6">
        <f t="shared" si="52"/>
        <v>0</v>
      </c>
      <c r="I237" s="6">
        <f t="shared" si="52"/>
        <v>0</v>
      </c>
      <c r="J237" s="6">
        <f t="shared" si="52"/>
        <v>0</v>
      </c>
    </row>
    <row r="238" spans="1:10" ht="52" x14ac:dyDescent="0.35">
      <c r="A238" s="18"/>
      <c r="B238" s="27" t="s">
        <v>121</v>
      </c>
      <c r="C238" s="6">
        <f t="shared" si="52"/>
        <v>0</v>
      </c>
      <c r="D238" s="6">
        <f t="shared" si="52"/>
        <v>0</v>
      </c>
      <c r="E238" s="6">
        <f t="shared" si="52"/>
        <v>0</v>
      </c>
      <c r="F238" s="6">
        <f t="shared" si="52"/>
        <v>0</v>
      </c>
      <c r="G238" s="6">
        <f t="shared" si="52"/>
        <v>0</v>
      </c>
      <c r="H238" s="6">
        <f t="shared" si="52"/>
        <v>0</v>
      </c>
      <c r="I238" s="6">
        <f t="shared" si="52"/>
        <v>0</v>
      </c>
      <c r="J238" s="6">
        <f t="shared" si="52"/>
        <v>0</v>
      </c>
    </row>
    <row r="239" spans="1:10" ht="39" x14ac:dyDescent="0.35">
      <c r="A239" s="18"/>
      <c r="B239" s="27" t="s">
        <v>122</v>
      </c>
      <c r="C239" s="6">
        <f>6857/(10^5)</f>
        <v>6.8570000000000006E-2</v>
      </c>
      <c r="D239" s="6">
        <f>297/(10^5)</f>
        <v>2.97E-3</v>
      </c>
      <c r="E239" s="6">
        <f>763/(10^5)</f>
        <v>7.6299999999999996E-3</v>
      </c>
      <c r="F239" s="6">
        <f>542/(10^5)</f>
        <v>5.4200000000000003E-3</v>
      </c>
      <c r="G239" s="6">
        <f>3438/(10^5)</f>
        <v>3.4380000000000001E-2</v>
      </c>
      <c r="H239" s="6">
        <f>1815/(10^5)</f>
        <v>1.8149999999999999E-2</v>
      </c>
      <c r="I239" s="6">
        <f>115/(10^5)</f>
        <v>1.15E-3</v>
      </c>
      <c r="J239" s="6">
        <f>1805/(10^5)</f>
        <v>1.805E-2</v>
      </c>
    </row>
    <row r="240" spans="1:10" ht="39" x14ac:dyDescent="0.35">
      <c r="A240" s="18"/>
      <c r="B240" s="27" t="s">
        <v>123</v>
      </c>
      <c r="C240" s="6">
        <f>4884/(10^5)</f>
        <v>4.8840000000000001E-2</v>
      </c>
      <c r="D240" s="6">
        <f>211/(10^5)</f>
        <v>2.1099999999999999E-3</v>
      </c>
      <c r="E240" s="6">
        <f>543/(10^5)</f>
        <v>5.4299999999999999E-3</v>
      </c>
      <c r="F240" s="6">
        <f>386/(10^5)</f>
        <v>3.8600000000000001E-3</v>
      </c>
      <c r="G240" s="6">
        <f>2449/(10^5)</f>
        <v>2.4490000000000001E-2</v>
      </c>
      <c r="H240" s="6">
        <f>1293/(10^5)</f>
        <v>1.2930000000000001E-2</v>
      </c>
      <c r="I240" s="6">
        <f>82/(10^5)</f>
        <v>8.1999999999999998E-4</v>
      </c>
      <c r="J240" s="6">
        <f>1286/(10^5)</f>
        <v>1.286E-2</v>
      </c>
    </row>
    <row r="241" spans="1:10" ht="26" x14ac:dyDescent="0.35">
      <c r="A241" s="18"/>
      <c r="B241" s="27" t="s">
        <v>124</v>
      </c>
      <c r="C241" s="6">
        <f t="shared" ref="C241:J242" si="53">0/(10^5)</f>
        <v>0</v>
      </c>
      <c r="D241" s="6">
        <f t="shared" si="53"/>
        <v>0</v>
      </c>
      <c r="E241" s="6">
        <f t="shared" si="53"/>
        <v>0</v>
      </c>
      <c r="F241" s="6">
        <f t="shared" si="53"/>
        <v>0</v>
      </c>
      <c r="G241" s="6">
        <f t="shared" si="53"/>
        <v>0</v>
      </c>
      <c r="H241" s="6">
        <f t="shared" si="53"/>
        <v>0</v>
      </c>
      <c r="I241" s="6">
        <f t="shared" si="53"/>
        <v>0</v>
      </c>
      <c r="J241" s="6">
        <f t="shared" si="53"/>
        <v>0</v>
      </c>
    </row>
    <row r="242" spans="1:10" ht="26" x14ac:dyDescent="0.35">
      <c r="A242" s="18"/>
      <c r="B242" s="27" t="s">
        <v>125</v>
      </c>
      <c r="C242" s="6">
        <f t="shared" si="53"/>
        <v>0</v>
      </c>
      <c r="D242" s="6">
        <f t="shared" si="53"/>
        <v>0</v>
      </c>
      <c r="E242" s="6">
        <f t="shared" si="53"/>
        <v>0</v>
      </c>
      <c r="F242" s="6">
        <f t="shared" si="53"/>
        <v>0</v>
      </c>
      <c r="G242" s="6">
        <f t="shared" si="53"/>
        <v>0</v>
      </c>
      <c r="H242" s="6">
        <f t="shared" si="53"/>
        <v>0</v>
      </c>
      <c r="I242" s="6">
        <f t="shared" si="53"/>
        <v>0</v>
      </c>
      <c r="J242" s="6">
        <f t="shared" si="53"/>
        <v>0</v>
      </c>
    </row>
    <row r="243" spans="1:10" x14ac:dyDescent="0.35">
      <c r="A243" s="15" t="s">
        <v>11</v>
      </c>
      <c r="B243" s="22"/>
      <c r="C243" s="22"/>
      <c r="D243" s="15"/>
      <c r="E243" s="15"/>
      <c r="F243" s="15"/>
      <c r="G243" s="15"/>
      <c r="H243" s="15"/>
      <c r="I243" s="15"/>
      <c r="J243" s="15"/>
    </row>
    <row r="244" spans="1:10" ht="15" thickBot="1" x14ac:dyDescent="0.4">
      <c r="A244" s="7"/>
      <c r="B244" s="32"/>
      <c r="C244" s="15"/>
      <c r="D244" s="15"/>
      <c r="E244" s="15"/>
      <c r="F244" s="15"/>
      <c r="G244" s="15"/>
      <c r="H244" s="15"/>
      <c r="I244" s="15"/>
      <c r="J244" s="15"/>
    </row>
    <row r="245" spans="1:10" ht="52.5" thickBot="1" x14ac:dyDescent="0.4">
      <c r="A245" s="9" t="s">
        <v>30</v>
      </c>
      <c r="B245" s="29"/>
      <c r="C245" s="10">
        <f t="shared" ref="C245:J245" si="54">SUM(C169:C244)</f>
        <v>9.7586899999999996</v>
      </c>
      <c r="D245" s="10">
        <f t="shared" si="54"/>
        <v>0.30130999999999997</v>
      </c>
      <c r="E245" s="10">
        <f t="shared" si="54"/>
        <v>2.0851900000000003</v>
      </c>
      <c r="F245" s="10">
        <f t="shared" si="54"/>
        <v>0.77736000000000005</v>
      </c>
      <c r="G245" s="10">
        <f t="shared" si="54"/>
        <v>4.4975700000000005</v>
      </c>
      <c r="H245" s="10">
        <f t="shared" si="54"/>
        <v>3.5166399999999998</v>
      </c>
      <c r="I245" s="10">
        <f t="shared" si="54"/>
        <v>0.37302000000000002</v>
      </c>
      <c r="J245" s="10">
        <f t="shared" si="54"/>
        <v>3.0915900000000001</v>
      </c>
    </row>
    <row r="246" spans="1:10" ht="78.5" thickBot="1" x14ac:dyDescent="0.4">
      <c r="A246" s="9" t="s">
        <v>31</v>
      </c>
      <c r="B246" s="29"/>
      <c r="C246" s="23">
        <f t="shared" ref="C246:J246" si="55">C166-C245</f>
        <v>-30.953800000000001</v>
      </c>
      <c r="D246" s="23">
        <f t="shared" si="55"/>
        <v>0.5890200000000001</v>
      </c>
      <c r="E246" s="23">
        <f t="shared" si="55"/>
        <v>-5.5199500000000015</v>
      </c>
      <c r="F246" s="23">
        <f t="shared" si="55"/>
        <v>2.9183900000000005</v>
      </c>
      <c r="G246" s="23">
        <f t="shared" si="55"/>
        <v>14.940610000000003</v>
      </c>
      <c r="H246" s="23">
        <f t="shared" si="55"/>
        <v>2.9655500000000012</v>
      </c>
      <c r="I246" s="23">
        <f t="shared" si="55"/>
        <v>-9.9079999999999946E-2</v>
      </c>
      <c r="J246" s="23">
        <f t="shared" si="55"/>
        <v>-4.5350700000000002</v>
      </c>
    </row>
    <row r="247" spans="1:10" ht="39.5" thickBot="1" x14ac:dyDescent="0.4">
      <c r="A247" s="9" t="s">
        <v>32</v>
      </c>
      <c r="B247" s="29"/>
      <c r="C247" s="21">
        <f t="shared" ref="C247:J247" si="56">C246/C6</f>
        <v>-4.0649044175293403</v>
      </c>
      <c r="D247" s="21">
        <f t="shared" si="56"/>
        <v>0.43637575937175882</v>
      </c>
      <c r="E247" s="21">
        <f t="shared" si="56"/>
        <v>-1.870725590537839</v>
      </c>
      <c r="F247" s="21">
        <f t="shared" si="56"/>
        <v>0.55393921908424337</v>
      </c>
      <c r="G247" s="21">
        <f t="shared" si="56"/>
        <v>0.50134895616966257</v>
      </c>
      <c r="H247" s="21">
        <f t="shared" si="56"/>
        <v>0.23838213164934674</v>
      </c>
      <c r="I247" s="21">
        <f t="shared" si="56"/>
        <v>-7.8022505886336552E-2</v>
      </c>
      <c r="J247" s="21">
        <f t="shared" si="56"/>
        <v>-1.7273167015806516</v>
      </c>
    </row>
    <row r="248" spans="1:10" ht="26" x14ac:dyDescent="0.35">
      <c r="A248" s="11" t="s">
        <v>33</v>
      </c>
      <c r="B248" s="30"/>
      <c r="C248" s="12">
        <f>0/(10^5)</f>
        <v>0</v>
      </c>
      <c r="D248" s="12">
        <f>0/(10^5)</f>
        <v>0</v>
      </c>
      <c r="E248" s="12">
        <f>0/(10^5)</f>
        <v>0</v>
      </c>
      <c r="F248" s="12">
        <f>0/(10^5)</f>
        <v>0</v>
      </c>
      <c r="G248" s="12">
        <f>0/(10^5)</f>
        <v>0</v>
      </c>
      <c r="H248" s="6"/>
      <c r="I248" s="6">
        <f t="shared" ref="I248:J248" si="57">0/(10^5)</f>
        <v>0</v>
      </c>
      <c r="J248" s="12">
        <f t="shared" si="57"/>
        <v>0</v>
      </c>
    </row>
    <row r="249" spans="1:10" ht="39" x14ac:dyDescent="0.35">
      <c r="A249" s="7"/>
      <c r="B249" s="27" t="s">
        <v>54</v>
      </c>
      <c r="C249" s="14"/>
      <c r="D249" s="14"/>
      <c r="E249" s="14"/>
      <c r="F249" s="14"/>
      <c r="G249" s="14"/>
      <c r="H249" s="14"/>
      <c r="I249" s="14"/>
      <c r="J249" s="14"/>
    </row>
    <row r="250" spans="1:10" ht="26" x14ac:dyDescent="0.35">
      <c r="A250" s="7"/>
      <c r="B250" s="27" t="s">
        <v>56</v>
      </c>
      <c r="C250" s="14"/>
      <c r="D250" s="14"/>
      <c r="E250" s="14"/>
      <c r="F250" s="14"/>
      <c r="G250" s="14"/>
      <c r="H250" s="14"/>
      <c r="I250" s="14"/>
      <c r="J250" s="14"/>
    </row>
    <row r="251" spans="1:10" ht="26" x14ac:dyDescent="0.35">
      <c r="A251" s="7"/>
      <c r="B251" s="27" t="s">
        <v>126</v>
      </c>
      <c r="C251" s="14"/>
      <c r="D251" s="14"/>
      <c r="E251" s="14"/>
      <c r="F251" s="14"/>
      <c r="G251" s="14"/>
      <c r="H251" s="14"/>
      <c r="I251" s="14"/>
      <c r="J251" s="14"/>
    </row>
    <row r="252" spans="1:10" ht="26" x14ac:dyDescent="0.35">
      <c r="A252" s="7"/>
      <c r="B252" s="27" t="s">
        <v>58</v>
      </c>
      <c r="C252" s="14"/>
      <c r="D252" s="14"/>
      <c r="E252" s="14"/>
      <c r="F252" s="14"/>
      <c r="G252" s="14"/>
      <c r="H252" s="14"/>
      <c r="I252" s="14"/>
      <c r="J252" s="14"/>
    </row>
    <row r="253" spans="1:10" ht="39" x14ac:dyDescent="0.35">
      <c r="A253" s="7"/>
      <c r="B253" s="27" t="s">
        <v>59</v>
      </c>
      <c r="C253" s="14"/>
      <c r="D253" s="14"/>
      <c r="E253" s="14"/>
      <c r="F253" s="14"/>
      <c r="G253" s="14"/>
      <c r="H253" s="14"/>
      <c r="I253" s="14"/>
      <c r="J253" s="14"/>
    </row>
    <row r="254" spans="1:10" ht="26" x14ac:dyDescent="0.35">
      <c r="A254" s="7"/>
      <c r="B254" s="27" t="s">
        <v>127</v>
      </c>
      <c r="C254" s="14"/>
      <c r="D254" s="14"/>
      <c r="E254" s="14"/>
      <c r="F254" s="14"/>
      <c r="G254" s="14"/>
      <c r="H254" s="14"/>
      <c r="I254" s="14"/>
      <c r="J254" s="14"/>
    </row>
    <row r="255" spans="1:10" ht="26" x14ac:dyDescent="0.35">
      <c r="A255" s="7"/>
      <c r="B255" s="27" t="s">
        <v>62</v>
      </c>
      <c r="C255" s="14"/>
      <c r="D255" s="14"/>
      <c r="E255" s="14"/>
      <c r="F255" s="14"/>
      <c r="G255" s="14"/>
      <c r="H255" s="14"/>
      <c r="I255" s="14"/>
      <c r="J255" s="14"/>
    </row>
    <row r="256" spans="1:10" ht="39" x14ac:dyDescent="0.35">
      <c r="A256" s="7"/>
      <c r="B256" s="27" t="s">
        <v>63</v>
      </c>
      <c r="C256" s="14"/>
      <c r="D256" s="14"/>
      <c r="E256" s="14"/>
      <c r="F256" s="14"/>
      <c r="G256" s="14"/>
      <c r="H256" s="14"/>
      <c r="I256" s="14"/>
      <c r="J256" s="14"/>
    </row>
    <row r="257" spans="1:10" ht="39" x14ac:dyDescent="0.35">
      <c r="A257" s="7"/>
      <c r="B257" s="27" t="s">
        <v>64</v>
      </c>
      <c r="C257" s="14"/>
      <c r="D257" s="14"/>
      <c r="E257" s="14"/>
      <c r="F257" s="14"/>
      <c r="G257" s="14"/>
      <c r="H257" s="14"/>
      <c r="I257" s="14"/>
      <c r="J257" s="14"/>
    </row>
    <row r="258" spans="1:10" x14ac:dyDescent="0.35">
      <c r="A258" s="7"/>
      <c r="B258" s="27" t="s">
        <v>65</v>
      </c>
      <c r="C258" s="14"/>
      <c r="D258" s="14"/>
      <c r="E258" s="14"/>
      <c r="F258" s="14"/>
      <c r="G258" s="14"/>
      <c r="H258" s="14"/>
      <c r="I258" s="14"/>
      <c r="J258" s="14"/>
    </row>
    <row r="259" spans="1:10" ht="39" x14ac:dyDescent="0.35">
      <c r="A259" s="7"/>
      <c r="B259" s="27" t="s">
        <v>66</v>
      </c>
      <c r="C259" s="14"/>
      <c r="D259" s="14"/>
      <c r="E259" s="14"/>
      <c r="F259" s="14"/>
      <c r="G259" s="14"/>
      <c r="H259" s="14"/>
      <c r="I259" s="14"/>
      <c r="J259" s="14"/>
    </row>
    <row r="260" spans="1:10" ht="39" x14ac:dyDescent="0.35">
      <c r="A260" s="7"/>
      <c r="B260" s="27" t="s">
        <v>128</v>
      </c>
      <c r="C260" s="14"/>
      <c r="D260" s="14"/>
      <c r="E260" s="14"/>
      <c r="F260" s="14"/>
      <c r="G260" s="14"/>
      <c r="H260" s="14"/>
      <c r="I260" s="14"/>
      <c r="J260" s="14"/>
    </row>
    <row r="261" spans="1:10" ht="52" x14ac:dyDescent="0.35">
      <c r="A261" s="7"/>
      <c r="B261" s="27" t="s">
        <v>129</v>
      </c>
      <c r="C261" s="14"/>
      <c r="D261" s="14"/>
      <c r="E261" s="14"/>
      <c r="F261" s="14"/>
      <c r="G261" s="14"/>
      <c r="H261" s="14"/>
      <c r="I261" s="14"/>
      <c r="J261" s="14"/>
    </row>
    <row r="262" spans="1:10" ht="52" x14ac:dyDescent="0.35">
      <c r="A262" s="7"/>
      <c r="B262" s="27" t="s">
        <v>130</v>
      </c>
      <c r="C262" s="14"/>
      <c r="D262" s="14"/>
      <c r="E262" s="14"/>
      <c r="F262" s="14"/>
      <c r="G262" s="14"/>
      <c r="H262" s="14"/>
      <c r="I262" s="14"/>
      <c r="J262" s="14"/>
    </row>
    <row r="263" spans="1:10" ht="39" x14ac:dyDescent="0.35">
      <c r="A263" s="7"/>
      <c r="B263" s="27" t="s">
        <v>75</v>
      </c>
      <c r="C263" s="14"/>
      <c r="D263" s="14"/>
      <c r="E263" s="14"/>
      <c r="F263" s="14"/>
      <c r="G263" s="14"/>
      <c r="H263" s="14"/>
      <c r="I263" s="14"/>
      <c r="J263" s="14"/>
    </row>
    <row r="264" spans="1:10" ht="26" x14ac:dyDescent="0.35">
      <c r="A264" s="7"/>
      <c r="B264" s="27" t="s">
        <v>76</v>
      </c>
      <c r="C264" s="14"/>
      <c r="D264" s="14"/>
      <c r="E264" s="14"/>
      <c r="F264" s="14"/>
      <c r="G264" s="14"/>
      <c r="H264" s="14"/>
      <c r="I264" s="14"/>
      <c r="J264" s="14"/>
    </row>
    <row r="265" spans="1:10" ht="39" x14ac:dyDescent="0.35">
      <c r="A265" s="7"/>
      <c r="B265" s="27" t="s">
        <v>77</v>
      </c>
      <c r="C265" s="14"/>
      <c r="D265" s="14"/>
      <c r="E265" s="14"/>
      <c r="F265" s="14"/>
      <c r="G265" s="14"/>
      <c r="H265" s="14"/>
      <c r="I265" s="14"/>
      <c r="J265" s="14"/>
    </row>
    <row r="266" spans="1:10" ht="26" x14ac:dyDescent="0.35">
      <c r="A266" s="7"/>
      <c r="B266" s="27" t="s">
        <v>78</v>
      </c>
      <c r="C266" s="14"/>
      <c r="D266" s="14"/>
      <c r="E266" s="14"/>
      <c r="F266" s="14"/>
      <c r="G266" s="14"/>
      <c r="H266" s="14"/>
      <c r="I266" s="14"/>
      <c r="J266" s="14"/>
    </row>
    <row r="267" spans="1:10" ht="26" x14ac:dyDescent="0.35">
      <c r="A267" s="7"/>
      <c r="B267" s="27" t="s">
        <v>131</v>
      </c>
      <c r="C267" s="14"/>
      <c r="D267" s="14"/>
      <c r="E267" s="14"/>
      <c r="F267" s="14"/>
      <c r="G267" s="14"/>
      <c r="H267" s="14"/>
      <c r="I267" s="14"/>
      <c r="J267" s="14"/>
    </row>
    <row r="268" spans="1:10" ht="52" x14ac:dyDescent="0.35">
      <c r="A268" s="7"/>
      <c r="B268" s="27" t="s">
        <v>132</v>
      </c>
      <c r="C268" s="14"/>
      <c r="D268" s="14"/>
      <c r="E268" s="14"/>
      <c r="F268" s="14"/>
      <c r="G268" s="14"/>
      <c r="H268" s="14"/>
      <c r="I268" s="14"/>
      <c r="J268" s="14"/>
    </row>
    <row r="269" spans="1:10" ht="52" x14ac:dyDescent="0.35">
      <c r="A269" s="7"/>
      <c r="B269" s="27" t="s">
        <v>133</v>
      </c>
      <c r="C269" s="14"/>
      <c r="D269" s="14"/>
      <c r="E269" s="14"/>
      <c r="F269" s="14"/>
      <c r="G269" s="14"/>
      <c r="H269" s="14"/>
      <c r="I269" s="14"/>
      <c r="J269" s="14"/>
    </row>
    <row r="270" spans="1:10" ht="65" x14ac:dyDescent="0.35">
      <c r="A270" s="7"/>
      <c r="B270" s="27" t="s">
        <v>134</v>
      </c>
      <c r="C270" s="14"/>
      <c r="D270" s="14"/>
      <c r="E270" s="14"/>
      <c r="F270" s="14"/>
      <c r="G270" s="14"/>
      <c r="H270" s="14"/>
      <c r="I270" s="14"/>
      <c r="J270" s="14"/>
    </row>
    <row r="271" spans="1:10" ht="65" x14ac:dyDescent="0.35">
      <c r="A271" s="7"/>
      <c r="B271" s="27" t="s">
        <v>135</v>
      </c>
      <c r="C271" s="14"/>
      <c r="D271" s="14"/>
      <c r="E271" s="14"/>
      <c r="F271" s="14"/>
      <c r="G271" s="14"/>
      <c r="H271" s="14"/>
      <c r="I271" s="14"/>
      <c r="J271" s="14"/>
    </row>
    <row r="272" spans="1:10" ht="52" x14ac:dyDescent="0.35">
      <c r="A272" s="7"/>
      <c r="B272" s="27" t="s">
        <v>136</v>
      </c>
      <c r="C272" s="14"/>
      <c r="D272" s="14"/>
      <c r="E272" s="14"/>
      <c r="F272" s="14"/>
      <c r="G272" s="14"/>
      <c r="H272" s="14"/>
      <c r="I272" s="14"/>
      <c r="J272" s="14"/>
    </row>
    <row r="273" spans="1:10" ht="52" x14ac:dyDescent="0.35">
      <c r="A273" s="7"/>
      <c r="B273" s="27" t="s">
        <v>137</v>
      </c>
      <c r="C273" s="14"/>
      <c r="D273" s="14"/>
      <c r="E273" s="14"/>
      <c r="F273" s="14"/>
      <c r="G273" s="14"/>
      <c r="H273" s="14"/>
      <c r="I273" s="14"/>
      <c r="J273" s="14"/>
    </row>
    <row r="274" spans="1:10" ht="52" x14ac:dyDescent="0.35">
      <c r="A274" s="7"/>
      <c r="B274" s="27" t="s">
        <v>138</v>
      </c>
      <c r="C274" s="14"/>
      <c r="D274" s="14"/>
      <c r="E274" s="14"/>
      <c r="F274" s="14"/>
      <c r="G274" s="14"/>
      <c r="H274" s="14"/>
      <c r="I274" s="14"/>
      <c r="J274" s="14"/>
    </row>
    <row r="275" spans="1:10" ht="52" x14ac:dyDescent="0.35">
      <c r="A275" s="7"/>
      <c r="B275" s="27" t="s">
        <v>139</v>
      </c>
      <c r="C275" s="14"/>
      <c r="D275" s="14"/>
      <c r="E275" s="14"/>
      <c r="F275" s="14"/>
      <c r="G275" s="14"/>
      <c r="H275" s="14"/>
      <c r="I275" s="14"/>
      <c r="J275" s="14"/>
    </row>
    <row r="276" spans="1:10" ht="26" x14ac:dyDescent="0.35">
      <c r="A276" s="7"/>
      <c r="B276" s="27" t="s">
        <v>89</v>
      </c>
      <c r="C276" s="14"/>
      <c r="D276" s="14"/>
      <c r="E276" s="14"/>
      <c r="F276" s="14"/>
      <c r="G276" s="14"/>
      <c r="H276" s="14"/>
      <c r="I276" s="14"/>
      <c r="J276" s="14"/>
    </row>
    <row r="277" spans="1:10" ht="39" x14ac:dyDescent="0.35">
      <c r="A277" s="7"/>
      <c r="B277" s="27" t="s">
        <v>91</v>
      </c>
      <c r="C277" s="14"/>
      <c r="D277" s="14"/>
      <c r="E277" s="14"/>
      <c r="F277" s="14"/>
      <c r="G277" s="14"/>
      <c r="H277" s="14"/>
      <c r="I277" s="14"/>
      <c r="J277" s="14"/>
    </row>
    <row r="278" spans="1:10" ht="39" x14ac:dyDescent="0.35">
      <c r="A278" s="7"/>
      <c r="B278" s="27" t="s">
        <v>92</v>
      </c>
      <c r="C278" s="14"/>
      <c r="D278" s="14"/>
      <c r="E278" s="14"/>
      <c r="F278" s="14"/>
      <c r="G278" s="14"/>
      <c r="H278" s="14"/>
      <c r="I278" s="14"/>
      <c r="J278" s="14"/>
    </row>
    <row r="279" spans="1:10" x14ac:dyDescent="0.35">
      <c r="A279" s="7"/>
      <c r="B279" s="27" t="s">
        <v>93</v>
      </c>
      <c r="C279" s="14"/>
      <c r="D279" s="14"/>
      <c r="E279" s="14"/>
      <c r="F279" s="14"/>
      <c r="G279" s="14"/>
      <c r="H279" s="14"/>
      <c r="I279" s="14"/>
      <c r="J279" s="14"/>
    </row>
    <row r="280" spans="1:10" ht="39" x14ac:dyDescent="0.35">
      <c r="A280" s="7"/>
      <c r="B280" s="27" t="s">
        <v>95</v>
      </c>
      <c r="C280" s="14"/>
      <c r="D280" s="14"/>
      <c r="E280" s="14"/>
      <c r="F280" s="14"/>
      <c r="G280" s="14"/>
      <c r="H280" s="14"/>
      <c r="I280" s="14"/>
      <c r="J280" s="14"/>
    </row>
    <row r="281" spans="1:10" ht="39" x14ac:dyDescent="0.35">
      <c r="A281" s="7"/>
      <c r="B281" s="27" t="s">
        <v>96</v>
      </c>
      <c r="C281" s="14"/>
      <c r="D281" s="14"/>
      <c r="E281" s="14"/>
      <c r="F281" s="14"/>
      <c r="G281" s="14"/>
      <c r="H281" s="14"/>
      <c r="I281" s="14"/>
      <c r="J281" s="14"/>
    </row>
    <row r="282" spans="1:10" x14ac:dyDescent="0.35">
      <c r="A282" s="7"/>
      <c r="B282" s="27" t="s">
        <v>140</v>
      </c>
      <c r="C282" s="14"/>
      <c r="D282" s="14"/>
      <c r="E282" s="14"/>
      <c r="F282" s="14"/>
      <c r="G282" s="14"/>
      <c r="H282" s="14"/>
      <c r="I282" s="14"/>
      <c r="J282" s="14"/>
    </row>
    <row r="283" spans="1:10" ht="26" x14ac:dyDescent="0.35">
      <c r="A283" s="7"/>
      <c r="B283" s="27" t="s">
        <v>79</v>
      </c>
      <c r="C283" s="14"/>
      <c r="D283" s="14"/>
      <c r="E283" s="14"/>
      <c r="F283" s="14"/>
      <c r="G283" s="14"/>
      <c r="H283" s="14"/>
      <c r="I283" s="14"/>
      <c r="J283" s="14"/>
    </row>
    <row r="284" spans="1:10" x14ac:dyDescent="0.35">
      <c r="A284" s="7"/>
      <c r="B284" s="27" t="s">
        <v>71</v>
      </c>
      <c r="C284" s="14"/>
      <c r="D284" s="14"/>
      <c r="E284" s="14"/>
      <c r="F284" s="14"/>
      <c r="G284" s="14"/>
      <c r="H284" s="14"/>
      <c r="I284" s="14"/>
      <c r="J284" s="14"/>
    </row>
    <row r="285" spans="1:10" x14ac:dyDescent="0.35">
      <c r="A285" s="7"/>
      <c r="B285" s="27" t="s">
        <v>141</v>
      </c>
      <c r="C285" s="14"/>
      <c r="D285" s="14"/>
      <c r="E285" s="14"/>
      <c r="F285" s="14"/>
      <c r="G285" s="14"/>
      <c r="H285" s="14"/>
      <c r="I285" s="14"/>
      <c r="J285" s="14"/>
    </row>
    <row r="286" spans="1:10" ht="26" x14ac:dyDescent="0.35">
      <c r="A286" s="7"/>
      <c r="B286" s="27" t="s">
        <v>125</v>
      </c>
      <c r="C286" s="14"/>
      <c r="D286" s="14"/>
      <c r="E286" s="14"/>
      <c r="F286" s="14"/>
      <c r="G286" s="14"/>
      <c r="H286" s="14"/>
      <c r="I286" s="14"/>
      <c r="J286" s="14"/>
    </row>
    <row r="287" spans="1:10" x14ac:dyDescent="0.35">
      <c r="A287" s="7"/>
      <c r="B287" s="27" t="s">
        <v>100</v>
      </c>
      <c r="C287" s="14"/>
      <c r="D287" s="14"/>
      <c r="E287" s="14"/>
      <c r="F287" s="14"/>
      <c r="G287" s="14"/>
      <c r="H287" s="14"/>
      <c r="I287" s="14"/>
      <c r="J287" s="14"/>
    </row>
    <row r="288" spans="1:10" ht="39" x14ac:dyDescent="0.35">
      <c r="A288" s="7"/>
      <c r="B288" s="27" t="s">
        <v>103</v>
      </c>
      <c r="C288" s="14"/>
      <c r="D288" s="14"/>
      <c r="E288" s="14"/>
      <c r="F288" s="14"/>
      <c r="G288" s="14"/>
      <c r="H288" s="14"/>
      <c r="I288" s="14"/>
      <c r="J288" s="14"/>
    </row>
    <row r="289" spans="1:10" ht="39" x14ac:dyDescent="0.35">
      <c r="A289" s="13" t="s">
        <v>34</v>
      </c>
      <c r="B289" s="31"/>
      <c r="C289" s="14"/>
      <c r="D289" s="14"/>
      <c r="E289" s="14"/>
      <c r="F289" s="14"/>
      <c r="G289" s="14"/>
      <c r="H289" s="14"/>
      <c r="I289" s="14"/>
      <c r="J289" s="14"/>
    </row>
    <row r="290" spans="1:10" ht="39" x14ac:dyDescent="0.35">
      <c r="A290" s="7"/>
      <c r="B290" s="27" t="s">
        <v>142</v>
      </c>
      <c r="C290" s="14"/>
      <c r="D290" s="14"/>
      <c r="E290" s="14"/>
      <c r="F290" s="14"/>
      <c r="G290" s="14"/>
      <c r="H290" s="14"/>
      <c r="I290" s="14"/>
      <c r="J290" s="14"/>
    </row>
    <row r="291" spans="1:10" ht="26.5" thickBot="1" x14ac:dyDescent="0.4">
      <c r="A291" s="7"/>
      <c r="B291" s="27" t="s">
        <v>143</v>
      </c>
      <c r="C291" s="14"/>
      <c r="D291" s="14"/>
      <c r="E291" s="14"/>
      <c r="F291" s="14"/>
      <c r="G291" s="14"/>
      <c r="H291" s="14"/>
      <c r="I291" s="14"/>
      <c r="J291" s="14"/>
    </row>
    <row r="292" spans="1:10" ht="39.5" thickBot="1" x14ac:dyDescent="0.4">
      <c r="A292" s="9" t="s">
        <v>35</v>
      </c>
      <c r="B292" s="29"/>
      <c r="C292" s="10">
        <f>SUM(C249:C291)</f>
        <v>0</v>
      </c>
      <c r="D292" s="10">
        <f>SUM(D249:D291)</f>
        <v>0</v>
      </c>
      <c r="E292" s="10">
        <f>SUM(E249:E291)</f>
        <v>0</v>
      </c>
      <c r="F292" s="10">
        <f>SUM(F249:F291)</f>
        <v>0</v>
      </c>
      <c r="G292" s="10">
        <f>SUM(G249:G291)</f>
        <v>0</v>
      </c>
      <c r="H292" s="10"/>
      <c r="I292" s="10">
        <f t="shared" ref="I292:J292" si="58">SUM(I249:I291)</f>
        <v>0</v>
      </c>
      <c r="J292" s="10">
        <f t="shared" si="58"/>
        <v>0</v>
      </c>
    </row>
    <row r="293" spans="1:10" ht="26.5" thickBot="1" x14ac:dyDescent="0.4">
      <c r="A293" s="9" t="s">
        <v>36</v>
      </c>
      <c r="B293" s="29"/>
      <c r="C293" s="10">
        <f>C246-C292</f>
        <v>-30.953800000000001</v>
      </c>
      <c r="D293" s="10">
        <f>D246-D292</f>
        <v>0.5890200000000001</v>
      </c>
      <c r="E293" s="10">
        <f>E246-E292</f>
        <v>-5.5199500000000015</v>
      </c>
      <c r="F293" s="10">
        <f>F246-F292</f>
        <v>2.9183900000000005</v>
      </c>
      <c r="G293" s="10">
        <f>G246-G292</f>
        <v>14.940610000000003</v>
      </c>
      <c r="H293" s="10"/>
      <c r="I293" s="10">
        <f t="shared" ref="I293:J293" si="59">I246-I292</f>
        <v>-9.9079999999999946E-2</v>
      </c>
      <c r="J293" s="10">
        <f t="shared" si="59"/>
        <v>-4.5350700000000002</v>
      </c>
    </row>
    <row r="294" spans="1:10" ht="15" thickBot="1" x14ac:dyDescent="0.4">
      <c r="A294" s="9" t="s">
        <v>37</v>
      </c>
      <c r="B294" s="29"/>
      <c r="C294" s="21">
        <f>C293/C6</f>
        <v>-4.0649044175293403</v>
      </c>
      <c r="D294" s="21">
        <f>D293/D6</f>
        <v>0.43637575937175882</v>
      </c>
      <c r="E294" s="21">
        <f>E293/E6</f>
        <v>-1.870725590537839</v>
      </c>
      <c r="F294" s="21">
        <f>F293/F6</f>
        <v>0.55393921908424337</v>
      </c>
      <c r="G294" s="21">
        <f>G293/G6</f>
        <v>0.50134895616966257</v>
      </c>
      <c r="H294" s="21"/>
      <c r="I294" s="21">
        <f t="shared" ref="I294:J294" si="60">I293/I6</f>
        <v>-7.8022505886336552E-2</v>
      </c>
      <c r="J294" s="21">
        <f t="shared" si="60"/>
        <v>-1.7273167015806516</v>
      </c>
    </row>
    <row r="295" spans="1:10" ht="52.5" thickBot="1" x14ac:dyDescent="0.4">
      <c r="A295" s="9" t="s">
        <v>38</v>
      </c>
      <c r="B295" s="29"/>
      <c r="C295" s="24">
        <f t="shared" ref="C295:J295" si="61">ABS(((C165+C245)*10^5)/((C93*10^5)/C2))</f>
        <v>25.377521904204812</v>
      </c>
      <c r="D295" s="24">
        <f t="shared" si="61"/>
        <v>0.40178544224734158</v>
      </c>
      <c r="E295" s="24">
        <f t="shared" si="61"/>
        <v>5.8153236839443601</v>
      </c>
      <c r="F295" s="24">
        <f t="shared" si="61"/>
        <v>0.78827187938926657</v>
      </c>
      <c r="G295" s="24">
        <f t="shared" si="61"/>
        <v>3.1719197066280662</v>
      </c>
      <c r="H295" s="24">
        <f t="shared" si="61"/>
        <v>5.4330647101274945</v>
      </c>
      <c r="I295" s="24">
        <f t="shared" si="61"/>
        <v>2.4009144799401136</v>
      </c>
      <c r="J295" s="24">
        <f t="shared" si="61"/>
        <v>189.27742837176794</v>
      </c>
    </row>
    <row r="296" spans="1:10" ht="52.5" thickBot="1" x14ac:dyDescent="0.4">
      <c r="A296" s="9" t="s">
        <v>39</v>
      </c>
      <c r="B296" s="29"/>
      <c r="C296" s="24">
        <f>ABS(((C6*10^5)/C2)*C295)/10^5</f>
        <v>5.2228929127867616</v>
      </c>
      <c r="D296" s="24">
        <f t="shared" ref="D296:J296" si="62">ABS(((D6*10^5)/D2)*D295)/10^5</f>
        <v>0.54232998994546167</v>
      </c>
      <c r="E296" s="24">
        <f t="shared" si="62"/>
        <v>5.7197585314048744</v>
      </c>
      <c r="F296" s="24">
        <f t="shared" si="62"/>
        <v>1.384318405843598</v>
      </c>
      <c r="G296" s="24">
        <f t="shared" si="62"/>
        <v>8.5932552937887117</v>
      </c>
      <c r="H296" s="24">
        <f t="shared" si="62"/>
        <v>7.5098959527436966</v>
      </c>
      <c r="I296" s="24">
        <f t="shared" si="62"/>
        <v>1.5244486444655756</v>
      </c>
      <c r="J296" s="24">
        <f t="shared" si="62"/>
        <v>22.588540372276217</v>
      </c>
    </row>
  </sheetData>
  <autoFilter ref="A1:J296" xr:uid="{59D2C605-C902-448D-BB55-4E905E648E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Balan</dc:creator>
  <cp:lastModifiedBy>Adarsh Balan</cp:lastModifiedBy>
  <dcterms:created xsi:type="dcterms:W3CDTF">2023-10-20T18:56:41Z</dcterms:created>
  <dcterms:modified xsi:type="dcterms:W3CDTF">2023-10-20T20:53:28Z</dcterms:modified>
</cp:coreProperties>
</file>