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/>
  <mc:AlternateContent xmlns:mc="http://schemas.openxmlformats.org/markup-compatibility/2006">
    <mc:Choice Requires="x15">
      <x15ac:absPath xmlns:x15ac="http://schemas.microsoft.com/office/spreadsheetml/2010/11/ac" url="F:\Bootcamp\BC5\Day 1\"/>
    </mc:Choice>
  </mc:AlternateContent>
  <xr:revisionPtr revIDLastSave="0" documentId="13_ncr:1_{575A3F76-65A3-435D-B8C0-B5D36EA87D5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Question" sheetId="10" r:id="rId1"/>
    <sheet name="Sheet3" sheetId="6" state="hidden" r:id="rId2"/>
    <sheet name="Sheet2" sheetId="5" state="hidden" r:id="rId3"/>
    <sheet name="Sheet1" sheetId="4" state="hidden" r:id="rId4"/>
    <sheet name="College &amp; Corp Batches-FY15-16" sheetId="1" state="hidden" r:id="rId5"/>
  </sheets>
  <definedNames>
    <definedName name="_xlnm._FilterDatabase" localSheetId="4" hidden="1">'College &amp; Corp Batches-FY15-16'!$A$1:$AE$69</definedName>
    <definedName name="company">#REF!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6" l="1"/>
  <c r="M9" i="6"/>
  <c r="M8" i="6"/>
  <c r="M11" i="6" s="1"/>
  <c r="L11" i="6"/>
  <c r="O10" i="6"/>
  <c r="P10" i="6" s="1"/>
  <c r="Q10" i="6" s="1"/>
  <c r="O9" i="6"/>
  <c r="O11" i="6" s="1"/>
  <c r="O8" i="6"/>
  <c r="N10" i="6"/>
  <c r="N9" i="6"/>
  <c r="P9" i="6" l="1"/>
  <c r="Q9" i="6" s="1"/>
  <c r="N8" i="6"/>
  <c r="N11" i="6" l="1"/>
  <c r="P8" i="6"/>
  <c r="P11" i="6" l="1"/>
  <c r="Q8" i="6"/>
  <c r="Q11" i="6" s="1"/>
  <c r="Q13" i="6" s="1"/>
  <c r="H12" i="5" l="1"/>
  <c r="G12" i="5"/>
  <c r="F12" i="5"/>
  <c r="H5" i="4"/>
  <c r="I5" i="4" s="1"/>
  <c r="H4" i="4"/>
  <c r="I4" i="4"/>
  <c r="H3" i="4"/>
  <c r="I3" i="4" s="1"/>
  <c r="H2" i="4"/>
  <c r="I2" i="4"/>
  <c r="J69" i="1"/>
  <c r="M69" i="1" s="1"/>
  <c r="P69" i="1" s="1"/>
  <c r="J68" i="1"/>
  <c r="M68" i="1" s="1"/>
  <c r="P68" i="1" s="1"/>
  <c r="X68" i="1" s="1"/>
  <c r="M67" i="1"/>
  <c r="P67" i="1" s="1"/>
  <c r="M66" i="1"/>
  <c r="P66" i="1" s="1"/>
  <c r="M65" i="1"/>
  <c r="I65" i="1"/>
  <c r="I76" i="1" s="1"/>
  <c r="J64" i="1"/>
  <c r="M64" i="1" s="1"/>
  <c r="P64" i="1" s="1"/>
  <c r="M63" i="1"/>
  <c r="P63" i="1" s="1"/>
  <c r="M62" i="1"/>
  <c r="P62" i="1"/>
  <c r="M61" i="1"/>
  <c r="P61" i="1" s="1"/>
  <c r="P60" i="1"/>
  <c r="I59" i="1"/>
  <c r="J59" i="1" s="1"/>
  <c r="M59" i="1" s="1"/>
  <c r="J58" i="1"/>
  <c r="M58" i="1" s="1"/>
  <c r="P58" i="1" s="1"/>
  <c r="J57" i="1"/>
  <c r="M57" i="1"/>
  <c r="P57" i="1" s="1"/>
  <c r="J56" i="1"/>
  <c r="M56" i="1" s="1"/>
  <c r="P56" i="1" s="1"/>
  <c r="M55" i="1"/>
  <c r="P55" i="1" s="1"/>
  <c r="J54" i="1"/>
  <c r="M54" i="1"/>
  <c r="P54" i="1" s="1"/>
  <c r="J53" i="1"/>
  <c r="M53" i="1" s="1"/>
  <c r="P53" i="1" s="1"/>
  <c r="M52" i="1"/>
  <c r="P52" i="1"/>
  <c r="J51" i="1"/>
  <c r="M51" i="1"/>
  <c r="P51" i="1" s="1"/>
  <c r="P50" i="1"/>
  <c r="M50" i="1"/>
  <c r="M49" i="1"/>
  <c r="I49" i="1"/>
  <c r="P49" i="1" s="1"/>
  <c r="J48" i="1"/>
  <c r="M48" i="1"/>
  <c r="P48" i="1" s="1"/>
  <c r="I47" i="1"/>
  <c r="J47" i="1" s="1"/>
  <c r="M47" i="1" s="1"/>
  <c r="N46" i="1"/>
  <c r="P46" i="1" s="1"/>
  <c r="J45" i="1"/>
  <c r="P45" i="1"/>
  <c r="J44" i="1"/>
  <c r="X44" i="1" s="1"/>
  <c r="J43" i="1"/>
  <c r="P43" i="1"/>
  <c r="N41" i="1"/>
  <c r="P41" i="1" s="1"/>
  <c r="J40" i="1"/>
  <c r="P40" i="1"/>
  <c r="U40" i="1" s="1"/>
  <c r="P39" i="1"/>
  <c r="I38" i="1"/>
  <c r="P38" i="1"/>
  <c r="AE38" i="1" s="1"/>
  <c r="I37" i="1"/>
  <c r="I36" i="1"/>
  <c r="I35" i="1"/>
  <c r="P35" i="1" s="1"/>
  <c r="U35" i="1" s="1"/>
  <c r="I34" i="1"/>
  <c r="P34" i="1"/>
  <c r="U34" i="1" s="1"/>
  <c r="J33" i="1"/>
  <c r="M33" i="1" s="1"/>
  <c r="P33" i="1" s="1"/>
  <c r="N32" i="1"/>
  <c r="I32" i="1"/>
  <c r="P32" i="1" s="1"/>
  <c r="I31" i="1"/>
  <c r="P31" i="1" s="1"/>
  <c r="J30" i="1"/>
  <c r="M30" i="1" s="1"/>
  <c r="P30" i="1"/>
  <c r="U30" i="1" s="1"/>
  <c r="J29" i="1"/>
  <c r="M29" i="1" s="1"/>
  <c r="P29" i="1" s="1"/>
  <c r="N28" i="1"/>
  <c r="I27" i="1"/>
  <c r="J26" i="1"/>
  <c r="M26" i="1" s="1"/>
  <c r="P26" i="1" s="1"/>
  <c r="U26" i="1" s="1"/>
  <c r="J25" i="1"/>
  <c r="M25" i="1"/>
  <c r="P25" i="1" s="1"/>
  <c r="P24" i="1"/>
  <c r="J23" i="1"/>
  <c r="M23" i="1"/>
  <c r="P23" i="1" s="1"/>
  <c r="I22" i="1"/>
  <c r="J21" i="1"/>
  <c r="M21" i="1" s="1"/>
  <c r="P21" i="1" s="1"/>
  <c r="J20" i="1"/>
  <c r="M20" i="1" s="1"/>
  <c r="P20" i="1"/>
  <c r="M19" i="1"/>
  <c r="P19" i="1" s="1"/>
  <c r="M18" i="1"/>
  <c r="P18" i="1"/>
  <c r="I17" i="1"/>
  <c r="J17" i="1" s="1"/>
  <c r="M17" i="1" s="1"/>
  <c r="M16" i="1"/>
  <c r="M15" i="1"/>
  <c r="J14" i="1"/>
  <c r="M14" i="1" s="1"/>
  <c r="J13" i="1"/>
  <c r="M13" i="1" s="1"/>
  <c r="P13" i="1" s="1"/>
  <c r="I12" i="1"/>
  <c r="J12" i="1"/>
  <c r="M12" i="1" s="1"/>
  <c r="I11" i="1"/>
  <c r="P11" i="1" s="1"/>
  <c r="I10" i="1"/>
  <c r="J10" i="1" s="1"/>
  <c r="M10" i="1" s="1"/>
  <c r="P10" i="1" s="1"/>
  <c r="U10" i="1" s="1"/>
  <c r="J9" i="1"/>
  <c r="M9" i="1"/>
  <c r="P9" i="1" s="1"/>
  <c r="L8" i="1"/>
  <c r="K8" i="1"/>
  <c r="I8" i="1"/>
  <c r="I7" i="1"/>
  <c r="J7" i="1" s="1"/>
  <c r="I6" i="1"/>
  <c r="J6" i="1" s="1"/>
  <c r="I5" i="1"/>
  <c r="J4" i="1"/>
  <c r="K4" i="1"/>
  <c r="L3" i="1"/>
  <c r="K3" i="1"/>
  <c r="I3" i="1"/>
  <c r="L2" i="1"/>
  <c r="K2" i="1"/>
  <c r="M2" i="1" s="1"/>
  <c r="I2" i="1"/>
  <c r="L6" i="1"/>
  <c r="L4" i="1"/>
  <c r="M4" i="1"/>
  <c r="P4" i="1" s="1"/>
  <c r="U19" i="1" l="1"/>
  <c r="P47" i="1"/>
  <c r="P2" i="1"/>
  <c r="P44" i="1"/>
  <c r="M3" i="1"/>
  <c r="P3" i="1" s="1"/>
  <c r="M8" i="1"/>
  <c r="P65" i="1"/>
  <c r="L7" i="1"/>
  <c r="K7" i="1"/>
  <c r="P17" i="1"/>
  <c r="U17" i="1"/>
  <c r="J5" i="1"/>
  <c r="U12" i="1"/>
  <c r="P12" i="1"/>
  <c r="P14" i="1"/>
  <c r="U14" i="1"/>
  <c r="K6" i="1"/>
  <c r="M6" i="1"/>
  <c r="P6" i="1" s="1"/>
  <c r="J37" i="1"/>
  <c r="M37" i="1" s="1"/>
  <c r="P37" i="1" s="1"/>
  <c r="AA37" i="1"/>
  <c r="P16" i="1"/>
  <c r="U16" i="1"/>
  <c r="J36" i="1"/>
  <c r="J22" i="1"/>
  <c r="M22" i="1" s="1"/>
  <c r="P22" i="1" s="1"/>
  <c r="U22" i="1" s="1"/>
  <c r="J27" i="1"/>
  <c r="M27" i="1" s="1"/>
  <c r="P27" i="1" s="1"/>
  <c r="U27" i="1" s="1"/>
  <c r="P59" i="1"/>
  <c r="M7" i="1" l="1"/>
  <c r="K5" i="1"/>
  <c r="L5" i="1"/>
  <c r="M36" i="1"/>
  <c r="P36" i="1" s="1"/>
  <c r="AA36" i="1"/>
  <c r="M5" i="1" l="1"/>
  <c r="P5" i="1" s="1"/>
</calcChain>
</file>

<file path=xl/sharedStrings.xml><?xml version="1.0" encoding="utf-8"?>
<sst xmlns="http://schemas.openxmlformats.org/spreadsheetml/2006/main" count="899" uniqueCount="347">
  <si>
    <t>Date of invoice</t>
  </si>
  <si>
    <t>Company name</t>
  </si>
  <si>
    <t>GST number</t>
  </si>
  <si>
    <t>Revenue Allocation</t>
  </si>
  <si>
    <t>Course</t>
  </si>
  <si>
    <t>No of Participants</t>
  </si>
  <si>
    <t>Location</t>
  </si>
  <si>
    <t>College/Corporate</t>
  </si>
  <si>
    <t>Fee</t>
  </si>
  <si>
    <t>Total ST</t>
  </si>
  <si>
    <t>IGST@18%</t>
  </si>
  <si>
    <t>Advance Received if Any</t>
  </si>
  <si>
    <t>Total amount due</t>
  </si>
  <si>
    <t>Invoice made</t>
  </si>
  <si>
    <t>Invoice number</t>
  </si>
  <si>
    <t>Payment Received</t>
  </si>
  <si>
    <t>Mode of payment</t>
  </si>
  <si>
    <t>Received Date</t>
  </si>
  <si>
    <t>Comment</t>
  </si>
  <si>
    <t>Upfront</t>
  </si>
  <si>
    <t>Bangalore</t>
  </si>
  <si>
    <t>Corporate</t>
  </si>
  <si>
    <t>Yes</t>
  </si>
  <si>
    <t>JA-00001/17-18</t>
  </si>
  <si>
    <t>NEFT</t>
  </si>
  <si>
    <t>Sutherland Healthcare Solutions Private Limited</t>
  </si>
  <si>
    <t>JA-00002/17-18</t>
  </si>
  <si>
    <t>JA-00003/17-18</t>
  </si>
  <si>
    <t>The School of Inspired Leadership(SOIL)</t>
  </si>
  <si>
    <t>Gurgaon</t>
  </si>
  <si>
    <t>College</t>
  </si>
  <si>
    <t>JA-00004/17-18</t>
  </si>
  <si>
    <t>JA-00005/17-18</t>
  </si>
  <si>
    <t>Synchrony International Services Pvt Ltd</t>
  </si>
  <si>
    <t>Hyderabad</t>
  </si>
  <si>
    <t>JA-00006/17-18</t>
  </si>
  <si>
    <t>RTGS</t>
  </si>
  <si>
    <t>REVA Academy for Corporate Excellence (RACE)</t>
  </si>
  <si>
    <t>JA-00008/17-18</t>
  </si>
  <si>
    <t>Nokia Solutions and Networks</t>
  </si>
  <si>
    <t>Noida</t>
  </si>
  <si>
    <t>JA-00007/17-18</t>
  </si>
  <si>
    <t>JA-00009/17-18</t>
  </si>
  <si>
    <t>Consumer Links Marketing Pvt Ltd</t>
  </si>
  <si>
    <t>JA-00010/17-18</t>
  </si>
  <si>
    <t>JA-00016/17-18</t>
  </si>
  <si>
    <t>JA-00017/17-18</t>
  </si>
  <si>
    <t>JA-00018/17-18</t>
  </si>
  <si>
    <t>JA-00023/17-18</t>
  </si>
  <si>
    <t>yes</t>
  </si>
  <si>
    <t>Chennai</t>
  </si>
  <si>
    <t>ICICI Bank Limited</t>
  </si>
  <si>
    <t>27AAACI1195H1ZM</t>
  </si>
  <si>
    <t>Analytics for Managers</t>
  </si>
  <si>
    <t>Mumbai</t>
  </si>
  <si>
    <t>JA-00027/17-18</t>
  </si>
  <si>
    <t>Innovative and Technological Learning Services Private Limited</t>
  </si>
  <si>
    <t>Cheque</t>
  </si>
  <si>
    <t>Analtics For Leaders - 7&amp;8 th Nov'17</t>
  </si>
  <si>
    <t>JA-00053/17-18</t>
  </si>
  <si>
    <t>DSR &amp; ML - 7,8,&amp;9th Nov'17</t>
  </si>
  <si>
    <t>JA-00054/17-18</t>
  </si>
  <si>
    <t>DSR &amp; ML - 14,15,&amp; 16th Nov'17</t>
  </si>
  <si>
    <t>JA-00056/17-18</t>
  </si>
  <si>
    <t>Analtics For Leaders - 14th Nov'17</t>
  </si>
  <si>
    <t>JA-00057/17-18</t>
  </si>
  <si>
    <t>JA-00065/17-18</t>
  </si>
  <si>
    <t>DSR &amp; ML - 28,29,&amp; 30th Nov'17</t>
  </si>
  <si>
    <t>JA-00068/17-18</t>
  </si>
  <si>
    <t>Pending as on 29/11/2017 Since Days</t>
  </si>
  <si>
    <t>DSR &amp; ML - 21,22,&amp; 23rd Nov'17, &amp; Analtics For Leaders - 24th Nov'17</t>
  </si>
  <si>
    <t>Total</t>
  </si>
  <si>
    <t>Amount Receved</t>
  </si>
  <si>
    <t>Cognizant Technology Solutions India Pvt Ltd</t>
  </si>
  <si>
    <t>RTGS Cr-CHAS0INBX01-COGNIZANT TECHNOLOGY SOLUTIONS INDIA PRI-JIGSAW ACADEMY EDUCATION PVT LTD I-CHASR52016081800308026 (payment for inv JA-20049 in FY 15-16 &amp; payment for JA-00001 / 16-17 in FY 16-17)</t>
  </si>
  <si>
    <t>Great Lakes E-Learning Services Private Limited</t>
  </si>
  <si>
    <t>Blended</t>
  </si>
  <si>
    <t>Delhi</t>
  </si>
  <si>
    <t xml:space="preserve">WNS Global Services Private Limited </t>
  </si>
  <si>
    <t>NA</t>
  </si>
  <si>
    <t>Mahindra &amp; Mahindra Ltd</t>
  </si>
  <si>
    <t>Batch</t>
  </si>
  <si>
    <t>Type of Training</t>
  </si>
  <si>
    <t>Service Tax@ 12% (revised to 14% from 01-06-2015) &amp; (revised to 14.5% from 15-11-2015)</t>
  </si>
  <si>
    <t>Education Cess@ 2% of service tax (NA from 01-06-2015)</t>
  </si>
  <si>
    <t>Higher Education cess@ 1% of Service tax(NA from 01-06-2015)</t>
  </si>
  <si>
    <t>Any Other Amount (Travel/Stay)</t>
  </si>
  <si>
    <t>Big Data Training (In -Person) for 19 Participants @ Rs25000/- per participant  + Wiley Big Data Certification for 16 participants@ Rs1999/- per participant</t>
  </si>
  <si>
    <t>In-Person</t>
  </si>
  <si>
    <t>JA-20001</t>
  </si>
  <si>
    <t>CHASR52015051500237867</t>
  </si>
  <si>
    <t xml:space="preserve">Advanced Analytics Training(In-Person) for 19 Participants @ 20000/- per participant + Wiley Certification For 16 participants @ Rs1999/- per participant </t>
  </si>
  <si>
    <t>JA-20002</t>
  </si>
  <si>
    <t>KNOWLEDGE REVIVAL AND EXPANSION TRUST</t>
  </si>
  <si>
    <t>66% of Course Development Fees (Rs144000/-) for 22  Students &amp; prorated for  3 Students (Due before expiry of 60 days of date of course commencement)</t>
  </si>
  <si>
    <t>JA-20003</t>
  </si>
  <si>
    <t>Neft</t>
  </si>
  <si>
    <t>AXISF15140037589</t>
  </si>
  <si>
    <t>General Mills India Pvt Ltd</t>
  </si>
  <si>
    <t xml:space="preserve">Foundation Course in Analytics In-person training for 25 participants </t>
  </si>
  <si>
    <t>JA-20004</t>
  </si>
  <si>
    <t>Wipro Ltd</t>
  </si>
  <si>
    <t>Data Science In Person Training at Kolkata @ Rs20000/- per participant for 40 participant (from 09th Feb to 27th Feb)</t>
  </si>
  <si>
    <t>Kolkata</t>
  </si>
  <si>
    <t>JA-20005</t>
  </si>
  <si>
    <t>PO no 4500548336, Payment ref no CITIN15560649316</t>
  </si>
  <si>
    <t>WNS Global Services (P) Ltd </t>
  </si>
  <si>
    <t>Analytics with SAS Training @ Rs18000/- per Participant for 26 Participants</t>
  </si>
  <si>
    <t>JA-20006</t>
  </si>
  <si>
    <t>Invoice cancelled</t>
  </si>
  <si>
    <t>Big Data Training (online) for 15 Participants @ Rs23000/- per participant  + Wiley Big Data Certification for 15 participants@ Rs1999/- per participant</t>
  </si>
  <si>
    <t xml:space="preserve">Online </t>
  </si>
  <si>
    <t>JA-20007</t>
  </si>
  <si>
    <t>Genpact India</t>
  </si>
  <si>
    <t xml:space="preserve"> Big Data Training (In-person) for 19 participants</t>
  </si>
  <si>
    <t>JA-20008</t>
  </si>
  <si>
    <t>JA-20009</t>
  </si>
  <si>
    <t>Ref PO No: 3210000555 Payment Reference no HSBCN15225995106</t>
  </si>
  <si>
    <t>Cognizant Technology Solutions</t>
  </si>
  <si>
    <t>Big Data Training (online) for 15 Participants @ $362/- per participant  + Wiley Big Data Certification for 11 participants@ $31.46/- per participant</t>
  </si>
  <si>
    <t>US</t>
  </si>
  <si>
    <t>JA-20010</t>
  </si>
  <si>
    <t>Swift</t>
  </si>
  <si>
    <t>INWUSD5771@65.73 </t>
  </si>
  <si>
    <t xml:space="preserve">License fees Rs 50000 per enrolment for 9 students 
</t>
  </si>
  <si>
    <t>Gurgaon&amp;Chennai</t>
  </si>
  <si>
    <t>JA-20011</t>
  </si>
  <si>
    <t>Cheque no 000191 HDFC Bank</t>
  </si>
  <si>
    <t>34 % of Course Development Fees (Rs144000/-) for 23 Students &amp; prorated for  3 Students (Due before expiry of 180 days of date of course commencement)</t>
  </si>
  <si>
    <t>JA-20012</t>
  </si>
  <si>
    <t>Payment reference AXIC152040447129</t>
  </si>
  <si>
    <t>Societe Generale Global Solution Centre Pvt. Ltd.</t>
  </si>
  <si>
    <t>Data Science with R for 25 participants (blended model spread over 5 weeks duration)</t>
  </si>
  <si>
    <t>JA-20013</t>
  </si>
  <si>
    <t>Payment reference no SOGER22015092100008065</t>
  </si>
  <si>
    <t xml:space="preserve">Data Science with R  </t>
  </si>
  <si>
    <t>JA-20014</t>
  </si>
  <si>
    <t>Maersk Global Service Centres (India) Private Limited</t>
  </si>
  <si>
    <t>Data Science With R</t>
  </si>
  <si>
    <t>JA-20015</t>
  </si>
  <si>
    <t>Payment reference no HSBCN15247406917</t>
  </si>
  <si>
    <t xml:space="preserve">License fees Rs 30000 per enrolment for 100 students - Batch 6 &amp;7 (First 50% Due)
</t>
  </si>
  <si>
    <t>JA-20016</t>
  </si>
  <si>
    <t>For Batch 6 &amp; 7 Cheque no 000191 HDFC Bank</t>
  </si>
  <si>
    <t>LoudCLoud Systems Pvt Ltd.</t>
  </si>
  <si>
    <t>Data Science with R - Self Paced</t>
  </si>
  <si>
    <t>JA-20017</t>
  </si>
  <si>
    <t>Payment reference 0P15091676306894</t>
  </si>
  <si>
    <t>Data Science With R (Balance 50%)</t>
  </si>
  <si>
    <t>JA-20018</t>
  </si>
  <si>
    <t>Payment reference no HSBCN15293335625</t>
  </si>
  <si>
    <t>Unisys Global Services India</t>
  </si>
  <si>
    <t>Advance Statistics and R Training - Inperson (29th July 2015 to 01st Aug 2015)</t>
  </si>
  <si>
    <t>JA-20019</t>
  </si>
  <si>
    <t>PO Reference No 607182 Payment reference no : CITIN15599877545</t>
  </si>
  <si>
    <t xml:space="preserve">Swiss Re Shared Services (India) Pvt.Ltd </t>
  </si>
  <si>
    <t>Advanced Analytics with R - Blended .Phase 1 for 22 participants (20-04-201 to -02-05-2015)</t>
  </si>
  <si>
    <t>JA-20020</t>
  </si>
  <si>
    <t>Payment Reference No 151119027GN00001</t>
  </si>
  <si>
    <t>R L1 (Gurgaon) Training – 2 days
as per PO No 3650000322</t>
  </si>
  <si>
    <t>JA-20021</t>
  </si>
  <si>
    <r>
      <t xml:space="preserve">PO Reference No: 3650000322 dt 15-09-15, no HSBCN15310696110 Payment Re </t>
    </r>
    <r>
      <rPr>
        <b/>
        <i/>
        <sz val="11"/>
        <color rgb="FFC00000"/>
        <rFont val="Garamond"/>
        <family val="1"/>
      </rPr>
      <t xml:space="preserve">Invoice modified on 16-10-2015 (split into three JA-20021 , JA-20025 and JA- 20026 Original invoice JA-20021 was ₹ 5,35,033/-  </t>
    </r>
  </si>
  <si>
    <t>Comviva Technologies Limited</t>
  </si>
  <si>
    <t>Advance Analytics with R - In Person Training (9/9/2015 to 11/9/2015 and 28/9/2015 to 29/9/2015) Location: Bangalore</t>
  </si>
  <si>
    <t>JA-20022</t>
  </si>
  <si>
    <t>PO Reference No: 29004 dt 09-09-15 Payment ref no IBKL151027343402</t>
  </si>
  <si>
    <r>
      <t>Big Data Specialist- In Person Training (</t>
    </r>
    <r>
      <rPr>
        <sz val="10"/>
        <color theme="1"/>
        <rFont val="Arial"/>
        <family val="2"/>
      </rPr>
      <t xml:space="preserve"> 27/8/2015 to 9/9/2015</t>
    </r>
    <r>
      <rPr>
        <sz val="11"/>
        <color theme="1"/>
        <rFont val="Calibri"/>
        <family val="2"/>
        <scheme val="minor"/>
      </rPr>
      <t>) Location: Bangalore</t>
    </r>
  </si>
  <si>
    <t>JA-20023</t>
  </si>
  <si>
    <t>PO Reference No: 35281 dt 21-08-15 Payment Reference no : CHASR52015110400262995</t>
  </si>
  <si>
    <t>Synchrony International Services P Ltd</t>
  </si>
  <si>
    <r>
      <t>Big Data Specialist- In Person Training (</t>
    </r>
    <r>
      <rPr>
        <sz val="10"/>
        <color theme="1"/>
        <rFont val="Arial"/>
        <family val="2"/>
      </rPr>
      <t xml:space="preserve"> 31/8/2015 to 4/9/2015</t>
    </r>
    <r>
      <rPr>
        <sz val="11"/>
        <color theme="1"/>
        <rFont val="Calibri"/>
        <family val="2"/>
        <scheme val="minor"/>
      </rPr>
      <t>) Location: Hyderabad PO Reference No : 136100252</t>
    </r>
  </si>
  <si>
    <t>JA-20024</t>
  </si>
  <si>
    <t xml:space="preserve"> PO Reference No : 136100252 dt 31-08-2015, payment ref no : HSBCR22015121002014105</t>
  </si>
  <si>
    <t>Trainer Travel and Stay Reimbursements for R L1 (Gurgaon) Training – 2 days  as per PO No 3650000322</t>
  </si>
  <si>
    <t>JA-20025</t>
  </si>
  <si>
    <t xml:space="preserve">Payment reference no HSBCN15331044640 </t>
  </si>
  <si>
    <t>R L1  + SAS L1 (Bangalore) - 4 days as per PO No 3210000318</t>
  </si>
  <si>
    <t>JA-20026</t>
  </si>
  <si>
    <t xml:space="preserve">PO No 3210000318 Payment Reference no : HSBCN15310696097 </t>
  </si>
  <si>
    <t>Big Data and Advance Analytics In-person Training at Bangalore (07th Sept to 26th Sept 2015)</t>
  </si>
  <si>
    <t>No</t>
  </si>
  <si>
    <t>JA-20027</t>
  </si>
  <si>
    <t>Invoice not raised</t>
  </si>
  <si>
    <t>Invoice not raised (Final Invoice no JA-20031)</t>
  </si>
  <si>
    <t>Analytics for Beginners Online Self Paced Training</t>
  </si>
  <si>
    <t>JA-20028</t>
  </si>
  <si>
    <t>Payment reference bo SIN00258Q0053346</t>
  </si>
  <si>
    <t>Big Data Training for 25 participants (blended model)</t>
  </si>
  <si>
    <t>JA-20029</t>
  </si>
  <si>
    <t>PO REFERENCE NO S3679-0000007431 Payment Ref SOGER22015122900000024</t>
  </si>
  <si>
    <t>Annik Technology Services Pvt. Ltd.</t>
  </si>
  <si>
    <t>WJCBDS Certification for 26 participants @ Rs1299/- per participant</t>
  </si>
  <si>
    <t>JA-20030</t>
  </si>
  <si>
    <t>Cheque no 001455 Citibank Dt 12-12-2015</t>
  </si>
  <si>
    <t>Big Data and Advance Analytics In-person Training at Bangalore (07th Sept to 26th Sept 2015) 21 participants + Certification WJCBDS 17@Rs1999/- per participant and Adv Analytics 17@Rs1999/- per participant</t>
  </si>
  <si>
    <t>JA-20031</t>
  </si>
  <si>
    <t>yES</t>
  </si>
  <si>
    <t>CHASR52015121600269556</t>
  </si>
  <si>
    <t>47 % of Course Development Fees– 21 participants</t>
  </si>
  <si>
    <t>JA-20032</t>
  </si>
  <si>
    <t>Payment Ref no AXIC153504320747</t>
  </si>
  <si>
    <t>Big Data Training - Online Instructor Led (19-10-2015 to 11-11-2015) for 30 participants (Batch -2), Total Training Hours - 52</t>
  </si>
  <si>
    <t>JA-20033</t>
  </si>
  <si>
    <t>Payment Reference No CHASR52016011300273858</t>
  </si>
  <si>
    <t>Big Data Training - Online Instructor Led (19-10-2015 to 11-11-2015) for 44 participants (Batch -3), Total Training Hours - 52</t>
  </si>
  <si>
    <t>JA-20034</t>
  </si>
  <si>
    <t xml:space="preserve">License fees Rs 30000 per enrolment for 100 students (Balance 50% Due) + Rs 30000 per enrolment for 16 students not billed previously (Batch 6 &amp; 7)
</t>
  </si>
  <si>
    <t>JA-20035</t>
  </si>
  <si>
    <t>FT - Cr - 06782320001430 - GREAT LAKES E LEARNING SERVICES PVT LTD - for invoice JA-20035 &amp; JA-20036</t>
  </si>
  <si>
    <t>License fees Rs 30000 per enrolment for 63 students (Batch 8) First 50% due</t>
  </si>
  <si>
    <t>JA-20036</t>
  </si>
  <si>
    <t>Big Data and Advance Analytics In-person Training at Chennai (07th Sept to 29th Sept 2015) 26 participants + Certification WJCBDS 26@Rs1999/- per participant and Adv Analytics 26@Rs1999/- per participant</t>
  </si>
  <si>
    <t>JA-20037</t>
  </si>
  <si>
    <t>RTGS Cr-CHAS0INBX01-COGNIZANT -CHASR52016021000278225</t>
  </si>
  <si>
    <t>Big Data and Advance Analytics In-person Training at Chennai (07th Sept to 29th Sept 2015) Trainer Travel Reimbursements</t>
  </si>
  <si>
    <t>JA-20038</t>
  </si>
  <si>
    <t>NEFT CR-CHAS0INBX01-COGNIZANT TECHNOLOGY SOLUTIONS INDIA PRIVATE LIMIT-JIGSAW ACADEMY EDUCATION PVT LTD-CHASH16063737583</t>
  </si>
  <si>
    <t>HCL TECHNOLOGIES LIMITED</t>
  </si>
  <si>
    <t>Data science and Big Data Hadoop Training - Online for 18 participants</t>
  </si>
  <si>
    <t>JA-20039</t>
  </si>
  <si>
    <t>PO No.: 5200067045, Payment reference no SIN02607Q0361640</t>
  </si>
  <si>
    <t>Big Data and Advance Analytics In-person Training at Bangalore (16th Nov to 04th Dec 2015) 20 participants + Certification WJCBDS 20@Rs1999/- per participant and Adv Analytics 20@Rs1999/- per participant</t>
  </si>
  <si>
    <t>JA-20040</t>
  </si>
  <si>
    <t xml:space="preserve">Trainer Travel and Stay Reimbursements for Big Data and Advance Analytics In-person Training at Bangalore (16th Nov to 04th Dec 2015) </t>
  </si>
  <si>
    <t>JA-20041</t>
  </si>
  <si>
    <t>Hexaware Technologies Ltd</t>
  </si>
  <si>
    <t xml:space="preserve">Data Science with R for 25 participants Online - Instructor Led </t>
  </si>
  <si>
    <t>JA-20042</t>
  </si>
  <si>
    <t>cheque, cheque</t>
  </si>
  <si>
    <t>260000, 261250</t>
  </si>
  <si>
    <t>07-01-2016, chq recd on 31-03-2016 to be cr to bank</t>
  </si>
  <si>
    <t>PO No : 665-SS-Jigsaw-2015 Dt 29-10-2015,Rs2.6L cheque no 739183 IDBI Bank Date 28-12-2015; IDBI Bank chq 766879 for Rs. 261250</t>
  </si>
  <si>
    <t>Adobe Systems India Pvt Ltd.</t>
  </si>
  <si>
    <t>Inperson Training for Statistics &amp; R for 28 participants (16th Dec to 23rd Dec 2015)</t>
  </si>
  <si>
    <t>JA-20043</t>
  </si>
  <si>
    <t>NEFT Cr-BOFA0ND6216-ADOBE SYSTEMS INDIA PVT LTD-JIGSAW ACADEMY EDUCATION PVT LTD-162TG2747E491H32</t>
  </si>
  <si>
    <t>Exl Service.com (India) Private Limited</t>
  </si>
  <si>
    <t>Data Science with SAS 26 participants (15th Nov 2015 -23rd Dec 2015 includes 1 month self paced training)</t>
  </si>
  <si>
    <t>JA-20044</t>
  </si>
  <si>
    <t>NEFT Cr-SCBL0036001-EXL SERVICE.COM(INDI -</t>
  </si>
  <si>
    <t>Order No : 137028 Order Date: 20-NOV-15</t>
  </si>
  <si>
    <t>Reimbursement for Trainer Travel Expenses</t>
  </si>
  <si>
    <t>JA-20045</t>
  </si>
  <si>
    <t>NEFT Cr-SCBL0036001-EXL SERVICE.COM(INDI-Jigsaw Academy Education Pvt ltd-SIN00280Q0057467</t>
  </si>
  <si>
    <t>License fees Rs 30000 per enrolment for 63 students (Batch 8) Balance 50% due</t>
  </si>
  <si>
    <t>JA-20046</t>
  </si>
  <si>
    <t>INVOICE CANCELLED, JA-20058 issued</t>
  </si>
  <si>
    <t>Microsoft India  (R &amp; D) Pvt Ltd</t>
  </si>
  <si>
    <t>Data Science Program  (As per Microsoft's PO 'Training on Machine Learning Level 1 for MSIT (CFIT) SWE Staff in Feb 2016 at MS office in Hyderabad) - Trainer fee</t>
  </si>
  <si>
    <t>max 25</t>
  </si>
  <si>
    <t>JA-20047</t>
  </si>
  <si>
    <t>NEFT Cr-CITI0000006-MICROSOFT INDIA (R D)PVT LTD-JIGSAW ACADEMY EDUCATION PVT LTD-CITIN16627812714</t>
  </si>
  <si>
    <t>Cognizant Technology Solutions India Private Limited</t>
  </si>
  <si>
    <r>
      <t>Advance Analytics In-person Training at Chennai (23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Nov  to 01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Dec 2015) – 35 participants + Certification Cost
Advance Analytics  – 16 participants @ Rs1999/- per participant
</t>
    </r>
  </si>
  <si>
    <t>35 for training + 16 for cert</t>
  </si>
  <si>
    <t>JA-20048</t>
  </si>
  <si>
    <t>RTGS Cr-CHAS0INBX01-COGNIZANT TECHNOLOGY SOLUTIONS INDIA PRI-JIGSAW ACADEMY EDUCATION PVT LTD I-CHASR52016051100293153</t>
  </si>
  <si>
    <t xml:space="preserve">Advance Analytics In-person Training at Chennai (6th Jan - 13th Jan 2016) – 31 participants + Certification Cost
Advance Analytics  – 15 participants @ Rs1999/- per participant
</t>
  </si>
  <si>
    <t>31 for training + 15 for cert</t>
  </si>
  <si>
    <t>JA-20049</t>
  </si>
  <si>
    <t>Swiss Re Shared Services (India) Private Limited</t>
  </si>
  <si>
    <t xml:space="preserve">Advanced Analytics with R - Blended - Phase 2 - Batch 1 (27th Jan to 26th Feb 2016) </t>
  </si>
  <si>
    <t>JA-20050</t>
  </si>
  <si>
    <t>NEFT CR-DEUT0797BGL-SWISS RE SHARED SERVICES-JIGSAW ACADEMY EDUCATION PRIVATE LI-160426037GN00001</t>
  </si>
  <si>
    <t>Cognizant Technology Solutions India Private Ltd,</t>
  </si>
  <si>
    <r>
      <t>Big Data Training - Online Instructor Led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Dec 2015 to 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Jan 2016) for 32 participants (Batch -4) ,Total Training Hours - 52</t>
    </r>
  </si>
  <si>
    <t>JA-20051</t>
  </si>
  <si>
    <t>RTGS Cr-CHAS0INBX01-COGNIZANT TECHNOLOGY SOLUTIONS INDIA PRI-JIGSAW ACADEMY EDUCATION PVT LTD I-CHASR52016041300288700</t>
  </si>
  <si>
    <t xml:space="preserve">Advance Statistics- In Person (Bangalore) – (22nd Feb to 23rd Feb 2016) – 2 days as per PO no – 3650000322   - - Trainer - Gunnvant </t>
  </si>
  <si>
    <t>JA-20052</t>
  </si>
  <si>
    <t>NEFT Cr-HSBC0400002-WNS GLOBAL SERVICES PVT LTD-JIGSAW ACADEMY EDUCATION PVTLTD-HSBCN16089250242</t>
  </si>
  <si>
    <t>Digital Library Access – Online Self-paced – 20 Licenses - (Licenses valid for 3 months from the date of sharing credentials with Genpact)</t>
  </si>
  <si>
    <t>20 LICENSES</t>
  </si>
  <si>
    <t>na</t>
  </si>
  <si>
    <t>JA-20053</t>
  </si>
  <si>
    <t>NEFT Cr-HSBC0110005-GENPACT INDIA - GURGAON-JIGSAW ACADEMY EDUCATION PVT LTD-HSBCN16099484155</t>
  </si>
  <si>
    <r>
      <t xml:space="preserve">Advanced Analytics </t>
    </r>
    <r>
      <rPr>
        <sz val="11"/>
        <color theme="1"/>
        <rFont val="Calibri"/>
        <family val="2"/>
        <scheme val="minor"/>
      </rPr>
      <t>- Online Instructor Led - Training dates - 18th Jan 2016 to 4th March 2016 - Participants - 30 - Total Training Hours - 56</t>
    </r>
  </si>
  <si>
    <t>JA-20054</t>
  </si>
  <si>
    <t>RTGS Cr-CHAS0INBX01-CTS INDIA PVT LTD BANGALORE SEZ IN226-JIGSAW ACADEMY EDUCATION PVT LTD IN B-CHASR52016041300288632</t>
  </si>
  <si>
    <r>
      <t>R Program L</t>
    </r>
    <r>
      <rPr>
        <sz val="8"/>
        <color theme="1"/>
        <rFont val="Arial"/>
        <family val="2"/>
      </rPr>
      <t>1</t>
    </r>
    <r>
      <rPr>
        <sz val="11"/>
        <color rgb="FF000000"/>
        <rFont val="Calibri"/>
        <family val="2"/>
        <scheme val="minor"/>
      </rPr>
      <t>- In Person (Bangalore) – (9th March to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March 2016) – 2 days as per PO no. 3650000322. - 24 participants - Trainer - Gunnvant </t>
    </r>
  </si>
  <si>
    <t>JA-20055</t>
  </si>
  <si>
    <t>NEFT CR-HSBC0400002-WNS GLOBAL SERVICES PVT LTD-JIGSAW ACADEMY EDUCATION PVTLTD-HSBCN16097192754</t>
  </si>
  <si>
    <t>JA-20056</t>
  </si>
  <si>
    <t>NEFT Cr-UTIB0000246-INNOVATIVE AND TECHNOLOGICAL LEA-Jigsaw Academy Education Priva-AXIC160913006000</t>
  </si>
  <si>
    <t>Microsoft India (R &amp; D) Pvt Ltd</t>
  </si>
  <si>
    <t>Data Science Program -  In-person @ Hyderabad - Training dates – 7th March 2016 to 9th March 2016</t>
  </si>
  <si>
    <t>JA-20057</t>
  </si>
  <si>
    <t>NEFT Cr-CITI0000006-MICROSOFT INDIA (R D)PVT LTD-JIGSAW ACADEMY EDUCATION PVT LTD-CITIN16636621873</t>
  </si>
  <si>
    <t>JA-20058</t>
  </si>
  <si>
    <t>Cheque No. 000648 for Rs. 783,750</t>
  </si>
  <si>
    <t>Applied Materials Inc</t>
  </si>
  <si>
    <t>Training for 8 students in February 2016, Course Name: Analytics for Beginners (Basic), Datascience with R, Dimension Reduction Techniques</t>
  </si>
  <si>
    <t>Online -self paced</t>
  </si>
  <si>
    <t>JA-20059</t>
  </si>
  <si>
    <t>FCY credit in bank acc 1226</t>
  </si>
  <si>
    <t>INWUSD5451.9@66.0 090616I049901142</t>
  </si>
  <si>
    <t>Travel reimbursements for training on 27th Jan - 26th Feb 2016</t>
  </si>
  <si>
    <t>JA-20060</t>
  </si>
  <si>
    <t>NEFT CR-DEUT0797BGL-SWISS RE SHARED SERVICES-JIGSAW ACADEMY EDUCATION PRIVATE LI-160613300GN00001</t>
  </si>
  <si>
    <t>Travel reimbursements for training in Feb 2016</t>
  </si>
  <si>
    <t>JA-20061</t>
  </si>
  <si>
    <t>NEFT Cr-CITI0000006-MICROSOFT INDIA (R D)PVT LTD-JIGSAW ACADEMY EDUCATION PVT LTD-CITIN16653725441</t>
  </si>
  <si>
    <t>Data science Program (Python) and Machine Learning – in-person (14th March 2016 – 23rd March 2016)</t>
  </si>
  <si>
    <t>JA-20062</t>
  </si>
  <si>
    <t>RTGS Cr-CHAS0INBX01-CTS INDIA PVT LTD BAGMANE IN205 COGNI-JIGSAW ACADEMY EDUCATION PVT LTD I-CHASR52016042700290873</t>
  </si>
  <si>
    <t>Data Science with R  - Blended Model - 2-Feb-2016 to 31-Mar-2016</t>
  </si>
  <si>
    <t>JA-20063</t>
  </si>
  <si>
    <t>313500, 313500</t>
  </si>
  <si>
    <t>15-02-2016, 30-May-2016</t>
  </si>
  <si>
    <t>2610422650-MAHINDRA AND MAHINDRA 0951, 2610161578-MAHINDRA AND MAHINDRA 0951</t>
  </si>
  <si>
    <t>Big Data training – 50 participants in 2 batches - Locations: Bangalore &amp; Chennai</t>
  </si>
  <si>
    <t>Bangalore &amp; Chennai</t>
  </si>
  <si>
    <t>Online Instructor led</t>
  </si>
  <si>
    <t>JA-20064</t>
  </si>
  <si>
    <t>Trainer Travel and Stay Reimbursements for Advance Analytics In-person Training at Chennai (23rd Nov to 01st Dec 2015)  - Augusteen Peter</t>
  </si>
  <si>
    <t>JA-20065</t>
  </si>
  <si>
    <t>NEFT CR-CHAS0INBX01-COGNIZANT TECHNOLOGY SOLUTIONS INDIA PRIVATE LIMIT-JIGSAW ACADEMY EDUCATION PVT LTD-CHASH16154668115</t>
  </si>
  <si>
    <t xml:space="preserve">Baan Bapat training reimbursements - Advance Analytics In-person Training at Chennai (6th Jan - 13th Jan 2016) </t>
  </si>
  <si>
    <t>JA-20066</t>
  </si>
  <si>
    <t>Batch 1 - R - L1 - PO – 3210000318</t>
  </si>
  <si>
    <t>JA-20067</t>
  </si>
  <si>
    <t>NEFT CR-HSBC0400002-WNS GLOBAL SERVICES PVT LTD-JIGSAW ACADEMY EDUCATION PVTLTD-HSBCN16141417192</t>
  </si>
  <si>
    <t>Batch 2 - R - L2 - PO – 3210000318</t>
  </si>
  <si>
    <t>CANCELLED IN Mar 2017</t>
  </si>
  <si>
    <t>JA-20068</t>
  </si>
  <si>
    <t>Company Name</t>
  </si>
  <si>
    <t>TDS</t>
  </si>
  <si>
    <t>Paid</t>
  </si>
  <si>
    <t>Base Fees</t>
  </si>
  <si>
    <t>GST</t>
  </si>
  <si>
    <t>Feb'18</t>
  </si>
  <si>
    <t>Mar'18</t>
  </si>
  <si>
    <t>2017-18</t>
  </si>
  <si>
    <t>Particuars</t>
  </si>
  <si>
    <t>Net Amount</t>
  </si>
  <si>
    <t>Less:Advance</t>
  </si>
  <si>
    <t>EYGBS India Pvt- Ltd</t>
  </si>
  <si>
    <t>Swiss Re Shared Services (India) Pvt- Ltd-</t>
  </si>
  <si>
    <t>Societe Generale Global Solutions Centre Pvt- Ltd</t>
  </si>
  <si>
    <t>Amount Paid</t>
  </si>
  <si>
    <t>Received</t>
  </si>
  <si>
    <t>0-30 Days</t>
  </si>
  <si>
    <t>31-60 Days</t>
  </si>
  <si>
    <t>61-90 Days</t>
  </si>
  <si>
    <t>91 Days &amp; Above</t>
  </si>
  <si>
    <t>Net due</t>
  </si>
  <si>
    <t>O/S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</si>
</sst>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[$₹-861]#,##0"/>
    <numFmt numFmtId="165" formatCode="[$-14009]dd/mm/yyyy;@"/>
    <numFmt numFmtId="166" formatCode="[$₹-861]#,##0.0"/>
    <numFmt numFmtId="167" formatCode="[$$-409]#,##0"/>
    <numFmt numFmtId="168" formatCode="[$₹-861]#,##0.00"/>
    <numFmt numFmtId="169" formatCode="[$₹-861]\ #,##0.00"/>
    <numFmt numFmtId="170" formatCode="[$₹-861]\ #,##0.0"/>
    <numFmt numFmtId="171" formatCode="[$USD]\ #,##0"/>
    <numFmt numFmtId="172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Arial"/>
      <family val="2"/>
    </font>
    <font>
      <b/>
      <sz val="11"/>
      <color rgb="FFFF000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sz val="9"/>
      <color rgb="FF333333"/>
      <name val="Arial"/>
      <family val="2"/>
    </font>
    <font>
      <sz val="11"/>
      <name val="Calibri"/>
      <family val="2"/>
      <scheme val="minor"/>
    </font>
    <font>
      <sz val="11"/>
      <color rgb="FFFF0000"/>
      <name val="Garamond"/>
      <family val="1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00000"/>
      <name val="Garamond"/>
      <family val="1"/>
    </font>
    <font>
      <sz val="8.5"/>
      <color rgb="FF333333"/>
      <name val="Arial"/>
      <family val="2"/>
    </font>
    <font>
      <sz val="11"/>
      <color rgb="FFC00000"/>
      <name val="Garamond"/>
      <family val="1"/>
    </font>
    <font>
      <sz val="8"/>
      <color theme="1"/>
      <name val="Garamond"/>
      <family val="1"/>
    </font>
    <font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vertAlign val="superscript"/>
      <sz val="11"/>
      <color rgb="FF000000"/>
      <name val="Calibri"/>
      <family val="2"/>
      <scheme val="minor"/>
    </font>
    <font>
      <sz val="12"/>
      <color rgb="FF1F497D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2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5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5" fontId="5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6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67" fontId="3" fillId="3" borderId="1" xfId="0" applyNumberFormat="1" applyFont="1" applyFill="1" applyBorder="1" applyAlignment="1">
      <alignment vertical="center"/>
    </xf>
    <xf numFmtId="167" fontId="3" fillId="3" borderId="1" xfId="0" applyNumberFormat="1" applyFont="1" applyFill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4" fontId="8" fillId="0" borderId="0" xfId="0" applyNumberFormat="1" applyFont="1"/>
    <xf numFmtId="0" fontId="8" fillId="0" borderId="0" xfId="0" applyFont="1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/>
    <xf numFmtId="164" fontId="3" fillId="3" borderId="1" xfId="0" quotePrefix="1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0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12" fillId="0" borderId="1" xfId="1" applyBorder="1" applyAlignment="1">
      <alignment horizontal="center" vertical="center"/>
    </xf>
    <xf numFmtId="4" fontId="8" fillId="0" borderId="1" xfId="0" applyNumberFormat="1" applyFont="1" applyBorder="1"/>
    <xf numFmtId="0" fontId="0" fillId="3" borderId="0" xfId="0" applyFill="1"/>
    <xf numFmtId="0" fontId="12" fillId="3" borderId="1" xfId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4" fontId="14" fillId="0" borderId="1" xfId="0" applyNumberFormat="1" applyFont="1" applyBorder="1"/>
    <xf numFmtId="15" fontId="15" fillId="0" borderId="1" xfId="0" applyNumberFormat="1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vertical="center"/>
    </xf>
    <xf numFmtId="164" fontId="15" fillId="3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3" borderId="2" xfId="0" applyFont="1" applyFill="1" applyBorder="1"/>
    <xf numFmtId="165" fontId="3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/>
    <xf numFmtId="0" fontId="0" fillId="0" borderId="0" xfId="0" applyFill="1"/>
    <xf numFmtId="0" fontId="12" fillId="0" borderId="1" xfId="1" applyBorder="1" applyAlignment="1">
      <alignment horizontal="center"/>
    </xf>
    <xf numFmtId="169" fontId="3" fillId="0" borderId="0" xfId="0" applyNumberFormat="1" applyFont="1" applyAlignment="1">
      <alignment horizontal="center" vertical="center"/>
    </xf>
    <xf numFmtId="0" fontId="17" fillId="0" borderId="0" xfId="0" applyFont="1"/>
    <xf numFmtId="170" fontId="0" fillId="0" borderId="0" xfId="0" applyNumberFormat="1"/>
    <xf numFmtId="0" fontId="4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0" fontId="4" fillId="0" borderId="0" xfId="0" applyFont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15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8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 vertical="center"/>
    </xf>
    <xf numFmtId="168" fontId="0" fillId="0" borderId="1" xfId="0" applyNumberFormat="1" applyFill="1" applyBorder="1"/>
    <xf numFmtId="15" fontId="0" fillId="0" borderId="1" xfId="0" applyNumberFormat="1" applyFill="1" applyBorder="1" applyAlignment="1">
      <alignment horizontal="center"/>
    </xf>
    <xf numFmtId="164" fontId="3" fillId="0" borderId="1" xfId="0" applyNumberFormat="1" applyFont="1" applyFill="1" applyBorder="1" applyAlignment="1">
      <alignment vertical="center"/>
    </xf>
    <xf numFmtId="0" fontId="0" fillId="0" borderId="1" xfId="0" applyBorder="1" applyAlignment="1"/>
    <xf numFmtId="0" fontId="19" fillId="0" borderId="0" xfId="0" applyFont="1"/>
    <xf numFmtId="0" fontId="1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/>
    </xf>
    <xf numFmtId="14" fontId="0" fillId="0" borderId="1" xfId="0" applyNumberFormat="1" applyBorder="1"/>
    <xf numFmtId="171" fontId="3" fillId="3" borderId="1" xfId="0" applyNumberFormat="1" applyFont="1" applyFill="1" applyBorder="1" applyAlignment="1">
      <alignment vertical="center"/>
    </xf>
    <xf numFmtId="171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9" fontId="0" fillId="0" borderId="0" xfId="0" applyNumberFormat="1" applyAlignment="1"/>
    <xf numFmtId="0" fontId="0" fillId="0" borderId="0" xfId="0" applyAlignment="1"/>
    <xf numFmtId="15" fontId="0" fillId="0" borderId="1" xfId="0" applyNumberFormat="1" applyFill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/>
    <xf numFmtId="170" fontId="0" fillId="0" borderId="0" xfId="0" applyNumberFormat="1" applyAlignment="1"/>
    <xf numFmtId="0" fontId="22" fillId="0" borderId="0" xfId="0" applyFont="1"/>
    <xf numFmtId="0" fontId="8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3" fontId="0" fillId="3" borderId="1" xfId="0" applyNumberFormat="1" applyFont="1" applyFill="1" applyBorder="1" applyAlignment="1">
      <alignment vertical="center"/>
    </xf>
    <xf numFmtId="14" fontId="0" fillId="0" borderId="7" xfId="0" applyNumberFormat="1" applyFont="1" applyBorder="1" applyAlignment="1">
      <alignment vertical="center"/>
    </xf>
    <xf numFmtId="0" fontId="4" fillId="0" borderId="1" xfId="0" applyFont="1" applyBorder="1" applyAlignment="1">
      <alignment wrapText="1"/>
    </xf>
    <xf numFmtId="15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3" fillId="4" borderId="1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172" fontId="25" fillId="2" borderId="3" xfId="2" applyNumberFormat="1" applyFont="1" applyFill="1" applyBorder="1" applyAlignment="1">
      <alignment horizontal="center" vertical="center" wrapText="1"/>
    </xf>
    <xf numFmtId="49" fontId="25" fillId="2" borderId="3" xfId="0" applyNumberFormat="1" applyFont="1" applyFill="1" applyBorder="1" applyAlignment="1">
      <alignment horizontal="center" vertical="center" wrapText="1"/>
    </xf>
    <xf numFmtId="15" fontId="25" fillId="0" borderId="1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172" fontId="25" fillId="0" borderId="1" xfId="2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horizontal="center"/>
    </xf>
    <xf numFmtId="172" fontId="25" fillId="0" borderId="1" xfId="2" applyNumberFormat="1" applyFont="1" applyFill="1" applyBorder="1" applyAlignment="1">
      <alignment horizontal="right"/>
    </xf>
    <xf numFmtId="15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72" fontId="0" fillId="0" borderId="1" xfId="2" applyNumberFormat="1" applyFont="1" applyFill="1" applyBorder="1" applyAlignment="1">
      <alignment horizontal="right"/>
    </xf>
    <xf numFmtId="172" fontId="0" fillId="0" borderId="1" xfId="2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right" vertical="center" wrapText="1"/>
    </xf>
    <xf numFmtId="172" fontId="0" fillId="2" borderId="3" xfId="2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2" fontId="0" fillId="0" borderId="1" xfId="2" applyNumberFormat="1" applyFont="1" applyFill="1" applyBorder="1" applyAlignment="1">
      <alignment horizontal="left"/>
    </xf>
    <xf numFmtId="14" fontId="0" fillId="0" borderId="0" xfId="0" applyNumberFormat="1"/>
    <xf numFmtId="0" fontId="2" fillId="0" borderId="1" xfId="0" applyFont="1" applyFill="1" applyBorder="1" applyAlignment="1">
      <alignment horizontal="left" vertical="center"/>
    </xf>
    <xf numFmtId="172" fontId="2" fillId="0" borderId="1" xfId="0" applyNumberFormat="1" applyFont="1" applyBorder="1"/>
    <xf numFmtId="172" fontId="0" fillId="0" borderId="0" xfId="0" applyNumberFormat="1"/>
    <xf numFmtId="17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72" fontId="2" fillId="0" borderId="1" xfId="2" applyNumberFormat="1" applyFont="1" applyBorder="1"/>
    <xf numFmtId="0" fontId="9" fillId="5" borderId="1" xfId="0" applyFont="1" applyFill="1" applyBorder="1" applyAlignment="1">
      <alignment horizontal="center" vertical="center" wrapText="1"/>
    </xf>
    <xf numFmtId="172" fontId="9" fillId="5" borderId="1" xfId="2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72" fontId="9" fillId="0" borderId="1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7">
    <cellStyle name="Comma" xfId="2" builtinId="3"/>
    <cellStyle name="Comma 2" xfId="3" xr:uid="{00000000-0005-0000-0000-000031000000}"/>
    <cellStyle name="Comma 2 2" xfId="6" xr:uid="{00000000-0005-0000-0000-000031000000}"/>
    <cellStyle name="Comma 3" xfId="5" xr:uid="{00000000-0005-0000-0000-000033000000}"/>
    <cellStyle name="Hyperlink" xfId="1" builtinId="8"/>
    <cellStyle name="Normal" xfId="0" builtinId="0"/>
    <cellStyle name="Normal 2" xfId="4" xr:uid="{349ECA8B-EA1A-46E3-A024-09A0A283A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142875</xdr:rowOff>
    </xdr:from>
    <xdr:to>
      <xdr:col>13</xdr:col>
      <xdr:colOff>209550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FA885-D261-4A9A-8E01-7380EF7BC10A}"/>
            </a:ext>
          </a:extLst>
        </xdr:cNvPr>
        <xdr:cNvSpPr txBox="1"/>
      </xdr:nvSpPr>
      <xdr:spPr>
        <a:xfrm>
          <a:off x="7239000" y="1095375"/>
          <a:ext cx="38195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IF conditions, please do the following:</a:t>
          </a:r>
          <a:r>
            <a:rPr lang="en-IN"/>
            <a:t> </a:t>
          </a:r>
        </a:p>
        <a:p>
          <a:r>
            <a:rPr lang="en-IN" sz="1100"/>
            <a:t>1.</a:t>
          </a:r>
          <a:r>
            <a:rPr lang="en-IN" sz="1100" baseline="0"/>
            <a:t> Calculate the Net Due</a:t>
          </a:r>
        </a:p>
        <a:p>
          <a:r>
            <a:rPr lang="en-IN" sz="1100" baseline="0"/>
            <a:t>2. Calculate the outstanding days of pending payments</a:t>
          </a:r>
        </a:p>
        <a:p>
          <a:r>
            <a:rPr lang="en-IN" sz="1100" baseline="0"/>
            <a:t>3. Group the outstanding payments into 4 buckets/columns i.e, 0-30, 31-60, 61-90 and 91 &amp; Above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ST@18%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GST@18%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01BE-3916-43D2-A91F-6BD969E75AEF}">
  <dimension ref="A1:L18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45.7109375" bestFit="1" customWidth="1"/>
    <col min="3" max="3" width="10" bestFit="1" customWidth="1"/>
    <col min="4" max="4" width="14.42578125" bestFit="1" customWidth="1"/>
    <col min="5" max="5" width="9" bestFit="1" customWidth="1"/>
  </cols>
  <sheetData>
    <row r="1" spans="1:12" ht="45" x14ac:dyDescent="0.25">
      <c r="A1" s="178" t="s">
        <v>0</v>
      </c>
      <c r="B1" s="178" t="s">
        <v>325</v>
      </c>
      <c r="C1" s="179" t="s">
        <v>12</v>
      </c>
      <c r="D1" s="180" t="s">
        <v>14</v>
      </c>
      <c r="E1" s="180" t="s">
        <v>339</v>
      </c>
      <c r="F1" s="184" t="s">
        <v>345</v>
      </c>
      <c r="G1" s="184" t="s">
        <v>346</v>
      </c>
      <c r="H1" s="184" t="s">
        <v>340</v>
      </c>
      <c r="I1" s="184" t="s">
        <v>341</v>
      </c>
      <c r="J1" s="184" t="s">
        <v>342</v>
      </c>
      <c r="K1" s="184" t="s">
        <v>343</v>
      </c>
      <c r="L1" s="184" t="s">
        <v>344</v>
      </c>
    </row>
    <row r="2" spans="1:12" x14ac:dyDescent="0.25">
      <c r="A2" s="181">
        <v>43077</v>
      </c>
      <c r="B2" s="182" t="s">
        <v>336</v>
      </c>
      <c r="C2" s="183">
        <v>115000</v>
      </c>
      <c r="D2" s="168" t="s">
        <v>23</v>
      </c>
      <c r="E2" s="183">
        <v>115000</v>
      </c>
    </row>
    <row r="3" spans="1:12" x14ac:dyDescent="0.25">
      <c r="A3" s="181">
        <v>43081</v>
      </c>
      <c r="B3" s="182" t="s">
        <v>25</v>
      </c>
      <c r="C3" s="183">
        <v>115000</v>
      </c>
      <c r="D3" s="168" t="s">
        <v>26</v>
      </c>
      <c r="E3" s="183">
        <v>115000</v>
      </c>
    </row>
    <row r="4" spans="1:12" x14ac:dyDescent="0.25">
      <c r="A4" s="181">
        <v>43104</v>
      </c>
      <c r="B4" s="182" t="s">
        <v>336</v>
      </c>
      <c r="C4" s="183">
        <v>115000</v>
      </c>
      <c r="D4" s="168" t="s">
        <v>27</v>
      </c>
      <c r="E4" s="183"/>
    </row>
    <row r="5" spans="1:12" x14ac:dyDescent="0.25">
      <c r="A5" s="181">
        <v>43123</v>
      </c>
      <c r="B5" s="182" t="s">
        <v>28</v>
      </c>
      <c r="C5" s="183">
        <v>115000</v>
      </c>
      <c r="D5" s="168" t="s">
        <v>31</v>
      </c>
      <c r="E5" s="183">
        <v>115000</v>
      </c>
    </row>
    <row r="6" spans="1:12" x14ac:dyDescent="0.25">
      <c r="A6" s="181">
        <v>43154</v>
      </c>
      <c r="B6" s="182" t="s">
        <v>28</v>
      </c>
      <c r="C6" s="183">
        <v>115000</v>
      </c>
      <c r="D6" s="168" t="s">
        <v>32</v>
      </c>
      <c r="E6" s="183">
        <v>115000</v>
      </c>
    </row>
    <row r="7" spans="1:12" x14ac:dyDescent="0.25">
      <c r="A7" s="181">
        <v>43159</v>
      </c>
      <c r="B7" s="182" t="s">
        <v>33</v>
      </c>
      <c r="C7" s="183">
        <v>115000</v>
      </c>
      <c r="D7" s="168" t="s">
        <v>35</v>
      </c>
      <c r="E7" s="183"/>
    </row>
    <row r="8" spans="1:12" x14ac:dyDescent="0.25">
      <c r="A8" s="181">
        <v>43167</v>
      </c>
      <c r="B8" s="182" t="s">
        <v>37</v>
      </c>
      <c r="C8" s="183">
        <v>115000</v>
      </c>
      <c r="D8" s="168" t="s">
        <v>38</v>
      </c>
      <c r="E8" s="183"/>
    </row>
    <row r="9" spans="1:12" x14ac:dyDescent="0.25">
      <c r="A9" s="181">
        <v>43171</v>
      </c>
      <c r="B9" s="182" t="s">
        <v>39</v>
      </c>
      <c r="C9" s="183">
        <v>115000</v>
      </c>
      <c r="D9" s="168" t="s">
        <v>41</v>
      </c>
      <c r="E9" s="183">
        <v>115000</v>
      </c>
    </row>
    <row r="10" spans="1:12" x14ac:dyDescent="0.25">
      <c r="A10" s="181">
        <v>43178</v>
      </c>
      <c r="B10" s="182" t="s">
        <v>33</v>
      </c>
      <c r="C10" s="183">
        <v>48300</v>
      </c>
      <c r="D10" s="168" t="s">
        <v>42</v>
      </c>
      <c r="E10" s="168"/>
    </row>
    <row r="11" spans="1:12" x14ac:dyDescent="0.25">
      <c r="A11" s="181">
        <v>43191</v>
      </c>
      <c r="B11" s="182" t="s">
        <v>43</v>
      </c>
      <c r="C11" s="183">
        <v>115000</v>
      </c>
      <c r="D11" s="168" t="s">
        <v>44</v>
      </c>
      <c r="E11" s="168"/>
    </row>
    <row r="12" spans="1:12" x14ac:dyDescent="0.25">
      <c r="A12" s="181">
        <v>43195</v>
      </c>
      <c r="B12" s="182" t="s">
        <v>337</v>
      </c>
      <c r="C12" s="183">
        <v>118000</v>
      </c>
      <c r="D12" s="168" t="s">
        <v>45</v>
      </c>
      <c r="E12" s="168"/>
    </row>
    <row r="13" spans="1:12" x14ac:dyDescent="0.25">
      <c r="A13" s="181">
        <v>43196</v>
      </c>
      <c r="B13" s="182" t="s">
        <v>337</v>
      </c>
      <c r="C13" s="183">
        <v>118000</v>
      </c>
      <c r="D13" s="168" t="s">
        <v>46</v>
      </c>
      <c r="E13" s="168"/>
    </row>
    <row r="14" spans="1:12" x14ac:dyDescent="0.25">
      <c r="A14" s="181">
        <v>43198</v>
      </c>
      <c r="B14" s="182" t="s">
        <v>337</v>
      </c>
      <c r="C14" s="183">
        <v>118000</v>
      </c>
      <c r="D14" s="168" t="s">
        <v>47</v>
      </c>
      <c r="E14" s="183">
        <v>118000</v>
      </c>
    </row>
    <row r="15" spans="1:12" x14ac:dyDescent="0.25">
      <c r="A15" s="181">
        <v>43208</v>
      </c>
      <c r="B15" s="182" t="s">
        <v>338</v>
      </c>
      <c r="C15" s="183">
        <v>100000</v>
      </c>
      <c r="D15" s="168" t="s">
        <v>48</v>
      </c>
      <c r="E15" s="168"/>
    </row>
    <row r="18" spans="3:5" x14ac:dyDescent="0.25">
      <c r="C18" s="173"/>
      <c r="D18" s="173"/>
      <c r="E18" s="17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231-3BF7-4EA7-BB68-8CC8B7A9F227}">
  <dimension ref="J7:R13"/>
  <sheetViews>
    <sheetView showGridLines="0" workbookViewId="0">
      <selection activeCell="O15" sqref="O15"/>
    </sheetView>
  </sheetViews>
  <sheetFormatPr defaultRowHeight="15" x14ac:dyDescent="0.25"/>
  <cols>
    <col min="11" max="11" width="10.140625" customWidth="1"/>
    <col min="12" max="12" width="9.7109375" bestFit="1" customWidth="1"/>
    <col min="16" max="16" width="13.7109375" customWidth="1"/>
    <col min="17" max="17" width="9" bestFit="1" customWidth="1"/>
  </cols>
  <sheetData>
    <row r="7" spans="10:18" x14ac:dyDescent="0.25">
      <c r="K7" s="176" t="s">
        <v>333</v>
      </c>
      <c r="L7" s="176" t="s">
        <v>328</v>
      </c>
      <c r="M7" s="176" t="s">
        <v>329</v>
      </c>
      <c r="N7" s="176" t="s">
        <v>71</v>
      </c>
      <c r="O7" s="176" t="s">
        <v>326</v>
      </c>
      <c r="P7" s="176" t="s">
        <v>334</v>
      </c>
      <c r="Q7" s="176" t="s">
        <v>327</v>
      </c>
    </row>
    <row r="8" spans="10:18" x14ac:dyDescent="0.25">
      <c r="J8">
        <v>500000</v>
      </c>
      <c r="K8" s="87" t="s">
        <v>330</v>
      </c>
      <c r="L8" s="158">
        <v>84000</v>
      </c>
      <c r="M8" s="159">
        <f>L8*18%</f>
        <v>15120</v>
      </c>
      <c r="N8" s="174">
        <f>L8+M8</f>
        <v>99120</v>
      </c>
      <c r="O8" s="174">
        <f>L8*10%</f>
        <v>8400</v>
      </c>
      <c r="P8" s="174">
        <f>N8-O8</f>
        <v>90720</v>
      </c>
      <c r="Q8" s="174">
        <f>P8+M8</f>
        <v>105840</v>
      </c>
    </row>
    <row r="9" spans="10:18" x14ac:dyDescent="0.25">
      <c r="K9" s="87" t="s">
        <v>331</v>
      </c>
      <c r="L9" s="158">
        <v>48000</v>
      </c>
      <c r="M9" s="159">
        <f t="shared" ref="M9:M10" si="0">L9*18%</f>
        <v>8640</v>
      </c>
      <c r="N9" s="174">
        <f t="shared" ref="N9:N10" si="1">L9+M9</f>
        <v>56640</v>
      </c>
      <c r="O9" s="174">
        <f t="shared" ref="O9:O10" si="2">L9*10%</f>
        <v>4800</v>
      </c>
      <c r="P9" s="174">
        <f t="shared" ref="P9:P10" si="3">N9-O9</f>
        <v>51840</v>
      </c>
      <c r="Q9" s="174">
        <f t="shared" ref="Q9:Q10" si="4">P9+M9</f>
        <v>60480</v>
      </c>
    </row>
    <row r="10" spans="10:18" x14ac:dyDescent="0.25">
      <c r="K10" s="87" t="s">
        <v>332</v>
      </c>
      <c r="L10" s="158">
        <v>275000</v>
      </c>
      <c r="M10" s="159">
        <f t="shared" si="0"/>
        <v>49500</v>
      </c>
      <c r="N10" s="174">
        <f t="shared" si="1"/>
        <v>324500</v>
      </c>
      <c r="O10" s="174">
        <f t="shared" si="2"/>
        <v>27500</v>
      </c>
      <c r="P10" s="174">
        <f t="shared" si="3"/>
        <v>297000</v>
      </c>
      <c r="Q10" s="174">
        <f t="shared" si="4"/>
        <v>346500</v>
      </c>
      <c r="R10" s="173"/>
    </row>
    <row r="11" spans="10:18" x14ac:dyDescent="0.25">
      <c r="K11" s="175" t="s">
        <v>71</v>
      </c>
      <c r="L11" s="172">
        <f t="shared" ref="L11:P11" si="5">SUM(L8:L10)</f>
        <v>407000</v>
      </c>
      <c r="M11" s="172">
        <f t="shared" si="5"/>
        <v>73260</v>
      </c>
      <c r="N11" s="172">
        <f t="shared" si="5"/>
        <v>480260</v>
      </c>
      <c r="O11" s="172">
        <f t="shared" si="5"/>
        <v>40700</v>
      </c>
      <c r="P11" s="172">
        <f t="shared" si="5"/>
        <v>439560</v>
      </c>
      <c r="Q11" s="172">
        <f>SUM(Q8:Q10)</f>
        <v>512820</v>
      </c>
    </row>
    <row r="12" spans="10:18" x14ac:dyDescent="0.25">
      <c r="K12" s="87"/>
      <c r="L12" s="87"/>
      <c r="M12" s="87"/>
      <c r="N12" s="87"/>
      <c r="O12" s="87"/>
      <c r="P12" s="176" t="s">
        <v>335</v>
      </c>
      <c r="Q12" s="177">
        <v>500000</v>
      </c>
    </row>
    <row r="13" spans="10:18" x14ac:dyDescent="0.25">
      <c r="K13" s="87"/>
      <c r="L13" s="87"/>
      <c r="M13" s="87"/>
      <c r="N13" s="87"/>
      <c r="O13" s="87"/>
      <c r="P13" s="87"/>
      <c r="Q13" s="172">
        <f>Q11-Q12</f>
        <v>12820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8DFC-CFA4-4E47-99BE-A6C9FBA1ED3C}">
  <dimension ref="A3:K12"/>
  <sheetViews>
    <sheetView showGridLines="0" topLeftCell="A3" workbookViewId="0">
      <selection activeCell="F20" sqref="F20"/>
    </sheetView>
  </sheetViews>
  <sheetFormatPr defaultRowHeight="15" x14ac:dyDescent="0.25"/>
  <cols>
    <col min="1" max="1" width="10" bestFit="1" customWidth="1"/>
    <col min="2" max="2" width="17" bestFit="1" customWidth="1"/>
    <col min="5" max="5" width="41.140625" customWidth="1"/>
    <col min="6" max="6" width="10" bestFit="1" customWidth="1"/>
    <col min="8" max="8" width="10" bestFit="1" customWidth="1"/>
    <col min="10" max="10" width="14.42578125" customWidth="1"/>
    <col min="11" max="11" width="12.7109375" customWidth="1"/>
  </cols>
  <sheetData>
    <row r="3" spans="1:11" x14ac:dyDescent="0.25">
      <c r="K3" s="170">
        <v>43068</v>
      </c>
    </row>
    <row r="4" spans="1:11" ht="60" x14ac:dyDescent="0.25">
      <c r="A4" s="163" t="s">
        <v>0</v>
      </c>
      <c r="B4" s="164" t="s">
        <v>1</v>
      </c>
      <c r="C4" s="164" t="s">
        <v>2</v>
      </c>
      <c r="D4" s="164" t="s">
        <v>3</v>
      </c>
      <c r="E4" s="164" t="s">
        <v>4</v>
      </c>
      <c r="F4" s="165" t="s">
        <v>8</v>
      </c>
      <c r="G4" s="165" t="s">
        <v>10</v>
      </c>
      <c r="H4" s="166" t="s">
        <v>12</v>
      </c>
      <c r="I4" s="163" t="s">
        <v>13</v>
      </c>
      <c r="J4" s="167" t="s">
        <v>14</v>
      </c>
      <c r="K4" s="167" t="s">
        <v>69</v>
      </c>
    </row>
    <row r="5" spans="1:11" x14ac:dyDescent="0.25">
      <c r="A5" s="153">
        <v>42971</v>
      </c>
      <c r="B5" s="154" t="s">
        <v>51</v>
      </c>
      <c r="C5" s="154" t="s">
        <v>52</v>
      </c>
      <c r="D5" s="155" t="s">
        <v>19</v>
      </c>
      <c r="E5" s="154" t="s">
        <v>53</v>
      </c>
      <c r="F5" s="158">
        <v>3000000</v>
      </c>
      <c r="G5" s="159">
        <v>540000</v>
      </c>
      <c r="H5" s="159">
        <v>3540000</v>
      </c>
      <c r="I5" s="160" t="s">
        <v>22</v>
      </c>
      <c r="J5" s="160" t="s">
        <v>55</v>
      </c>
      <c r="K5" s="87">
        <v>97</v>
      </c>
    </row>
    <row r="6" spans="1:11" x14ac:dyDescent="0.25">
      <c r="A6" s="153">
        <v>43048</v>
      </c>
      <c r="B6" s="154" t="s">
        <v>51</v>
      </c>
      <c r="C6" s="154" t="s">
        <v>52</v>
      </c>
      <c r="D6" s="155" t="s">
        <v>19</v>
      </c>
      <c r="E6" s="154" t="s">
        <v>58</v>
      </c>
      <c r="F6" s="158">
        <v>400000</v>
      </c>
      <c r="G6" s="159">
        <v>72000</v>
      </c>
      <c r="H6" s="159">
        <v>472000</v>
      </c>
      <c r="I6" s="160" t="s">
        <v>22</v>
      </c>
      <c r="J6" s="160" t="s">
        <v>59</v>
      </c>
      <c r="K6" s="87">
        <v>20</v>
      </c>
    </row>
    <row r="7" spans="1:11" x14ac:dyDescent="0.25">
      <c r="A7" s="153">
        <v>43048</v>
      </c>
      <c r="B7" s="154" t="s">
        <v>51</v>
      </c>
      <c r="C7" s="154" t="s">
        <v>52</v>
      </c>
      <c r="D7" s="155" t="s">
        <v>19</v>
      </c>
      <c r="E7" s="154" t="s">
        <v>60</v>
      </c>
      <c r="F7" s="158">
        <v>300000</v>
      </c>
      <c r="G7" s="159">
        <v>54000</v>
      </c>
      <c r="H7" s="159">
        <v>354000</v>
      </c>
      <c r="I7" s="160" t="s">
        <v>22</v>
      </c>
      <c r="J7" s="160" t="s">
        <v>61</v>
      </c>
      <c r="K7" s="87">
        <v>20</v>
      </c>
    </row>
    <row r="8" spans="1:11" x14ac:dyDescent="0.25">
      <c r="A8" s="153">
        <v>43054</v>
      </c>
      <c r="B8" s="154" t="s">
        <v>51</v>
      </c>
      <c r="C8" s="154" t="s">
        <v>52</v>
      </c>
      <c r="D8" s="155" t="s">
        <v>19</v>
      </c>
      <c r="E8" s="154" t="s">
        <v>62</v>
      </c>
      <c r="F8" s="158">
        <v>300000</v>
      </c>
      <c r="G8" s="159">
        <v>54000</v>
      </c>
      <c r="H8" s="159">
        <v>354000</v>
      </c>
      <c r="I8" s="160" t="s">
        <v>22</v>
      </c>
      <c r="J8" s="160" t="s">
        <v>63</v>
      </c>
      <c r="K8" s="87">
        <v>14</v>
      </c>
    </row>
    <row r="9" spans="1:11" x14ac:dyDescent="0.25">
      <c r="A9" s="153">
        <v>43054</v>
      </c>
      <c r="B9" s="154" t="s">
        <v>51</v>
      </c>
      <c r="C9" s="154" t="s">
        <v>52</v>
      </c>
      <c r="D9" s="155" t="s">
        <v>19</v>
      </c>
      <c r="E9" s="154" t="s">
        <v>64</v>
      </c>
      <c r="F9" s="158">
        <v>200000</v>
      </c>
      <c r="G9" s="159">
        <v>36000</v>
      </c>
      <c r="H9" s="159">
        <v>236000</v>
      </c>
      <c r="I9" s="160" t="s">
        <v>22</v>
      </c>
      <c r="J9" s="160" t="s">
        <v>65</v>
      </c>
      <c r="K9" s="87">
        <v>14</v>
      </c>
    </row>
    <row r="10" spans="1:11" ht="30" x14ac:dyDescent="0.25">
      <c r="A10" s="161">
        <v>43062</v>
      </c>
      <c r="B10" s="157" t="s">
        <v>51</v>
      </c>
      <c r="C10" s="157" t="s">
        <v>52</v>
      </c>
      <c r="D10" s="162" t="s">
        <v>19</v>
      </c>
      <c r="E10" s="155" t="s">
        <v>70</v>
      </c>
      <c r="F10" s="169">
        <v>500000</v>
      </c>
      <c r="G10" s="169">
        <v>90000</v>
      </c>
      <c r="H10" s="169">
        <v>590000</v>
      </c>
      <c r="I10" s="156" t="s">
        <v>22</v>
      </c>
      <c r="J10" s="157" t="s">
        <v>66</v>
      </c>
      <c r="K10" s="87">
        <v>6</v>
      </c>
    </row>
    <row r="11" spans="1:11" x14ac:dyDescent="0.25">
      <c r="A11" s="153">
        <v>43067</v>
      </c>
      <c r="B11" s="154" t="s">
        <v>51</v>
      </c>
      <c r="C11" s="154" t="s">
        <v>52</v>
      </c>
      <c r="D11" s="155" t="s">
        <v>19</v>
      </c>
      <c r="E11" s="154" t="s">
        <v>67</v>
      </c>
      <c r="F11" s="158">
        <v>300000</v>
      </c>
      <c r="G11" s="159">
        <v>54000</v>
      </c>
      <c r="H11" s="159">
        <v>354000</v>
      </c>
      <c r="I11" s="160" t="s">
        <v>22</v>
      </c>
      <c r="J11" s="160" t="s">
        <v>68</v>
      </c>
      <c r="K11" s="87">
        <v>1</v>
      </c>
    </row>
    <row r="12" spans="1:11" x14ac:dyDescent="0.25">
      <c r="E12" s="171" t="s">
        <v>71</v>
      </c>
      <c r="F12" s="172">
        <f>SUM(F5:F11)</f>
        <v>5000000</v>
      </c>
      <c r="G12" s="172">
        <f t="shared" ref="G12:H12" si="0">SUM(G5:G11)</f>
        <v>900000</v>
      </c>
      <c r="H12" s="172">
        <f t="shared" si="0"/>
        <v>5900000</v>
      </c>
    </row>
  </sheetData>
  <hyperlinks>
    <hyperlink ref="G4" r:id="rId1" xr:uid="{C7EE6325-6AFE-4C44-9955-525735A42CA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D95-87A7-488F-AC14-03B19E879DD7}">
  <dimension ref="A1:J5"/>
  <sheetViews>
    <sheetView workbookViewId="0">
      <selection activeCell="G10" sqref="G10"/>
    </sheetView>
  </sheetViews>
  <sheetFormatPr defaultRowHeight="15" x14ac:dyDescent="0.25"/>
  <cols>
    <col min="2" max="2" width="15.140625" bestFit="1" customWidth="1"/>
    <col min="3" max="3" width="15" bestFit="1" customWidth="1"/>
    <col min="4" max="4" width="29" bestFit="1" customWidth="1"/>
    <col min="9" max="9" width="9.5703125" customWidth="1"/>
    <col min="10" max="10" width="12.140625" bestFit="1" customWidth="1"/>
  </cols>
  <sheetData>
    <row r="1" spans="1:10" ht="24" x14ac:dyDescent="0.25">
      <c r="A1" s="144" t="s">
        <v>0</v>
      </c>
      <c r="B1" s="144" t="s">
        <v>1</v>
      </c>
      <c r="C1" s="144" t="s">
        <v>2</v>
      </c>
      <c r="D1" s="144" t="s">
        <v>4</v>
      </c>
      <c r="E1" s="144" t="s">
        <v>6</v>
      </c>
      <c r="F1" s="144" t="s">
        <v>7</v>
      </c>
      <c r="G1" s="144" t="s">
        <v>8</v>
      </c>
      <c r="H1" s="144" t="s">
        <v>10</v>
      </c>
      <c r="I1" s="145" t="s">
        <v>71</v>
      </c>
      <c r="J1" s="146" t="s">
        <v>14</v>
      </c>
    </row>
    <row r="2" spans="1:10" x14ac:dyDescent="0.25">
      <c r="A2" s="147">
        <v>43048</v>
      </c>
      <c r="B2" s="149" t="s">
        <v>51</v>
      </c>
      <c r="C2" s="149" t="s">
        <v>52</v>
      </c>
      <c r="D2" s="149" t="s">
        <v>58</v>
      </c>
      <c r="E2" s="151" t="s">
        <v>54</v>
      </c>
      <c r="F2" s="149" t="s">
        <v>21</v>
      </c>
      <c r="G2" s="152">
        <v>400000</v>
      </c>
      <c r="H2" s="150">
        <f t="shared" ref="H2:H5" si="0">G2*18%</f>
        <v>72000</v>
      </c>
      <c r="I2" s="150">
        <f t="shared" ref="I2:I5" si="1">G2+H2</f>
        <v>472000</v>
      </c>
      <c r="J2" s="148" t="s">
        <v>59</v>
      </c>
    </row>
    <row r="3" spans="1:10" x14ac:dyDescent="0.25">
      <c r="A3" s="147">
        <v>43048</v>
      </c>
      <c r="B3" s="149" t="s">
        <v>51</v>
      </c>
      <c r="C3" s="149" t="s">
        <v>52</v>
      </c>
      <c r="D3" s="149" t="s">
        <v>60</v>
      </c>
      <c r="E3" s="151" t="s">
        <v>54</v>
      </c>
      <c r="F3" s="149" t="s">
        <v>21</v>
      </c>
      <c r="G3" s="152">
        <v>300000</v>
      </c>
      <c r="H3" s="150">
        <f t="shared" si="0"/>
        <v>54000</v>
      </c>
      <c r="I3" s="150">
        <f t="shared" si="1"/>
        <v>354000</v>
      </c>
      <c r="J3" s="148" t="s">
        <v>61</v>
      </c>
    </row>
    <row r="4" spans="1:10" x14ac:dyDescent="0.25">
      <c r="A4" s="147">
        <v>43054</v>
      </c>
      <c r="B4" s="149" t="s">
        <v>51</v>
      </c>
      <c r="C4" s="149" t="s">
        <v>52</v>
      </c>
      <c r="D4" s="149" t="s">
        <v>62</v>
      </c>
      <c r="E4" s="151" t="s">
        <v>54</v>
      </c>
      <c r="F4" s="149" t="s">
        <v>21</v>
      </c>
      <c r="G4" s="152">
        <v>300000</v>
      </c>
      <c r="H4" s="150">
        <f t="shared" si="0"/>
        <v>54000</v>
      </c>
      <c r="I4" s="150">
        <f t="shared" si="1"/>
        <v>354000</v>
      </c>
      <c r="J4" s="148" t="s">
        <v>63</v>
      </c>
    </row>
    <row r="5" spans="1:10" x14ac:dyDescent="0.25">
      <c r="A5" s="147">
        <v>43054</v>
      </c>
      <c r="B5" s="149" t="s">
        <v>51</v>
      </c>
      <c r="C5" s="149" t="s">
        <v>52</v>
      </c>
      <c r="D5" s="149" t="s">
        <v>64</v>
      </c>
      <c r="E5" s="151" t="s">
        <v>54</v>
      </c>
      <c r="F5" s="149" t="s">
        <v>21</v>
      </c>
      <c r="G5" s="152">
        <v>200000</v>
      </c>
      <c r="H5" s="150">
        <f t="shared" si="0"/>
        <v>36000</v>
      </c>
      <c r="I5" s="150">
        <f t="shared" si="1"/>
        <v>236000</v>
      </c>
      <c r="J5" s="148" t="s">
        <v>65</v>
      </c>
    </row>
  </sheetData>
  <hyperlinks>
    <hyperlink ref="H1" r:id="rId1" xr:uid="{B6D55C92-D358-4468-A337-F9778B3544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6"/>
  <sheetViews>
    <sheetView zoomScale="91" zoomScaleNormal="91" workbookViewId="0">
      <pane xSplit="2" ySplit="1" topLeftCell="Q2" activePane="bottomRight" state="frozen"/>
      <selection pane="topRight" activeCell="D50" sqref="D50"/>
      <selection pane="bottomLeft" activeCell="D50" sqref="D50"/>
      <selection pane="bottomRight" activeCell="S49" sqref="S49:S50"/>
    </sheetView>
  </sheetViews>
  <sheetFormatPr defaultRowHeight="15" x14ac:dyDescent="0.25"/>
  <cols>
    <col min="1" max="1" width="12.140625" style="114" bestFit="1" customWidth="1"/>
    <col min="2" max="2" width="51.7109375" style="119" bestFit="1" customWidth="1"/>
    <col min="3" max="3" width="74.5703125" customWidth="1"/>
    <col min="4" max="4" width="17.5703125" style="114" customWidth="1"/>
    <col min="5" max="5" width="19.42578125" style="114" bestFit="1" customWidth="1"/>
    <col min="6" max="6" width="19.42578125" style="114" customWidth="1"/>
    <col min="7" max="8" width="19.42578125" customWidth="1"/>
    <col min="9" max="9" width="14" style="121" bestFit="1" customWidth="1"/>
    <col min="10" max="10" width="11.42578125" bestFit="1" customWidth="1"/>
    <col min="11" max="11" width="9.5703125" bestFit="1" customWidth="1"/>
    <col min="12" max="12" width="13.42578125" bestFit="1" customWidth="1"/>
    <col min="13" max="13" width="11.42578125" bestFit="1" customWidth="1"/>
    <col min="14" max="15" width="9" customWidth="1"/>
    <col min="16" max="16" width="16.28515625" bestFit="1" customWidth="1"/>
    <col min="18" max="18" width="15.5703125" bestFit="1" customWidth="1"/>
    <col min="19" max="19" width="41.42578125" style="114" customWidth="1"/>
    <col min="20" max="20" width="41.42578125" style="114" bestFit="1" customWidth="1"/>
    <col min="21" max="21" width="15.5703125" bestFit="1" customWidth="1"/>
    <col min="22" max="22" width="15.5703125" customWidth="1"/>
    <col min="23" max="23" width="73.140625" style="126" bestFit="1" customWidth="1"/>
    <col min="24" max="24" width="49.140625" bestFit="1" customWidth="1"/>
    <col min="25" max="25" width="9.7109375" bestFit="1" customWidth="1"/>
    <col min="27" max="27" width="12.85546875" bestFit="1" customWidth="1"/>
  </cols>
  <sheetData>
    <row r="1" spans="1:25" ht="135" x14ac:dyDescent="0.25">
      <c r="A1" s="1" t="s">
        <v>0</v>
      </c>
      <c r="B1" s="2" t="s">
        <v>1</v>
      </c>
      <c r="C1" s="3" t="s">
        <v>4</v>
      </c>
      <c r="D1" s="1" t="s">
        <v>5</v>
      </c>
      <c r="E1" s="1" t="s">
        <v>6</v>
      </c>
      <c r="F1" s="1" t="s">
        <v>7</v>
      </c>
      <c r="G1" s="1" t="s">
        <v>81</v>
      </c>
      <c r="H1" s="1" t="s">
        <v>82</v>
      </c>
      <c r="I1" s="3" t="s">
        <v>8</v>
      </c>
      <c r="J1" s="1" t="s">
        <v>83</v>
      </c>
      <c r="K1" s="1" t="s">
        <v>84</v>
      </c>
      <c r="L1" s="1" t="s">
        <v>85</v>
      </c>
      <c r="M1" s="1" t="s">
        <v>9</v>
      </c>
      <c r="N1" s="1" t="s">
        <v>86</v>
      </c>
      <c r="O1" s="1" t="s">
        <v>11</v>
      </c>
      <c r="P1" s="1" t="s">
        <v>12</v>
      </c>
      <c r="Q1" s="1" t="s">
        <v>13</v>
      </c>
      <c r="R1" s="4" t="s">
        <v>14</v>
      </c>
      <c r="S1" s="1" t="s">
        <v>15</v>
      </c>
      <c r="T1" s="1" t="s">
        <v>16</v>
      </c>
      <c r="U1" s="5" t="s">
        <v>72</v>
      </c>
      <c r="V1" s="5" t="s">
        <v>17</v>
      </c>
      <c r="W1" s="1" t="s">
        <v>18</v>
      </c>
      <c r="X1" s="6"/>
    </row>
    <row r="2" spans="1:25" ht="30" x14ac:dyDescent="0.25">
      <c r="A2" s="7">
        <v>42095</v>
      </c>
      <c r="B2" s="8" t="s">
        <v>73</v>
      </c>
      <c r="C2" s="9" t="s">
        <v>87</v>
      </c>
      <c r="D2" s="10">
        <v>19</v>
      </c>
      <c r="E2" s="10" t="s">
        <v>20</v>
      </c>
      <c r="F2" s="10" t="s">
        <v>21</v>
      </c>
      <c r="G2" s="10" t="s">
        <v>21</v>
      </c>
      <c r="H2" s="10" t="s">
        <v>88</v>
      </c>
      <c r="I2" s="11">
        <f>(25000*19)+(1999*16)</f>
        <v>506984</v>
      </c>
      <c r="J2" s="12">
        <v>0</v>
      </c>
      <c r="K2" s="12">
        <f t="shared" ref="K2:K8" si="0">J2*0.02</f>
        <v>0</v>
      </c>
      <c r="L2" s="12">
        <f t="shared" ref="L2:L8" si="1">J2*0.01</f>
        <v>0</v>
      </c>
      <c r="M2" s="12">
        <f t="shared" ref="M2:M8" si="2">J2+K2+L2</f>
        <v>0</v>
      </c>
      <c r="N2" s="12"/>
      <c r="O2" s="12"/>
      <c r="P2" s="12">
        <f>I2+M2+N2</f>
        <v>506984</v>
      </c>
      <c r="Q2" s="10" t="s">
        <v>22</v>
      </c>
      <c r="R2" s="13" t="s">
        <v>89</v>
      </c>
      <c r="S2" s="13" t="s">
        <v>22</v>
      </c>
      <c r="T2" s="13" t="s">
        <v>36</v>
      </c>
      <c r="U2" s="11">
        <v>456286</v>
      </c>
      <c r="V2" s="14">
        <v>42139</v>
      </c>
      <c r="W2" s="15" t="s">
        <v>90</v>
      </c>
      <c r="X2" s="16"/>
    </row>
    <row r="3" spans="1:25" ht="30" x14ac:dyDescent="0.25">
      <c r="A3" s="7">
        <v>42095</v>
      </c>
      <c r="B3" s="8" t="s">
        <v>73</v>
      </c>
      <c r="C3" s="9" t="s">
        <v>91</v>
      </c>
      <c r="D3" s="10">
        <v>19</v>
      </c>
      <c r="E3" s="10" t="s">
        <v>20</v>
      </c>
      <c r="F3" s="10" t="s">
        <v>21</v>
      </c>
      <c r="G3" s="10" t="s">
        <v>21</v>
      </c>
      <c r="H3" s="10" t="s">
        <v>88</v>
      </c>
      <c r="I3" s="11">
        <f>(20000*19)+(1999*16)</f>
        <v>411984</v>
      </c>
      <c r="J3" s="12">
        <v>0</v>
      </c>
      <c r="K3" s="12">
        <f t="shared" si="0"/>
        <v>0</v>
      </c>
      <c r="L3" s="12">
        <f t="shared" si="1"/>
        <v>0</v>
      </c>
      <c r="M3" s="12">
        <f t="shared" si="2"/>
        <v>0</v>
      </c>
      <c r="N3" s="12">
        <v>45818</v>
      </c>
      <c r="O3" s="12"/>
      <c r="P3" s="12">
        <f>I3+M3+N3</f>
        <v>457802</v>
      </c>
      <c r="Q3" s="10" t="s">
        <v>22</v>
      </c>
      <c r="R3" s="13" t="s">
        <v>92</v>
      </c>
      <c r="S3" s="13" t="s">
        <v>22</v>
      </c>
      <c r="T3" s="13" t="s">
        <v>36</v>
      </c>
      <c r="U3" s="11">
        <v>412020</v>
      </c>
      <c r="V3" s="14">
        <v>42139</v>
      </c>
      <c r="W3" s="15" t="s">
        <v>90</v>
      </c>
      <c r="X3" s="16"/>
    </row>
    <row r="4" spans="1:25" x14ac:dyDescent="0.25">
      <c r="A4" s="7">
        <v>42110</v>
      </c>
      <c r="B4" s="8" t="s">
        <v>93</v>
      </c>
      <c r="C4" s="17" t="s">
        <v>94</v>
      </c>
      <c r="D4" s="10">
        <v>25</v>
      </c>
      <c r="E4" s="10" t="s">
        <v>54</v>
      </c>
      <c r="F4" s="10" t="s">
        <v>30</v>
      </c>
      <c r="G4" s="10" t="s">
        <v>30</v>
      </c>
      <c r="H4" s="10" t="s">
        <v>76</v>
      </c>
      <c r="I4" s="11">
        <v>2170344</v>
      </c>
      <c r="J4" s="12">
        <f>I4*0.12</f>
        <v>260441.28</v>
      </c>
      <c r="K4" s="12">
        <f t="shared" si="0"/>
        <v>5208.8256000000001</v>
      </c>
      <c r="L4" s="12">
        <f t="shared" si="1"/>
        <v>2604.4128000000001</v>
      </c>
      <c r="M4" s="12">
        <f t="shared" si="2"/>
        <v>268254.5184</v>
      </c>
      <c r="N4" s="12"/>
      <c r="O4" s="12"/>
      <c r="P4" s="12">
        <f>I4+M4</f>
        <v>2438598.5183999999</v>
      </c>
      <c r="Q4" s="10" t="s">
        <v>22</v>
      </c>
      <c r="R4" s="13" t="s">
        <v>95</v>
      </c>
      <c r="S4" s="13" t="s">
        <v>22</v>
      </c>
      <c r="T4" s="13" t="s">
        <v>96</v>
      </c>
      <c r="U4" s="12">
        <v>2140225</v>
      </c>
      <c r="V4" s="18">
        <v>42144</v>
      </c>
      <c r="W4" s="19" t="s">
        <v>97</v>
      </c>
      <c r="X4" s="20"/>
      <c r="Y4" s="21"/>
    </row>
    <row r="5" spans="1:25" x14ac:dyDescent="0.25">
      <c r="A5" s="7">
        <v>42121</v>
      </c>
      <c r="B5" s="8" t="s">
        <v>98</v>
      </c>
      <c r="C5" s="9" t="s">
        <v>99</v>
      </c>
      <c r="D5" s="10">
        <v>25</v>
      </c>
      <c r="E5" s="10" t="s">
        <v>54</v>
      </c>
      <c r="F5" s="10" t="s">
        <v>21</v>
      </c>
      <c r="G5" s="10" t="s">
        <v>21</v>
      </c>
      <c r="H5" s="10" t="s">
        <v>88</v>
      </c>
      <c r="I5" s="11">
        <f>12000*25</f>
        <v>300000</v>
      </c>
      <c r="J5" s="12">
        <f>I5*0.12</f>
        <v>36000</v>
      </c>
      <c r="K5" s="12">
        <f t="shared" si="0"/>
        <v>720</v>
      </c>
      <c r="L5" s="12">
        <f t="shared" si="1"/>
        <v>360</v>
      </c>
      <c r="M5" s="12">
        <f t="shared" si="2"/>
        <v>37080</v>
      </c>
      <c r="N5" s="12"/>
      <c r="O5" s="12"/>
      <c r="P5" s="12">
        <f>I5+M5</f>
        <v>337080</v>
      </c>
      <c r="Q5" s="10" t="s">
        <v>22</v>
      </c>
      <c r="R5" s="13" t="s">
        <v>100</v>
      </c>
      <c r="S5" s="22" t="s">
        <v>22</v>
      </c>
      <c r="T5" s="22" t="s">
        <v>96</v>
      </c>
      <c r="U5" s="12">
        <v>324392</v>
      </c>
      <c r="V5" s="23">
        <v>42229</v>
      </c>
      <c r="W5" s="24"/>
      <c r="X5" s="16"/>
      <c r="Y5" s="21"/>
    </row>
    <row r="6" spans="1:25" x14ac:dyDescent="0.25">
      <c r="A6" s="7">
        <v>42122</v>
      </c>
      <c r="B6" s="8" t="s">
        <v>101</v>
      </c>
      <c r="C6" s="17" t="s">
        <v>102</v>
      </c>
      <c r="D6" s="10">
        <v>40</v>
      </c>
      <c r="E6" s="10" t="s">
        <v>103</v>
      </c>
      <c r="F6" s="10" t="s">
        <v>21</v>
      </c>
      <c r="G6" s="10" t="s">
        <v>21</v>
      </c>
      <c r="H6" s="10" t="s">
        <v>76</v>
      </c>
      <c r="I6" s="11">
        <f>20000*40</f>
        <v>800000</v>
      </c>
      <c r="J6" s="12">
        <f>I6*0.12</f>
        <v>96000</v>
      </c>
      <c r="K6" s="12">
        <f t="shared" si="0"/>
        <v>1920</v>
      </c>
      <c r="L6" s="12">
        <f t="shared" si="1"/>
        <v>960</v>
      </c>
      <c r="M6" s="12">
        <f t="shared" si="2"/>
        <v>98880</v>
      </c>
      <c r="N6" s="12">
        <v>69047</v>
      </c>
      <c r="O6" s="12"/>
      <c r="P6" s="12">
        <f>I6+M6+N6</f>
        <v>967927</v>
      </c>
      <c r="Q6" s="10" t="s">
        <v>22</v>
      </c>
      <c r="R6" s="13" t="s">
        <v>104</v>
      </c>
      <c r="S6" s="13" t="s">
        <v>22</v>
      </c>
      <c r="T6" s="13" t="s">
        <v>96</v>
      </c>
      <c r="U6" s="12">
        <v>887927</v>
      </c>
      <c r="V6" s="23">
        <v>42192</v>
      </c>
      <c r="W6" s="24" t="s">
        <v>105</v>
      </c>
      <c r="X6" s="25"/>
    </row>
    <row r="7" spans="1:25" x14ac:dyDescent="0.25">
      <c r="A7" s="26">
        <v>42128</v>
      </c>
      <c r="B7" s="27" t="s">
        <v>106</v>
      </c>
      <c r="C7" s="28" t="s">
        <v>107</v>
      </c>
      <c r="D7" s="29">
        <v>26</v>
      </c>
      <c r="E7" s="29" t="s">
        <v>20</v>
      </c>
      <c r="F7" s="29" t="s">
        <v>21</v>
      </c>
      <c r="G7" s="29" t="s">
        <v>21</v>
      </c>
      <c r="H7" s="29" t="s">
        <v>88</v>
      </c>
      <c r="I7" s="30">
        <f>26*18000</f>
        <v>468000</v>
      </c>
      <c r="J7" s="31">
        <f>I7*0.12</f>
        <v>56160</v>
      </c>
      <c r="K7" s="31">
        <f t="shared" si="0"/>
        <v>1123.2</v>
      </c>
      <c r="L7" s="31">
        <f t="shared" si="1"/>
        <v>561.6</v>
      </c>
      <c r="M7" s="31">
        <f t="shared" si="2"/>
        <v>57844.799999999996</v>
      </c>
      <c r="N7" s="31"/>
      <c r="O7" s="31"/>
      <c r="P7" s="31">
        <v>0</v>
      </c>
      <c r="Q7" s="29"/>
      <c r="R7" s="32" t="s">
        <v>108</v>
      </c>
      <c r="S7" s="32" t="s">
        <v>109</v>
      </c>
      <c r="T7" s="32" t="s">
        <v>109</v>
      </c>
      <c r="U7" s="32"/>
      <c r="V7" s="32" t="s">
        <v>109</v>
      </c>
      <c r="W7" s="123" t="s">
        <v>109</v>
      </c>
      <c r="X7" s="16"/>
    </row>
    <row r="8" spans="1:25" s="35" customFormat="1" ht="30" x14ac:dyDescent="0.25">
      <c r="A8" s="26">
        <v>42128</v>
      </c>
      <c r="B8" s="27" t="s">
        <v>73</v>
      </c>
      <c r="C8" s="33" t="s">
        <v>110</v>
      </c>
      <c r="D8" s="29">
        <v>15</v>
      </c>
      <c r="E8" s="29" t="s">
        <v>20</v>
      </c>
      <c r="F8" s="29" t="s">
        <v>21</v>
      </c>
      <c r="G8" s="29" t="s">
        <v>21</v>
      </c>
      <c r="H8" s="29" t="s">
        <v>111</v>
      </c>
      <c r="I8" s="30">
        <f>(23000*15)+(1999*15)</f>
        <v>374985</v>
      </c>
      <c r="J8" s="31">
        <v>0</v>
      </c>
      <c r="K8" s="31">
        <f t="shared" si="0"/>
        <v>0</v>
      </c>
      <c r="L8" s="31">
        <f t="shared" si="1"/>
        <v>0</v>
      </c>
      <c r="M8" s="31">
        <f t="shared" si="2"/>
        <v>0</v>
      </c>
      <c r="N8" s="31"/>
      <c r="O8" s="31"/>
      <c r="P8" s="31">
        <v>0</v>
      </c>
      <c r="Q8" s="29"/>
      <c r="R8" s="32" t="s">
        <v>112</v>
      </c>
      <c r="S8" s="32" t="s">
        <v>109</v>
      </c>
      <c r="T8" s="32" t="s">
        <v>109</v>
      </c>
      <c r="U8" s="32"/>
      <c r="V8" s="32" t="s">
        <v>109</v>
      </c>
      <c r="W8" s="32" t="s">
        <v>109</v>
      </c>
      <c r="X8" s="34"/>
    </row>
    <row r="9" spans="1:25" x14ac:dyDescent="0.25">
      <c r="A9" s="7">
        <v>42179</v>
      </c>
      <c r="B9" s="8" t="s">
        <v>113</v>
      </c>
      <c r="C9" s="17" t="s">
        <v>114</v>
      </c>
      <c r="D9" s="10">
        <v>19</v>
      </c>
      <c r="E9" s="10" t="s">
        <v>20</v>
      </c>
      <c r="F9" s="10" t="s">
        <v>21</v>
      </c>
      <c r="G9" s="10" t="s">
        <v>21</v>
      </c>
      <c r="H9" s="10" t="s">
        <v>88</v>
      </c>
      <c r="I9" s="11">
        <v>140000</v>
      </c>
      <c r="J9" s="12">
        <f>I9*14%</f>
        <v>19600.000000000004</v>
      </c>
      <c r="K9" s="12">
        <v>0</v>
      </c>
      <c r="L9" s="12">
        <v>0</v>
      </c>
      <c r="M9" s="12">
        <f>J9+K9+L9</f>
        <v>19600.000000000004</v>
      </c>
      <c r="N9" s="12">
        <v>0</v>
      </c>
      <c r="O9" s="12"/>
      <c r="P9" s="12">
        <f t="shared" ref="P9:P10" si="3">I9+M9+N9</f>
        <v>159600</v>
      </c>
      <c r="Q9" s="10" t="s">
        <v>22</v>
      </c>
      <c r="R9" s="13" t="s">
        <v>115</v>
      </c>
      <c r="S9" s="36" t="s">
        <v>22</v>
      </c>
      <c r="T9" s="13" t="s">
        <v>96</v>
      </c>
      <c r="U9" s="12">
        <v>145600</v>
      </c>
      <c r="V9" s="18">
        <v>42210</v>
      </c>
      <c r="W9" s="24"/>
      <c r="X9" s="16"/>
    </row>
    <row r="10" spans="1:25" x14ac:dyDescent="0.25">
      <c r="A10" s="7">
        <v>42180</v>
      </c>
      <c r="B10" s="8" t="s">
        <v>106</v>
      </c>
      <c r="C10" s="17" t="s">
        <v>107</v>
      </c>
      <c r="D10" s="10">
        <v>26</v>
      </c>
      <c r="E10" s="10" t="s">
        <v>20</v>
      </c>
      <c r="F10" s="10" t="s">
        <v>21</v>
      </c>
      <c r="G10" s="10" t="s">
        <v>21</v>
      </c>
      <c r="H10" s="10" t="s">
        <v>88</v>
      </c>
      <c r="I10" s="11">
        <f>26*18000</f>
        <v>468000</v>
      </c>
      <c r="J10" s="12">
        <f>I10*0.14</f>
        <v>65520.000000000007</v>
      </c>
      <c r="K10" s="12">
        <v>0</v>
      </c>
      <c r="L10" s="12">
        <v>0</v>
      </c>
      <c r="M10" s="12">
        <f t="shared" ref="M10" si="4">J10+K10+L10</f>
        <v>65520.000000000007</v>
      </c>
      <c r="N10" s="12"/>
      <c r="O10" s="12"/>
      <c r="P10" s="12">
        <f t="shared" si="3"/>
        <v>533520</v>
      </c>
      <c r="Q10" s="10" t="s">
        <v>22</v>
      </c>
      <c r="R10" s="13" t="s">
        <v>116</v>
      </c>
      <c r="S10" s="37" t="s">
        <v>22</v>
      </c>
      <c r="T10" s="13" t="s">
        <v>96</v>
      </c>
      <c r="U10" s="38">
        <f>P10-10%*P10</f>
        <v>480168</v>
      </c>
      <c r="V10" s="18">
        <v>42230</v>
      </c>
      <c r="W10" s="124" t="s">
        <v>117</v>
      </c>
      <c r="X10" s="16"/>
    </row>
    <row r="11" spans="1:25" ht="30" x14ac:dyDescent="0.25">
      <c r="A11" s="7">
        <v>42198</v>
      </c>
      <c r="B11" s="8" t="s">
        <v>118</v>
      </c>
      <c r="C11" s="39" t="s">
        <v>119</v>
      </c>
      <c r="D11" s="10">
        <v>15</v>
      </c>
      <c r="E11" s="10" t="s">
        <v>120</v>
      </c>
      <c r="F11" s="10" t="s">
        <v>21</v>
      </c>
      <c r="G11" s="10" t="s">
        <v>21</v>
      </c>
      <c r="H11" s="10" t="s">
        <v>111</v>
      </c>
      <c r="I11" s="40">
        <f>15*362+11*31.46</f>
        <v>5776.06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/>
      <c r="P11" s="41">
        <f>I11+M11+N11</f>
        <v>5776.06</v>
      </c>
      <c r="Q11" s="10" t="s">
        <v>22</v>
      </c>
      <c r="R11" s="13" t="s">
        <v>121</v>
      </c>
      <c r="S11" s="42" t="s">
        <v>22</v>
      </c>
      <c r="T11" s="13" t="s">
        <v>122</v>
      </c>
      <c r="U11" s="43">
        <v>379327.83</v>
      </c>
      <c r="V11" s="18">
        <v>42010</v>
      </c>
      <c r="W11" s="44" t="s">
        <v>123</v>
      </c>
      <c r="X11" s="16"/>
    </row>
    <row r="12" spans="1:25" ht="30" x14ac:dyDescent="0.25">
      <c r="A12" s="7">
        <v>42206</v>
      </c>
      <c r="B12" s="8" t="s">
        <v>75</v>
      </c>
      <c r="C12" s="45" t="s">
        <v>124</v>
      </c>
      <c r="D12" s="37">
        <v>9</v>
      </c>
      <c r="E12" s="46" t="s">
        <v>125</v>
      </c>
      <c r="F12" s="47" t="s">
        <v>30</v>
      </c>
      <c r="G12" s="47" t="s">
        <v>30</v>
      </c>
      <c r="H12" s="47" t="s">
        <v>76</v>
      </c>
      <c r="I12" s="48">
        <f>9*50000</f>
        <v>450000</v>
      </c>
      <c r="J12" s="12">
        <f>I12*14%</f>
        <v>63000.000000000007</v>
      </c>
      <c r="K12" s="12">
        <v>0</v>
      </c>
      <c r="L12" s="12">
        <v>0</v>
      </c>
      <c r="M12" s="12">
        <f t="shared" ref="M12:M13" si="5">J12+K12+L12</f>
        <v>63000.000000000007</v>
      </c>
      <c r="N12" s="12"/>
      <c r="O12" s="12"/>
      <c r="P12" s="12">
        <f t="shared" ref="P12" si="6">I12+M12+N12</f>
        <v>513000</v>
      </c>
      <c r="Q12" s="10" t="s">
        <v>49</v>
      </c>
      <c r="R12" s="13" t="s">
        <v>126</v>
      </c>
      <c r="S12" s="38" t="s">
        <v>22</v>
      </c>
      <c r="T12" s="13" t="s">
        <v>57</v>
      </c>
      <c r="U12" s="49">
        <f>I12-(10%*I12)+M12</f>
        <v>468000</v>
      </c>
      <c r="V12" s="18">
        <v>42266</v>
      </c>
      <c r="W12" s="24" t="s">
        <v>127</v>
      </c>
      <c r="X12" s="16"/>
    </row>
    <row r="13" spans="1:25" x14ac:dyDescent="0.25">
      <c r="A13" s="7">
        <v>42206</v>
      </c>
      <c r="B13" s="8" t="s">
        <v>93</v>
      </c>
      <c r="C13" s="17" t="s">
        <v>128</v>
      </c>
      <c r="D13" s="13"/>
      <c r="E13" s="13" t="s">
        <v>54</v>
      </c>
      <c r="F13" s="13" t="s">
        <v>30</v>
      </c>
      <c r="G13" s="13" t="s">
        <v>30</v>
      </c>
      <c r="H13" s="13" t="s">
        <v>76</v>
      </c>
      <c r="I13" s="11">
        <v>1249255.8576005697</v>
      </c>
      <c r="J13" s="50">
        <f>I13*14%</f>
        <v>174895.82006407977</v>
      </c>
      <c r="K13" s="12">
        <v>0</v>
      </c>
      <c r="L13" s="12">
        <v>0</v>
      </c>
      <c r="M13" s="12">
        <f t="shared" si="5"/>
        <v>174895.82006407977</v>
      </c>
      <c r="N13" s="12"/>
      <c r="O13" s="12"/>
      <c r="P13" s="12">
        <f>I13+M13+N13</f>
        <v>1424151.6776646494</v>
      </c>
      <c r="Q13" s="10" t="s">
        <v>22</v>
      </c>
      <c r="R13" s="13" t="s">
        <v>129</v>
      </c>
      <c r="S13" s="38" t="s">
        <v>22</v>
      </c>
      <c r="T13" s="42" t="s">
        <v>96</v>
      </c>
      <c r="U13" s="38">
        <v>1380565.5</v>
      </c>
      <c r="V13" s="18">
        <v>42208</v>
      </c>
      <c r="W13" s="24" t="s">
        <v>130</v>
      </c>
      <c r="X13" s="16"/>
    </row>
    <row r="14" spans="1:25" s="62" customFormat="1" x14ac:dyDescent="0.25">
      <c r="A14" s="51">
        <v>42207</v>
      </c>
      <c r="B14" s="52" t="s">
        <v>131</v>
      </c>
      <c r="C14" s="39" t="s">
        <v>132</v>
      </c>
      <c r="D14" s="53">
        <v>30</v>
      </c>
      <c r="E14" s="53" t="s">
        <v>20</v>
      </c>
      <c r="F14" s="53" t="s">
        <v>21</v>
      </c>
      <c r="G14" s="53" t="s">
        <v>21</v>
      </c>
      <c r="H14" s="53" t="s">
        <v>76</v>
      </c>
      <c r="I14" s="54">
        <v>350000</v>
      </c>
      <c r="J14" s="55">
        <f>I14*14%</f>
        <v>49000.000000000007</v>
      </c>
      <c r="K14" s="55">
        <v>0</v>
      </c>
      <c r="L14" s="55">
        <v>0</v>
      </c>
      <c r="M14" s="55">
        <f>J14+K14+L14</f>
        <v>49000.000000000007</v>
      </c>
      <c r="N14" s="55">
        <v>0</v>
      </c>
      <c r="O14" s="55"/>
      <c r="P14" s="55">
        <f>I14+M14+N14</f>
        <v>399000</v>
      </c>
      <c r="Q14" s="53" t="s">
        <v>22</v>
      </c>
      <c r="R14" s="56" t="s">
        <v>133</v>
      </c>
      <c r="S14" s="57" t="s">
        <v>22</v>
      </c>
      <c r="T14" s="57" t="s">
        <v>96</v>
      </c>
      <c r="U14" s="58">
        <f>I14-(10%*I14)+M14</f>
        <v>364000</v>
      </c>
      <c r="V14" s="59">
        <v>42268</v>
      </c>
      <c r="W14" s="60" t="s">
        <v>134</v>
      </c>
      <c r="X14" s="61"/>
    </row>
    <row r="15" spans="1:25" s="64" customFormat="1" x14ac:dyDescent="0.25">
      <c r="A15" s="26">
        <v>42235</v>
      </c>
      <c r="B15" s="27" t="s">
        <v>131</v>
      </c>
      <c r="C15" s="28" t="s">
        <v>135</v>
      </c>
      <c r="D15" s="29"/>
      <c r="E15" s="29" t="s">
        <v>20</v>
      </c>
      <c r="F15" s="29" t="s">
        <v>21</v>
      </c>
      <c r="G15" s="29" t="s">
        <v>21</v>
      </c>
      <c r="H15" s="32" t="s">
        <v>76</v>
      </c>
      <c r="I15" s="30">
        <v>880000</v>
      </c>
      <c r="J15" s="31">
        <v>123200</v>
      </c>
      <c r="K15" s="31"/>
      <c r="L15" s="31"/>
      <c r="M15" s="31">
        <f>J15+K15+L15</f>
        <v>123200</v>
      </c>
      <c r="N15" s="31"/>
      <c r="O15" s="31"/>
      <c r="P15" s="31">
        <v>0</v>
      </c>
      <c r="Q15" s="29"/>
      <c r="R15" s="32" t="s">
        <v>136</v>
      </c>
      <c r="S15" s="32" t="s">
        <v>109</v>
      </c>
      <c r="T15" s="32" t="s">
        <v>109</v>
      </c>
      <c r="U15" s="32" t="s">
        <v>109</v>
      </c>
      <c r="V15" s="32" t="s">
        <v>109</v>
      </c>
      <c r="W15" s="32" t="s">
        <v>109</v>
      </c>
      <c r="X15" s="63"/>
    </row>
    <row r="16" spans="1:25" x14ac:dyDescent="0.25">
      <c r="A16" s="7">
        <v>42235</v>
      </c>
      <c r="B16" s="52" t="s">
        <v>137</v>
      </c>
      <c r="C16" s="9" t="s">
        <v>138</v>
      </c>
      <c r="D16" s="10">
        <v>10</v>
      </c>
      <c r="E16" s="10" t="s">
        <v>20</v>
      </c>
      <c r="F16" s="10" t="s">
        <v>21</v>
      </c>
      <c r="G16" s="10" t="s">
        <v>21</v>
      </c>
      <c r="H16" s="13" t="s">
        <v>76</v>
      </c>
      <c r="I16" s="11">
        <v>131579</v>
      </c>
      <c r="J16" s="12">
        <v>18421</v>
      </c>
      <c r="K16" s="12">
        <v>0</v>
      </c>
      <c r="L16" s="12">
        <v>0</v>
      </c>
      <c r="M16" s="12">
        <f>J16+K16+L16</f>
        <v>18421</v>
      </c>
      <c r="N16" s="12"/>
      <c r="O16" s="12"/>
      <c r="P16" s="12">
        <f>I16+M16</f>
        <v>150000</v>
      </c>
      <c r="Q16" s="10" t="s">
        <v>22</v>
      </c>
      <c r="R16" s="13" t="s">
        <v>139</v>
      </c>
      <c r="S16" s="13" t="s">
        <v>22</v>
      </c>
      <c r="T16" s="42" t="s">
        <v>96</v>
      </c>
      <c r="U16" s="42">
        <f>I16-(10%*I16)+M16</f>
        <v>136842.1</v>
      </c>
      <c r="V16" s="18">
        <v>42251</v>
      </c>
      <c r="W16" s="24" t="s">
        <v>140</v>
      </c>
      <c r="X16" s="16"/>
    </row>
    <row r="17" spans="1:24" ht="30" x14ac:dyDescent="0.25">
      <c r="A17" s="7">
        <v>42236</v>
      </c>
      <c r="B17" s="8" t="s">
        <v>75</v>
      </c>
      <c r="C17" s="45" t="s">
        <v>141</v>
      </c>
      <c r="D17" s="10">
        <v>100</v>
      </c>
      <c r="E17" s="46" t="s">
        <v>125</v>
      </c>
      <c r="F17" s="47" t="s">
        <v>30</v>
      </c>
      <c r="G17" s="47" t="s">
        <v>30</v>
      </c>
      <c r="H17" s="47" t="s">
        <v>76</v>
      </c>
      <c r="I17" s="11">
        <f>15000*100</f>
        <v>1500000</v>
      </c>
      <c r="J17" s="50">
        <f t="shared" ref="J17:J30" si="7">I17*14%</f>
        <v>210000.00000000003</v>
      </c>
      <c r="K17" s="12">
        <v>0</v>
      </c>
      <c r="L17" s="12">
        <v>0</v>
      </c>
      <c r="M17" s="12">
        <f>J17+K17+L17</f>
        <v>210000.00000000003</v>
      </c>
      <c r="N17" s="12">
        <v>0</v>
      </c>
      <c r="O17" s="12"/>
      <c r="P17" s="12">
        <f>I17+M17</f>
        <v>1710000</v>
      </c>
      <c r="Q17" s="10" t="s">
        <v>22</v>
      </c>
      <c r="R17" s="13" t="s">
        <v>142</v>
      </c>
      <c r="S17" s="13" t="s">
        <v>22</v>
      </c>
      <c r="T17" s="13" t="s">
        <v>57</v>
      </c>
      <c r="U17" s="49">
        <f>I17-(10%*I17)+M17</f>
        <v>1560000</v>
      </c>
      <c r="V17" s="18">
        <v>42266</v>
      </c>
      <c r="W17" s="24" t="s">
        <v>143</v>
      </c>
      <c r="X17" s="16"/>
    </row>
    <row r="18" spans="1:24" x14ac:dyDescent="0.25">
      <c r="A18" s="7">
        <v>42242</v>
      </c>
      <c r="B18" s="65" t="s">
        <v>144</v>
      </c>
      <c r="C18" s="17" t="s">
        <v>145</v>
      </c>
      <c r="D18" s="10">
        <v>2</v>
      </c>
      <c r="E18" s="10" t="s">
        <v>54</v>
      </c>
      <c r="F18" s="10" t="s">
        <v>21</v>
      </c>
      <c r="G18" s="10" t="s">
        <v>21</v>
      </c>
      <c r="H18" s="47" t="s">
        <v>76</v>
      </c>
      <c r="I18" s="11">
        <v>24000</v>
      </c>
      <c r="J18" s="12">
        <v>3360</v>
      </c>
      <c r="K18" s="12">
        <v>0</v>
      </c>
      <c r="L18" s="12">
        <v>0</v>
      </c>
      <c r="M18" s="12">
        <f>J18</f>
        <v>3360</v>
      </c>
      <c r="N18" s="12">
        <v>0</v>
      </c>
      <c r="O18" s="12"/>
      <c r="P18" s="12">
        <f>I18+M18</f>
        <v>27360</v>
      </c>
      <c r="Q18" s="10" t="s">
        <v>22</v>
      </c>
      <c r="R18" s="13" t="s">
        <v>146</v>
      </c>
      <c r="S18" s="13" t="s">
        <v>22</v>
      </c>
      <c r="T18" s="13" t="s">
        <v>96</v>
      </c>
      <c r="U18" s="12">
        <v>27360</v>
      </c>
      <c r="V18" s="18">
        <v>42263</v>
      </c>
      <c r="W18" s="24" t="s">
        <v>147</v>
      </c>
      <c r="X18" s="16"/>
    </row>
    <row r="19" spans="1:24" x14ac:dyDescent="0.25">
      <c r="A19" s="7">
        <v>42262</v>
      </c>
      <c r="B19" s="52" t="s">
        <v>137</v>
      </c>
      <c r="C19" s="9" t="s">
        <v>148</v>
      </c>
      <c r="D19" s="10">
        <v>10</v>
      </c>
      <c r="E19" s="10" t="s">
        <v>20</v>
      </c>
      <c r="F19" s="10" t="s">
        <v>21</v>
      </c>
      <c r="G19" s="10" t="s">
        <v>21</v>
      </c>
      <c r="H19" s="13" t="s">
        <v>76</v>
      </c>
      <c r="I19" s="11">
        <v>131579</v>
      </c>
      <c r="J19" s="12">
        <v>18421</v>
      </c>
      <c r="K19" s="12">
        <v>0</v>
      </c>
      <c r="L19" s="12">
        <v>0</v>
      </c>
      <c r="M19" s="12">
        <f>J19+K19+L19</f>
        <v>18421</v>
      </c>
      <c r="N19" s="12"/>
      <c r="O19" s="12"/>
      <c r="P19" s="12">
        <f>I19+M19</f>
        <v>150000</v>
      </c>
      <c r="Q19" s="10" t="s">
        <v>22</v>
      </c>
      <c r="R19" s="13" t="s">
        <v>149</v>
      </c>
      <c r="S19" s="13" t="s">
        <v>22</v>
      </c>
      <c r="T19" s="13" t="s">
        <v>96</v>
      </c>
      <c r="U19" s="42">
        <f>I19-(10%*I19)+M19</f>
        <v>136842.1</v>
      </c>
      <c r="V19" s="18">
        <v>42297</v>
      </c>
      <c r="W19" s="24" t="s">
        <v>150</v>
      </c>
      <c r="X19" s="16"/>
    </row>
    <row r="20" spans="1:24" x14ac:dyDescent="0.25">
      <c r="A20" s="7">
        <v>42263</v>
      </c>
      <c r="B20" s="8" t="s">
        <v>151</v>
      </c>
      <c r="C20" s="17" t="s">
        <v>152</v>
      </c>
      <c r="D20" s="10">
        <v>25</v>
      </c>
      <c r="E20" s="10" t="s">
        <v>20</v>
      </c>
      <c r="F20" s="10" t="s">
        <v>21</v>
      </c>
      <c r="G20" s="10" t="s">
        <v>21</v>
      </c>
      <c r="H20" s="10" t="s">
        <v>88</v>
      </c>
      <c r="I20" s="11">
        <v>300000</v>
      </c>
      <c r="J20" s="50">
        <f t="shared" si="7"/>
        <v>42000.000000000007</v>
      </c>
      <c r="K20" s="12">
        <v>0</v>
      </c>
      <c r="L20" s="12">
        <v>0</v>
      </c>
      <c r="M20" s="12">
        <f>J20+K20+L20</f>
        <v>42000.000000000007</v>
      </c>
      <c r="N20" s="12">
        <v>14257</v>
      </c>
      <c r="O20" s="12"/>
      <c r="P20" s="12">
        <f t="shared" ref="P20:P29" si="8">I20+M20+N20</f>
        <v>356257</v>
      </c>
      <c r="Q20" s="10" t="s">
        <v>22</v>
      </c>
      <c r="R20" s="13" t="s">
        <v>153</v>
      </c>
      <c r="S20" s="13" t="s">
        <v>22</v>
      </c>
      <c r="T20" s="13" t="s">
        <v>96</v>
      </c>
      <c r="U20" s="12">
        <v>326257</v>
      </c>
      <c r="V20" s="18">
        <v>42312</v>
      </c>
      <c r="W20" s="24" t="s">
        <v>154</v>
      </c>
      <c r="X20" s="16"/>
    </row>
    <row r="21" spans="1:24" s="68" customFormat="1" ht="30" x14ac:dyDescent="0.25">
      <c r="A21" s="7">
        <v>42263</v>
      </c>
      <c r="B21" s="8" t="s">
        <v>155</v>
      </c>
      <c r="C21" s="9" t="s">
        <v>156</v>
      </c>
      <c r="D21" s="10">
        <v>22</v>
      </c>
      <c r="E21" s="10" t="s">
        <v>20</v>
      </c>
      <c r="F21" s="10" t="s">
        <v>21</v>
      </c>
      <c r="G21" s="10" t="s">
        <v>21</v>
      </c>
      <c r="H21" s="10" t="s">
        <v>76</v>
      </c>
      <c r="I21" s="11">
        <v>550000</v>
      </c>
      <c r="J21" s="50">
        <f t="shared" si="7"/>
        <v>77000.000000000015</v>
      </c>
      <c r="K21" s="12">
        <v>0</v>
      </c>
      <c r="L21" s="12">
        <v>0</v>
      </c>
      <c r="M21" s="12">
        <f>J21+K21+L21</f>
        <v>77000.000000000015</v>
      </c>
      <c r="N21" s="12">
        <v>15073</v>
      </c>
      <c r="O21" s="12"/>
      <c r="P21" s="12">
        <f t="shared" si="8"/>
        <v>642073</v>
      </c>
      <c r="Q21" s="10" t="s">
        <v>22</v>
      </c>
      <c r="R21" s="13" t="s">
        <v>157</v>
      </c>
      <c r="S21" s="13" t="s">
        <v>22</v>
      </c>
      <c r="T21" s="66" t="s">
        <v>96</v>
      </c>
      <c r="U21" s="67">
        <v>585566</v>
      </c>
      <c r="V21" s="18">
        <v>42327</v>
      </c>
      <c r="W21" s="24" t="s">
        <v>158</v>
      </c>
    </row>
    <row r="22" spans="1:24" ht="45" x14ac:dyDescent="0.25">
      <c r="A22" s="7">
        <v>42271</v>
      </c>
      <c r="B22" s="52" t="s">
        <v>106</v>
      </c>
      <c r="C22" s="39" t="s">
        <v>159</v>
      </c>
      <c r="D22" s="53">
        <v>22</v>
      </c>
      <c r="E22" s="53" t="s">
        <v>29</v>
      </c>
      <c r="F22" s="53" t="s">
        <v>21</v>
      </c>
      <c r="G22" s="53" t="s">
        <v>21</v>
      </c>
      <c r="H22" s="53" t="s">
        <v>88</v>
      </c>
      <c r="I22" s="11">
        <f>75000*2</f>
        <v>150000</v>
      </c>
      <c r="J22" s="50">
        <f t="shared" si="7"/>
        <v>21000.000000000004</v>
      </c>
      <c r="K22" s="12">
        <v>0</v>
      </c>
      <c r="L22" s="12">
        <v>0</v>
      </c>
      <c r="M22" s="12">
        <f>J22+K22+L22</f>
        <v>21000.000000000004</v>
      </c>
      <c r="N22" s="12"/>
      <c r="O22" s="12"/>
      <c r="P22" s="12">
        <f t="shared" si="8"/>
        <v>171000</v>
      </c>
      <c r="Q22" s="53" t="s">
        <v>22</v>
      </c>
      <c r="R22" s="13" t="s">
        <v>160</v>
      </c>
      <c r="S22" s="53" t="s">
        <v>22</v>
      </c>
      <c r="T22" s="69" t="s">
        <v>96</v>
      </c>
      <c r="U22" s="12">
        <f>P22-17100</f>
        <v>153900</v>
      </c>
      <c r="V22" s="70">
        <v>42314</v>
      </c>
      <c r="W22" s="71" t="s">
        <v>161</v>
      </c>
      <c r="X22" s="16"/>
    </row>
    <row r="23" spans="1:24" ht="30" x14ac:dyDescent="0.25">
      <c r="A23" s="7">
        <v>42272</v>
      </c>
      <c r="B23" s="8" t="s">
        <v>162</v>
      </c>
      <c r="C23" s="9" t="s">
        <v>163</v>
      </c>
      <c r="D23" s="10">
        <v>23</v>
      </c>
      <c r="E23" s="10" t="s">
        <v>20</v>
      </c>
      <c r="F23" s="10" t="s">
        <v>21</v>
      </c>
      <c r="G23" s="10" t="s">
        <v>21</v>
      </c>
      <c r="H23" s="10" t="s">
        <v>88</v>
      </c>
      <c r="I23" s="11">
        <v>380000</v>
      </c>
      <c r="J23" s="50">
        <f t="shared" si="7"/>
        <v>53200.000000000007</v>
      </c>
      <c r="K23" s="12">
        <v>0</v>
      </c>
      <c r="L23" s="12">
        <v>0</v>
      </c>
      <c r="M23" s="12">
        <f>J23+K23+L23</f>
        <v>53200.000000000007</v>
      </c>
      <c r="N23" s="12">
        <v>0</v>
      </c>
      <c r="O23" s="12"/>
      <c r="P23" s="12">
        <f t="shared" si="8"/>
        <v>433200</v>
      </c>
      <c r="Q23" s="53" t="s">
        <v>22</v>
      </c>
      <c r="R23" s="13" t="s">
        <v>164</v>
      </c>
      <c r="S23" s="13" t="s">
        <v>22</v>
      </c>
      <c r="T23" s="13" t="s">
        <v>96</v>
      </c>
      <c r="U23" s="12">
        <v>395200</v>
      </c>
      <c r="V23" s="18">
        <v>42304</v>
      </c>
      <c r="W23" s="24" t="s">
        <v>165</v>
      </c>
      <c r="X23" s="16"/>
    </row>
    <row r="24" spans="1:24" x14ac:dyDescent="0.25">
      <c r="A24" s="7">
        <v>42272</v>
      </c>
      <c r="B24" s="8" t="s">
        <v>73</v>
      </c>
      <c r="C24" s="9" t="s">
        <v>166</v>
      </c>
      <c r="D24" s="10">
        <v>34</v>
      </c>
      <c r="E24" s="10" t="s">
        <v>20</v>
      </c>
      <c r="F24" s="10" t="s">
        <v>21</v>
      </c>
      <c r="G24" s="10" t="s">
        <v>21</v>
      </c>
      <c r="H24" s="10" t="s">
        <v>88</v>
      </c>
      <c r="I24" s="11">
        <v>825000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/>
      <c r="P24" s="12">
        <f t="shared" si="8"/>
        <v>825000</v>
      </c>
      <c r="Q24" s="53" t="s">
        <v>22</v>
      </c>
      <c r="R24" s="13" t="s">
        <v>167</v>
      </c>
      <c r="S24" s="13" t="s">
        <v>22</v>
      </c>
      <c r="T24" s="13" t="s">
        <v>96</v>
      </c>
      <c r="U24" s="12">
        <v>742500</v>
      </c>
      <c r="V24" s="18">
        <v>42312</v>
      </c>
      <c r="W24" s="24" t="s">
        <v>168</v>
      </c>
      <c r="X24" s="16"/>
    </row>
    <row r="25" spans="1:24" ht="30" x14ac:dyDescent="0.25">
      <c r="A25" s="7">
        <v>42283</v>
      </c>
      <c r="B25" s="8" t="s">
        <v>169</v>
      </c>
      <c r="C25" s="9" t="s">
        <v>170</v>
      </c>
      <c r="D25" s="10">
        <v>30</v>
      </c>
      <c r="E25" s="10" t="s">
        <v>34</v>
      </c>
      <c r="F25" s="10" t="s">
        <v>21</v>
      </c>
      <c r="G25" s="10" t="s">
        <v>21</v>
      </c>
      <c r="H25" s="10" t="s">
        <v>88</v>
      </c>
      <c r="I25" s="11">
        <v>450000</v>
      </c>
      <c r="J25" s="50">
        <f t="shared" si="7"/>
        <v>63000.000000000007</v>
      </c>
      <c r="K25" s="12">
        <v>0</v>
      </c>
      <c r="L25" s="12">
        <v>0</v>
      </c>
      <c r="M25" s="12">
        <f>J25+K25+L25</f>
        <v>63000.000000000007</v>
      </c>
      <c r="N25" s="12">
        <v>96743</v>
      </c>
      <c r="O25" s="12"/>
      <c r="P25" s="12">
        <f t="shared" si="8"/>
        <v>609743</v>
      </c>
      <c r="Q25" s="10" t="s">
        <v>22</v>
      </c>
      <c r="R25" s="13" t="s">
        <v>171</v>
      </c>
      <c r="S25" s="13" t="s">
        <v>22</v>
      </c>
      <c r="T25" s="13" t="s">
        <v>96</v>
      </c>
      <c r="U25" s="72">
        <v>555069</v>
      </c>
      <c r="V25" s="18">
        <v>42349</v>
      </c>
      <c r="W25" s="24" t="s">
        <v>172</v>
      </c>
      <c r="X25" s="16"/>
    </row>
    <row r="26" spans="1:24" ht="30" x14ac:dyDescent="0.25">
      <c r="A26" s="7">
        <v>42293</v>
      </c>
      <c r="B26" s="52" t="s">
        <v>106</v>
      </c>
      <c r="C26" s="39" t="s">
        <v>173</v>
      </c>
      <c r="D26" s="53">
        <v>22</v>
      </c>
      <c r="E26" s="53" t="s">
        <v>29</v>
      </c>
      <c r="F26" s="53" t="s">
        <v>21</v>
      </c>
      <c r="G26" s="53" t="s">
        <v>21</v>
      </c>
      <c r="H26" s="53" t="s">
        <v>88</v>
      </c>
      <c r="I26" s="11">
        <v>0</v>
      </c>
      <c r="J26" s="50">
        <f t="shared" si="7"/>
        <v>0</v>
      </c>
      <c r="K26" s="12">
        <v>0</v>
      </c>
      <c r="L26" s="12">
        <v>0</v>
      </c>
      <c r="M26" s="12">
        <f>J26+K26+L26</f>
        <v>0</v>
      </c>
      <c r="N26" s="12">
        <v>22033</v>
      </c>
      <c r="O26" s="12"/>
      <c r="P26" s="12">
        <f t="shared" si="8"/>
        <v>22033</v>
      </c>
      <c r="Q26" s="10" t="s">
        <v>22</v>
      </c>
      <c r="R26" s="13" t="s">
        <v>174</v>
      </c>
      <c r="S26" s="13" t="s">
        <v>49</v>
      </c>
      <c r="T26" s="13" t="s">
        <v>96</v>
      </c>
      <c r="U26" s="72">
        <f>P26-2203</f>
        <v>19830</v>
      </c>
      <c r="V26" s="18">
        <v>42335</v>
      </c>
      <c r="W26" s="124" t="s">
        <v>175</v>
      </c>
      <c r="X26" s="16"/>
    </row>
    <row r="27" spans="1:24" x14ac:dyDescent="0.25">
      <c r="A27" s="7">
        <v>42293</v>
      </c>
      <c r="B27" s="52" t="s">
        <v>106</v>
      </c>
      <c r="C27" s="39" t="s">
        <v>176</v>
      </c>
      <c r="D27" s="53">
        <v>22</v>
      </c>
      <c r="E27" s="53" t="s">
        <v>20</v>
      </c>
      <c r="F27" s="53" t="s">
        <v>21</v>
      </c>
      <c r="G27" s="53" t="s">
        <v>21</v>
      </c>
      <c r="H27" s="53" t="s">
        <v>88</v>
      </c>
      <c r="I27" s="11">
        <f>75000*4</f>
        <v>300000</v>
      </c>
      <c r="J27" s="50">
        <f t="shared" si="7"/>
        <v>42000.000000000007</v>
      </c>
      <c r="K27" s="12">
        <v>0</v>
      </c>
      <c r="L27" s="12">
        <v>0</v>
      </c>
      <c r="M27" s="12">
        <f>J27+K27+L27</f>
        <v>42000.000000000007</v>
      </c>
      <c r="N27" s="12">
        <v>0</v>
      </c>
      <c r="O27" s="12"/>
      <c r="P27" s="12">
        <f t="shared" si="8"/>
        <v>342000</v>
      </c>
      <c r="Q27" s="10" t="s">
        <v>22</v>
      </c>
      <c r="R27" s="13" t="s">
        <v>177</v>
      </c>
      <c r="S27" s="13" t="s">
        <v>22</v>
      </c>
      <c r="T27" s="13" t="s">
        <v>96</v>
      </c>
      <c r="U27" s="12">
        <f>P27-34200</f>
        <v>307800</v>
      </c>
      <c r="V27" s="70">
        <v>42314</v>
      </c>
      <c r="W27" s="125" t="s">
        <v>178</v>
      </c>
      <c r="X27" s="16"/>
    </row>
    <row r="28" spans="1:24" s="62" customFormat="1" ht="30" x14ac:dyDescent="0.25">
      <c r="A28" s="73">
        <v>42299</v>
      </c>
      <c r="B28" s="74" t="s">
        <v>73</v>
      </c>
      <c r="C28" s="75" t="s">
        <v>179</v>
      </c>
      <c r="D28" s="76">
        <v>22</v>
      </c>
      <c r="E28" s="76" t="s">
        <v>20</v>
      </c>
      <c r="F28" s="76" t="s">
        <v>21</v>
      </c>
      <c r="G28" s="76" t="s">
        <v>21</v>
      </c>
      <c r="H28" s="76" t="s">
        <v>88</v>
      </c>
      <c r="I28" s="77">
        <v>990000</v>
      </c>
      <c r="J28" s="78">
        <v>0</v>
      </c>
      <c r="K28" s="78">
        <v>0</v>
      </c>
      <c r="L28" s="78">
        <v>0</v>
      </c>
      <c r="M28" s="78">
        <v>0</v>
      </c>
      <c r="N28" s="78">
        <f>37166+(34*1999)</f>
        <v>105132</v>
      </c>
      <c r="O28" s="78"/>
      <c r="P28" s="78">
        <v>0</v>
      </c>
      <c r="Q28" s="76" t="s">
        <v>180</v>
      </c>
      <c r="R28" s="79" t="s">
        <v>181</v>
      </c>
      <c r="S28" s="79" t="s">
        <v>182</v>
      </c>
      <c r="T28" s="79" t="s">
        <v>182</v>
      </c>
      <c r="U28" s="79" t="s">
        <v>182</v>
      </c>
      <c r="V28" s="79" t="s">
        <v>182</v>
      </c>
      <c r="W28" s="79" t="s">
        <v>183</v>
      </c>
      <c r="X28" s="80"/>
    </row>
    <row r="29" spans="1:24" x14ac:dyDescent="0.25">
      <c r="A29" s="7">
        <v>42303</v>
      </c>
      <c r="B29" s="8" t="s">
        <v>80</v>
      </c>
      <c r="C29" s="9" t="s">
        <v>184</v>
      </c>
      <c r="D29" s="10">
        <v>30</v>
      </c>
      <c r="E29" s="10" t="s">
        <v>54</v>
      </c>
      <c r="F29" s="10" t="s">
        <v>21</v>
      </c>
      <c r="G29" s="10" t="s">
        <v>21</v>
      </c>
      <c r="H29" s="10" t="s">
        <v>111</v>
      </c>
      <c r="I29" s="11">
        <v>60000</v>
      </c>
      <c r="J29" s="50">
        <f t="shared" si="7"/>
        <v>8400</v>
      </c>
      <c r="K29" s="50">
        <v>0</v>
      </c>
      <c r="L29" s="50">
        <v>0</v>
      </c>
      <c r="M29" s="12">
        <f>J29+K29+L29</f>
        <v>8400</v>
      </c>
      <c r="N29" s="50">
        <v>0</v>
      </c>
      <c r="O29" s="50"/>
      <c r="P29" s="12">
        <f t="shared" si="8"/>
        <v>68400</v>
      </c>
      <c r="Q29" s="10" t="s">
        <v>22</v>
      </c>
      <c r="R29" s="13" t="s">
        <v>185</v>
      </c>
      <c r="S29" s="13" t="s">
        <v>22</v>
      </c>
      <c r="T29" s="13" t="s">
        <v>96</v>
      </c>
      <c r="U29" s="12">
        <v>62400</v>
      </c>
      <c r="V29" s="81">
        <v>42314</v>
      </c>
      <c r="W29" s="24" t="s">
        <v>186</v>
      </c>
      <c r="X29" s="16"/>
    </row>
    <row r="30" spans="1:24" x14ac:dyDescent="0.25">
      <c r="A30" s="7">
        <v>42303</v>
      </c>
      <c r="B30" s="52" t="s">
        <v>131</v>
      </c>
      <c r="C30" s="39" t="s">
        <v>187</v>
      </c>
      <c r="D30" s="53">
        <v>25</v>
      </c>
      <c r="E30" s="53" t="s">
        <v>20</v>
      </c>
      <c r="F30" s="53" t="s">
        <v>21</v>
      </c>
      <c r="G30" s="53" t="s">
        <v>21</v>
      </c>
      <c r="H30" s="53" t="s">
        <v>76</v>
      </c>
      <c r="I30" s="11">
        <v>450000</v>
      </c>
      <c r="J30" s="12">
        <f t="shared" si="7"/>
        <v>63000.000000000007</v>
      </c>
      <c r="K30" s="12">
        <v>0</v>
      </c>
      <c r="L30" s="12">
        <v>0</v>
      </c>
      <c r="M30" s="12">
        <f>J30+K30+L30</f>
        <v>63000.000000000007</v>
      </c>
      <c r="N30" s="12">
        <v>0</v>
      </c>
      <c r="O30" s="12"/>
      <c r="P30" s="12">
        <f>I30+M30+N30</f>
        <v>513000</v>
      </c>
      <c r="Q30" s="10" t="s">
        <v>22</v>
      </c>
      <c r="R30" s="13" t="s">
        <v>188</v>
      </c>
      <c r="S30" s="13" t="s">
        <v>49</v>
      </c>
      <c r="T30" s="13" t="s">
        <v>96</v>
      </c>
      <c r="U30" s="12">
        <f>P30-45000</f>
        <v>468000</v>
      </c>
      <c r="V30" s="81">
        <v>42367</v>
      </c>
      <c r="W30" s="24" t="s">
        <v>189</v>
      </c>
      <c r="X30" s="16"/>
    </row>
    <row r="31" spans="1:24" x14ac:dyDescent="0.25">
      <c r="A31" s="7">
        <v>42315</v>
      </c>
      <c r="B31" s="8" t="s">
        <v>190</v>
      </c>
      <c r="C31" s="82" t="s">
        <v>191</v>
      </c>
      <c r="D31" s="10">
        <v>26</v>
      </c>
      <c r="E31" s="10" t="s">
        <v>29</v>
      </c>
      <c r="F31" s="10" t="s">
        <v>21</v>
      </c>
      <c r="G31" s="10" t="s">
        <v>21</v>
      </c>
      <c r="H31" s="10" t="s">
        <v>88</v>
      </c>
      <c r="I31" s="11">
        <f>1299*26</f>
        <v>33774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/>
      <c r="P31" s="12">
        <f>I31+M31+N31</f>
        <v>33774</v>
      </c>
      <c r="Q31" s="10" t="s">
        <v>22</v>
      </c>
      <c r="R31" s="13" t="s">
        <v>192</v>
      </c>
      <c r="S31" s="13" t="s">
        <v>49</v>
      </c>
      <c r="T31" s="66" t="s">
        <v>57</v>
      </c>
      <c r="U31" s="12">
        <v>30397</v>
      </c>
      <c r="V31" s="81">
        <v>42010</v>
      </c>
      <c r="W31" s="83" t="s">
        <v>193</v>
      </c>
      <c r="X31" s="84"/>
    </row>
    <row r="32" spans="1:24" ht="45" x14ac:dyDescent="0.25">
      <c r="A32" s="51">
        <v>42324</v>
      </c>
      <c r="B32" s="52" t="s">
        <v>73</v>
      </c>
      <c r="C32" s="39" t="s">
        <v>194</v>
      </c>
      <c r="D32" s="53">
        <v>21</v>
      </c>
      <c r="E32" s="53" t="s">
        <v>20</v>
      </c>
      <c r="F32" s="53" t="s">
        <v>21</v>
      </c>
      <c r="G32" s="53" t="s">
        <v>21</v>
      </c>
      <c r="H32" s="53" t="s">
        <v>88</v>
      </c>
      <c r="I32" s="54">
        <f>21*45000</f>
        <v>945000</v>
      </c>
      <c r="J32" s="55">
        <v>0</v>
      </c>
      <c r="K32" s="55">
        <v>0</v>
      </c>
      <c r="L32" s="55">
        <v>0</v>
      </c>
      <c r="M32" s="55">
        <v>0</v>
      </c>
      <c r="N32" s="55">
        <f>37166+(34*1999)</f>
        <v>105132</v>
      </c>
      <c r="O32" s="55"/>
      <c r="P32" s="55">
        <f t="shared" ref="P32:P33" si="9">I32+M32+N32</f>
        <v>1050132</v>
      </c>
      <c r="Q32" s="53" t="s">
        <v>22</v>
      </c>
      <c r="R32" s="13" t="s">
        <v>195</v>
      </c>
      <c r="S32" s="56" t="s">
        <v>196</v>
      </c>
      <c r="T32" s="56" t="s">
        <v>36</v>
      </c>
      <c r="U32" s="12">
        <v>945122</v>
      </c>
      <c r="V32" s="85">
        <v>42354</v>
      </c>
      <c r="W32" s="86" t="s">
        <v>197</v>
      </c>
      <c r="X32" s="84"/>
    </row>
    <row r="33" spans="1:31" x14ac:dyDescent="0.25">
      <c r="A33" s="51">
        <v>42333</v>
      </c>
      <c r="B33" s="52" t="s">
        <v>56</v>
      </c>
      <c r="C33" s="87" t="s">
        <v>198</v>
      </c>
      <c r="D33" s="53">
        <v>21</v>
      </c>
      <c r="E33" s="53" t="s">
        <v>54</v>
      </c>
      <c r="F33" s="53" t="s">
        <v>30</v>
      </c>
      <c r="G33" s="53" t="s">
        <v>30</v>
      </c>
      <c r="H33" s="53" t="s">
        <v>76</v>
      </c>
      <c r="I33" s="54">
        <v>2233654</v>
      </c>
      <c r="J33" s="55">
        <f>I33*14.5%</f>
        <v>323879.82999999996</v>
      </c>
      <c r="K33" s="55">
        <v>0</v>
      </c>
      <c r="L33" s="55">
        <v>0</v>
      </c>
      <c r="M33" s="55">
        <f>L33+K33+J33</f>
        <v>323879.82999999996</v>
      </c>
      <c r="N33" s="55">
        <v>0</v>
      </c>
      <c r="O33" s="55"/>
      <c r="P33" s="55">
        <f t="shared" si="9"/>
        <v>2557533.83</v>
      </c>
      <c r="Q33" s="53" t="s">
        <v>22</v>
      </c>
      <c r="R33" s="13" t="s">
        <v>199</v>
      </c>
      <c r="S33" s="56" t="s">
        <v>22</v>
      </c>
      <c r="T33" s="56" t="s">
        <v>96</v>
      </c>
      <c r="U33" s="88">
        <v>2334169</v>
      </c>
      <c r="V33" s="85">
        <v>42354</v>
      </c>
      <c r="W33" s="56" t="s">
        <v>200</v>
      </c>
      <c r="X33" s="84"/>
    </row>
    <row r="34" spans="1:31" ht="30" x14ac:dyDescent="0.25">
      <c r="A34" s="7">
        <v>42338</v>
      </c>
      <c r="B34" s="52" t="s">
        <v>73</v>
      </c>
      <c r="C34" s="9" t="s">
        <v>201</v>
      </c>
      <c r="D34" s="10">
        <v>30</v>
      </c>
      <c r="E34" s="10" t="s">
        <v>20</v>
      </c>
      <c r="F34" s="10" t="s">
        <v>21</v>
      </c>
      <c r="G34" s="10" t="s">
        <v>21</v>
      </c>
      <c r="H34" s="10" t="s">
        <v>111</v>
      </c>
      <c r="I34" s="54">
        <f>(18000/2.5)*52</f>
        <v>374400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/>
      <c r="P34" s="55">
        <f>I34+M34+N34</f>
        <v>374400</v>
      </c>
      <c r="Q34" s="10" t="s">
        <v>22</v>
      </c>
      <c r="R34" s="13" t="s">
        <v>202</v>
      </c>
      <c r="S34" s="37" t="s">
        <v>22</v>
      </c>
      <c r="T34" s="89" t="s">
        <v>36</v>
      </c>
      <c r="U34" s="12">
        <f>P34-(10%*I34)</f>
        <v>336960</v>
      </c>
      <c r="V34" s="81">
        <v>42382</v>
      </c>
      <c r="W34" s="24" t="s">
        <v>203</v>
      </c>
      <c r="X34" s="16"/>
    </row>
    <row r="35" spans="1:31" ht="30" x14ac:dyDescent="0.25">
      <c r="A35" s="7">
        <v>42338</v>
      </c>
      <c r="B35" s="52" t="s">
        <v>73</v>
      </c>
      <c r="C35" s="9" t="s">
        <v>204</v>
      </c>
      <c r="D35" s="10">
        <v>44</v>
      </c>
      <c r="E35" s="10" t="s">
        <v>20</v>
      </c>
      <c r="F35" s="10" t="s">
        <v>21</v>
      </c>
      <c r="G35" s="10" t="s">
        <v>21</v>
      </c>
      <c r="H35" s="10" t="s">
        <v>111</v>
      </c>
      <c r="I35" s="54">
        <f>(18000/2.5)*52</f>
        <v>374400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/>
      <c r="P35" s="55">
        <f>I35+M35+N35</f>
        <v>374400</v>
      </c>
      <c r="Q35" s="10" t="s">
        <v>22</v>
      </c>
      <c r="R35" s="13" t="s">
        <v>205</v>
      </c>
      <c r="S35" s="37" t="s">
        <v>22</v>
      </c>
      <c r="T35" s="37" t="s">
        <v>36</v>
      </c>
      <c r="U35" s="12">
        <f>P35-(10%*I35)</f>
        <v>336960</v>
      </c>
      <c r="V35" s="81">
        <v>42382</v>
      </c>
      <c r="W35" s="86" t="s">
        <v>203</v>
      </c>
      <c r="X35" s="90"/>
    </row>
    <row r="36" spans="1:31" ht="45" x14ac:dyDescent="0.25">
      <c r="A36" s="7">
        <v>42339</v>
      </c>
      <c r="B36" s="8" t="s">
        <v>75</v>
      </c>
      <c r="C36" s="45" t="s">
        <v>206</v>
      </c>
      <c r="D36" s="10">
        <v>16</v>
      </c>
      <c r="E36" s="46" t="s">
        <v>125</v>
      </c>
      <c r="F36" s="37" t="s">
        <v>30</v>
      </c>
      <c r="G36" s="37" t="s">
        <v>30</v>
      </c>
      <c r="H36" s="37" t="s">
        <v>76</v>
      </c>
      <c r="I36" s="11">
        <f>(15000*100)+(30000*16)</f>
        <v>1980000</v>
      </c>
      <c r="J36" s="12">
        <f>I36*14.5%</f>
        <v>287100</v>
      </c>
      <c r="K36" s="12">
        <v>0</v>
      </c>
      <c r="L36" s="12">
        <v>0</v>
      </c>
      <c r="M36" s="12">
        <f>J36+K36+L36</f>
        <v>287100</v>
      </c>
      <c r="N36" s="12">
        <v>0</v>
      </c>
      <c r="O36" s="12"/>
      <c r="P36" s="12">
        <f>I36+M36</f>
        <v>2267100</v>
      </c>
      <c r="Q36" s="10" t="s">
        <v>22</v>
      </c>
      <c r="R36" s="13" t="s">
        <v>207</v>
      </c>
      <c r="S36" s="13" t="s">
        <v>22</v>
      </c>
      <c r="T36" s="185" t="s">
        <v>24</v>
      </c>
      <c r="U36" s="185">
        <v>3056625</v>
      </c>
      <c r="V36" s="187">
        <v>42401</v>
      </c>
      <c r="W36" s="91" t="s">
        <v>208</v>
      </c>
      <c r="X36" s="16"/>
      <c r="AA36" s="92">
        <f>+I36*0.9+J36</f>
        <v>2069100</v>
      </c>
    </row>
    <row r="37" spans="1:31" x14ac:dyDescent="0.25">
      <c r="A37" s="7">
        <v>42339</v>
      </c>
      <c r="B37" s="8" t="s">
        <v>75</v>
      </c>
      <c r="C37" s="45" t="s">
        <v>209</v>
      </c>
      <c r="D37" s="10">
        <v>63</v>
      </c>
      <c r="E37" s="10" t="s">
        <v>20</v>
      </c>
      <c r="F37" s="10" t="s">
        <v>30</v>
      </c>
      <c r="G37" s="10" t="s">
        <v>30</v>
      </c>
      <c r="H37" s="10" t="s">
        <v>76</v>
      </c>
      <c r="I37" s="11">
        <f>63*30000/2</f>
        <v>945000</v>
      </c>
      <c r="J37" s="12">
        <f>I37*14.5%</f>
        <v>137025</v>
      </c>
      <c r="K37" s="12">
        <v>0</v>
      </c>
      <c r="L37" s="12">
        <v>0</v>
      </c>
      <c r="M37" s="12">
        <f>J37+K37+L37</f>
        <v>137025</v>
      </c>
      <c r="N37" s="12">
        <v>0</v>
      </c>
      <c r="O37" s="12"/>
      <c r="P37" s="12">
        <f>I37+M37</f>
        <v>1082025</v>
      </c>
      <c r="Q37" s="10" t="s">
        <v>22</v>
      </c>
      <c r="R37" s="13" t="s">
        <v>210</v>
      </c>
      <c r="S37" s="13" t="s">
        <v>22</v>
      </c>
      <c r="T37" s="186" t="s">
        <v>24</v>
      </c>
      <c r="U37" s="186"/>
      <c r="V37" s="188"/>
      <c r="W37" s="91" t="s">
        <v>208</v>
      </c>
      <c r="X37" s="16"/>
      <c r="AA37" s="92">
        <f>+I37*0.9+J37</f>
        <v>987525</v>
      </c>
    </row>
    <row r="38" spans="1:31" ht="45" x14ac:dyDescent="0.25">
      <c r="A38" s="7">
        <v>42345</v>
      </c>
      <c r="B38" s="52" t="s">
        <v>73</v>
      </c>
      <c r="C38" s="39" t="s">
        <v>211</v>
      </c>
      <c r="D38" s="10">
        <v>26</v>
      </c>
      <c r="E38" s="10" t="s">
        <v>50</v>
      </c>
      <c r="F38" s="10" t="s">
        <v>21</v>
      </c>
      <c r="G38" s="10" t="s">
        <v>21</v>
      </c>
      <c r="H38" s="10" t="s">
        <v>88</v>
      </c>
      <c r="I38" s="11">
        <f>1050000+(52*1999)</f>
        <v>1153948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/>
      <c r="P38" s="55">
        <f>I38+M38+N38+J38</f>
        <v>1153948</v>
      </c>
      <c r="Q38" s="53" t="s">
        <v>22</v>
      </c>
      <c r="R38" s="13" t="s">
        <v>212</v>
      </c>
      <c r="S38" s="37" t="s">
        <v>22</v>
      </c>
      <c r="T38" s="37" t="s">
        <v>36</v>
      </c>
      <c r="U38" s="12">
        <v>1038558</v>
      </c>
      <c r="V38" s="81">
        <v>42410</v>
      </c>
      <c r="W38" s="91" t="s">
        <v>213</v>
      </c>
      <c r="X38" s="16"/>
      <c r="AE38">
        <f>+P38*0.9</f>
        <v>1038553.2000000001</v>
      </c>
    </row>
    <row r="39" spans="1:31" ht="30" x14ac:dyDescent="0.25">
      <c r="A39" s="7">
        <v>42345</v>
      </c>
      <c r="B39" s="52" t="s">
        <v>73</v>
      </c>
      <c r="C39" s="39" t="s">
        <v>214</v>
      </c>
      <c r="D39" s="10"/>
      <c r="E39" s="10"/>
      <c r="F39" s="10" t="s">
        <v>21</v>
      </c>
      <c r="G39" s="10" t="s">
        <v>21</v>
      </c>
      <c r="H39" s="10"/>
      <c r="I39" s="11">
        <v>0</v>
      </c>
      <c r="J39" s="12">
        <v>0</v>
      </c>
      <c r="K39" s="12">
        <v>0</v>
      </c>
      <c r="L39" s="12">
        <v>0</v>
      </c>
      <c r="M39" s="12">
        <v>0</v>
      </c>
      <c r="N39" s="12">
        <v>82900</v>
      </c>
      <c r="O39" s="12"/>
      <c r="P39" s="55">
        <f>I39+M39+N39+J39</f>
        <v>82900</v>
      </c>
      <c r="Q39" s="10" t="s">
        <v>22</v>
      </c>
      <c r="R39" s="13" t="s">
        <v>215</v>
      </c>
      <c r="S39" s="37" t="s">
        <v>22</v>
      </c>
      <c r="T39" s="37" t="s">
        <v>24</v>
      </c>
      <c r="U39" s="12">
        <v>82900</v>
      </c>
      <c r="V39" s="81">
        <v>42433</v>
      </c>
      <c r="W39" s="24" t="s">
        <v>216</v>
      </c>
      <c r="X39" s="16"/>
    </row>
    <row r="40" spans="1:31" x14ac:dyDescent="0.25">
      <c r="A40" s="7">
        <v>42353</v>
      </c>
      <c r="B40" s="93" t="s">
        <v>217</v>
      </c>
      <c r="C40" s="87" t="s">
        <v>218</v>
      </c>
      <c r="D40" s="10">
        <v>18</v>
      </c>
      <c r="E40" s="10" t="s">
        <v>40</v>
      </c>
      <c r="F40" s="10" t="s">
        <v>21</v>
      </c>
      <c r="G40" s="10" t="s">
        <v>21</v>
      </c>
      <c r="H40" s="10" t="s">
        <v>111</v>
      </c>
      <c r="I40" s="11">
        <v>850000</v>
      </c>
      <c r="J40" s="12">
        <f>I40*14.5%</f>
        <v>123249.99999999999</v>
      </c>
      <c r="K40" s="12">
        <v>0</v>
      </c>
      <c r="L40" s="12">
        <v>0</v>
      </c>
      <c r="M40" s="12">
        <v>0</v>
      </c>
      <c r="N40" s="12">
        <v>0</v>
      </c>
      <c r="O40" s="12"/>
      <c r="P40" s="55">
        <f t="shared" ref="P40:P41" si="10">I40+M40+N40+J40</f>
        <v>973250</v>
      </c>
      <c r="Q40" s="10" t="s">
        <v>49</v>
      </c>
      <c r="R40" s="13" t="s">
        <v>219</v>
      </c>
      <c r="S40" s="87" t="s">
        <v>22</v>
      </c>
      <c r="T40" s="87" t="s">
        <v>96</v>
      </c>
      <c r="U40" s="12">
        <f>P40-(10%*I40)</f>
        <v>888250</v>
      </c>
      <c r="V40" s="81">
        <v>42382</v>
      </c>
      <c r="W40" s="24" t="s">
        <v>220</v>
      </c>
    </row>
    <row r="41" spans="1:31" ht="45" x14ac:dyDescent="0.25">
      <c r="A41" s="94">
        <v>42360</v>
      </c>
      <c r="B41" s="52" t="s">
        <v>73</v>
      </c>
      <c r="C41" s="39" t="s">
        <v>221</v>
      </c>
      <c r="D41" s="10">
        <v>20</v>
      </c>
      <c r="E41" s="10" t="s">
        <v>20</v>
      </c>
      <c r="F41" s="10" t="s">
        <v>21</v>
      </c>
      <c r="G41" s="10" t="s">
        <v>21</v>
      </c>
      <c r="H41" s="10" t="s">
        <v>88</v>
      </c>
      <c r="I41" s="11">
        <v>1360000</v>
      </c>
      <c r="J41" s="12">
        <v>0</v>
      </c>
      <c r="K41" s="12">
        <v>0</v>
      </c>
      <c r="L41" s="12">
        <v>0</v>
      </c>
      <c r="M41" s="12">
        <v>0</v>
      </c>
      <c r="N41" s="12">
        <f>(20*1999)+(20*1999)</f>
        <v>79960</v>
      </c>
      <c r="O41" s="12"/>
      <c r="P41" s="55">
        <f t="shared" si="10"/>
        <v>1439960</v>
      </c>
      <c r="Q41" s="53" t="s">
        <v>22</v>
      </c>
      <c r="R41" s="13" t="s">
        <v>222</v>
      </c>
      <c r="S41" s="13" t="s">
        <v>49</v>
      </c>
      <c r="T41" s="13" t="s">
        <v>96</v>
      </c>
      <c r="U41">
        <v>1295960</v>
      </c>
      <c r="V41" s="95">
        <v>42391</v>
      </c>
      <c r="W41" s="24"/>
    </row>
    <row r="42" spans="1:31" ht="30" x14ac:dyDescent="0.25">
      <c r="A42" s="94">
        <v>42360</v>
      </c>
      <c r="B42" s="52" t="s">
        <v>73</v>
      </c>
      <c r="C42" s="39" t="s">
        <v>223</v>
      </c>
      <c r="D42" s="10"/>
      <c r="E42" s="10"/>
      <c r="F42" s="10" t="s">
        <v>21</v>
      </c>
      <c r="G42" s="10" t="s">
        <v>21</v>
      </c>
      <c r="H42" s="10"/>
      <c r="I42" s="11">
        <v>0</v>
      </c>
      <c r="J42" s="12">
        <v>0</v>
      </c>
      <c r="K42" s="12">
        <v>0</v>
      </c>
      <c r="L42" s="12">
        <v>0</v>
      </c>
      <c r="M42" s="12">
        <v>0</v>
      </c>
      <c r="N42" s="12">
        <v>49362</v>
      </c>
      <c r="O42" s="12">
        <v>0</v>
      </c>
      <c r="P42" s="55">
        <v>49362</v>
      </c>
      <c r="Q42" s="53" t="s">
        <v>22</v>
      </c>
      <c r="R42" s="13" t="s">
        <v>224</v>
      </c>
      <c r="S42" s="13" t="s">
        <v>49</v>
      </c>
      <c r="T42" s="13" t="s">
        <v>96</v>
      </c>
      <c r="U42">
        <v>49362</v>
      </c>
      <c r="V42" s="95">
        <v>42391</v>
      </c>
      <c r="W42" s="24"/>
    </row>
    <row r="43" spans="1:31" x14ac:dyDescent="0.25">
      <c r="A43" s="94">
        <v>42016</v>
      </c>
      <c r="B43" s="8" t="s">
        <v>225</v>
      </c>
      <c r="C43" s="9" t="s">
        <v>226</v>
      </c>
      <c r="D43" s="10">
        <v>25</v>
      </c>
      <c r="E43" s="10" t="s">
        <v>50</v>
      </c>
      <c r="F43" s="10" t="s">
        <v>21</v>
      </c>
      <c r="G43" s="10" t="s">
        <v>21</v>
      </c>
      <c r="H43" s="10" t="s">
        <v>111</v>
      </c>
      <c r="I43" s="11">
        <v>500000</v>
      </c>
      <c r="J43" s="12">
        <f>I43*14.5%</f>
        <v>72500</v>
      </c>
      <c r="K43" s="12">
        <v>0</v>
      </c>
      <c r="L43" s="12">
        <v>0</v>
      </c>
      <c r="M43" s="12">
        <v>0</v>
      </c>
      <c r="N43" s="12"/>
      <c r="O43" s="12">
        <v>285000</v>
      </c>
      <c r="P43" s="12">
        <f>(I43+J43+N43)-O43</f>
        <v>287500</v>
      </c>
      <c r="Q43" s="10" t="s">
        <v>22</v>
      </c>
      <c r="R43" s="13" t="s">
        <v>227</v>
      </c>
      <c r="S43" s="37" t="s">
        <v>49</v>
      </c>
      <c r="T43" s="37" t="s">
        <v>228</v>
      </c>
      <c r="U43" s="12" t="s">
        <v>229</v>
      </c>
      <c r="V43" s="81" t="s">
        <v>230</v>
      </c>
      <c r="W43" s="86" t="s">
        <v>231</v>
      </c>
    </row>
    <row r="44" spans="1:31" x14ac:dyDescent="0.25">
      <c r="A44" s="94">
        <v>42016</v>
      </c>
      <c r="B44" s="8" t="s">
        <v>232</v>
      </c>
      <c r="C44" s="9" t="s">
        <v>233</v>
      </c>
      <c r="D44" s="10">
        <v>28</v>
      </c>
      <c r="E44" s="10" t="s">
        <v>20</v>
      </c>
      <c r="F44" s="10" t="s">
        <v>21</v>
      </c>
      <c r="G44" s="10" t="s">
        <v>21</v>
      </c>
      <c r="H44" s="10" t="s">
        <v>88</v>
      </c>
      <c r="I44" s="11">
        <v>400000</v>
      </c>
      <c r="J44" s="12">
        <f>I44*14.5%</f>
        <v>57999.999999999993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f>(I44+J44+N44)-O44</f>
        <v>458000</v>
      </c>
      <c r="Q44" s="10" t="s">
        <v>22</v>
      </c>
      <c r="R44" s="13" t="s">
        <v>234</v>
      </c>
      <c r="S44" s="37" t="s">
        <v>22</v>
      </c>
      <c r="T44" s="37" t="s">
        <v>24</v>
      </c>
      <c r="U44" s="12">
        <v>417800</v>
      </c>
      <c r="V44" s="81">
        <v>42430</v>
      </c>
      <c r="W44" s="44" t="s">
        <v>235</v>
      </c>
      <c r="X44" s="92">
        <f>+I44*0.9+J44</f>
        <v>418000</v>
      </c>
    </row>
    <row r="45" spans="1:31" x14ac:dyDescent="0.25">
      <c r="A45" s="94">
        <v>42016</v>
      </c>
      <c r="B45" s="8" t="s">
        <v>236</v>
      </c>
      <c r="C45" s="96" t="s">
        <v>237</v>
      </c>
      <c r="D45" s="10">
        <v>26</v>
      </c>
      <c r="E45" s="10" t="s">
        <v>40</v>
      </c>
      <c r="F45" s="10" t="s">
        <v>21</v>
      </c>
      <c r="G45" s="10" t="s">
        <v>21</v>
      </c>
      <c r="H45" s="10" t="s">
        <v>76</v>
      </c>
      <c r="I45" s="11">
        <v>340000</v>
      </c>
      <c r="J45" s="12">
        <f>I45*14.5%</f>
        <v>49300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f>(I45+J45+N45)-O45</f>
        <v>389300</v>
      </c>
      <c r="Q45" s="10" t="s">
        <v>22</v>
      </c>
      <c r="R45" s="13" t="s">
        <v>238</v>
      </c>
      <c r="S45" s="87" t="s">
        <v>22</v>
      </c>
      <c r="T45" s="87" t="s">
        <v>239</v>
      </c>
      <c r="U45" s="87">
        <v>355300</v>
      </c>
      <c r="V45" s="97">
        <v>42422</v>
      </c>
      <c r="W45" s="98" t="s">
        <v>240</v>
      </c>
    </row>
    <row r="46" spans="1:31" ht="30" x14ac:dyDescent="0.25">
      <c r="A46" s="94">
        <v>42016</v>
      </c>
      <c r="B46" s="8" t="s">
        <v>236</v>
      </c>
      <c r="C46" s="96" t="s">
        <v>241</v>
      </c>
      <c r="D46" s="10"/>
      <c r="E46" s="10"/>
      <c r="F46" s="10" t="s">
        <v>21</v>
      </c>
      <c r="G46" s="10" t="s">
        <v>21</v>
      </c>
      <c r="H46" s="10"/>
      <c r="I46" s="11">
        <v>0</v>
      </c>
      <c r="J46" s="12">
        <v>0</v>
      </c>
      <c r="K46" s="12">
        <v>0</v>
      </c>
      <c r="L46" s="12">
        <v>0</v>
      </c>
      <c r="M46" s="12">
        <v>0</v>
      </c>
      <c r="N46" s="12">
        <f>9133+9308</f>
        <v>18441</v>
      </c>
      <c r="O46" s="12">
        <v>0</v>
      </c>
      <c r="P46" s="12">
        <f>(I46+J46+N46)-O46</f>
        <v>18441</v>
      </c>
      <c r="Q46" s="10" t="s">
        <v>22</v>
      </c>
      <c r="R46" s="13" t="s">
        <v>242</v>
      </c>
      <c r="S46" s="87" t="s">
        <v>49</v>
      </c>
      <c r="T46" s="87" t="s">
        <v>24</v>
      </c>
      <c r="U46" s="87">
        <v>18441</v>
      </c>
      <c r="V46" s="97">
        <v>42422</v>
      </c>
      <c r="W46" s="98" t="s">
        <v>243</v>
      </c>
    </row>
    <row r="47" spans="1:31" s="64" customFormat="1" x14ac:dyDescent="0.25">
      <c r="A47" s="26">
        <v>42017</v>
      </c>
      <c r="B47" s="27" t="s">
        <v>75</v>
      </c>
      <c r="C47" s="99" t="s">
        <v>244</v>
      </c>
      <c r="D47" s="100"/>
      <c r="E47" s="31"/>
      <c r="F47" s="101" t="s">
        <v>30</v>
      </c>
      <c r="G47" s="101" t="s">
        <v>30</v>
      </c>
      <c r="H47" s="101"/>
      <c r="I47" s="30">
        <f>63*30000/2</f>
        <v>945000</v>
      </c>
      <c r="J47" s="31">
        <f>I47*14.5%</f>
        <v>137025</v>
      </c>
      <c r="K47" s="31">
        <v>0</v>
      </c>
      <c r="L47" s="31">
        <v>0</v>
      </c>
      <c r="M47" s="31">
        <f>J47+K47+L47</f>
        <v>137025</v>
      </c>
      <c r="N47" s="31">
        <v>0</v>
      </c>
      <c r="O47" s="31"/>
      <c r="P47" s="31">
        <f>I47+M47</f>
        <v>1082025</v>
      </c>
      <c r="Q47" s="29" t="s">
        <v>22</v>
      </c>
      <c r="R47" s="32" t="s">
        <v>245</v>
      </c>
      <c r="S47" s="100" t="s">
        <v>246</v>
      </c>
      <c r="T47" s="100" t="s">
        <v>246</v>
      </c>
      <c r="U47" s="100" t="s">
        <v>246</v>
      </c>
      <c r="V47" s="100" t="s">
        <v>246</v>
      </c>
      <c r="W47" s="100" t="s">
        <v>246</v>
      </c>
    </row>
    <row r="48" spans="1:31" ht="30" x14ac:dyDescent="0.25">
      <c r="A48" s="94">
        <v>42398</v>
      </c>
      <c r="B48" s="8" t="s">
        <v>247</v>
      </c>
      <c r="C48" s="96" t="s">
        <v>248</v>
      </c>
      <c r="D48" s="10" t="s">
        <v>249</v>
      </c>
      <c r="E48" s="10" t="s">
        <v>34</v>
      </c>
      <c r="F48" s="10" t="s">
        <v>21</v>
      </c>
      <c r="G48" s="10" t="s">
        <v>21</v>
      </c>
      <c r="H48" s="10" t="s">
        <v>88</v>
      </c>
      <c r="I48" s="11">
        <v>306000</v>
      </c>
      <c r="J48" s="12">
        <f>I48*14.5%</f>
        <v>44370</v>
      </c>
      <c r="K48" s="12">
        <v>0</v>
      </c>
      <c r="L48" s="12">
        <v>0</v>
      </c>
      <c r="M48" s="12">
        <f t="shared" ref="M48:M58" si="11">+L48+K48+J48</f>
        <v>44370</v>
      </c>
      <c r="N48" s="12"/>
      <c r="O48" s="12"/>
      <c r="P48" s="12">
        <f>I48+M48</f>
        <v>350370</v>
      </c>
      <c r="Q48" s="10" t="s">
        <v>22</v>
      </c>
      <c r="R48" s="13" t="s">
        <v>250</v>
      </c>
      <c r="S48" s="87" t="s">
        <v>22</v>
      </c>
      <c r="T48" s="87" t="s">
        <v>24</v>
      </c>
      <c r="U48" s="87">
        <v>319770</v>
      </c>
      <c r="V48" s="97">
        <v>42453</v>
      </c>
      <c r="W48" s="98" t="s">
        <v>251</v>
      </c>
    </row>
    <row r="49" spans="1:24" ht="62.25" x14ac:dyDescent="0.25">
      <c r="A49" s="94">
        <v>42399</v>
      </c>
      <c r="B49" s="8" t="s">
        <v>252</v>
      </c>
      <c r="C49" s="39" t="s">
        <v>253</v>
      </c>
      <c r="D49" s="10" t="s">
        <v>254</v>
      </c>
      <c r="E49" s="10" t="s">
        <v>50</v>
      </c>
      <c r="F49" s="10" t="s">
        <v>21</v>
      </c>
      <c r="G49" s="10" t="s">
        <v>21</v>
      </c>
      <c r="H49" s="10" t="s">
        <v>88</v>
      </c>
      <c r="I49" s="11">
        <f>463000+31984</f>
        <v>494984</v>
      </c>
      <c r="J49" s="12">
        <v>0</v>
      </c>
      <c r="K49" s="12">
        <v>0</v>
      </c>
      <c r="L49" s="12">
        <v>0</v>
      </c>
      <c r="M49" s="12">
        <f t="shared" si="11"/>
        <v>0</v>
      </c>
      <c r="N49" s="12"/>
      <c r="O49" s="12"/>
      <c r="P49" s="12">
        <f>I49+M49</f>
        <v>494984</v>
      </c>
      <c r="Q49" s="10" t="s">
        <v>22</v>
      </c>
      <c r="R49" s="13" t="s">
        <v>255</v>
      </c>
      <c r="S49" s="199" t="s">
        <v>22</v>
      </c>
      <c r="T49" s="199" t="s">
        <v>36</v>
      </c>
      <c r="U49" s="185">
        <v>889169</v>
      </c>
      <c r="V49" s="189">
        <v>42501</v>
      </c>
      <c r="W49" s="197" t="s">
        <v>256</v>
      </c>
    </row>
    <row r="50" spans="1:24" ht="60" x14ac:dyDescent="0.25">
      <c r="A50" s="94">
        <v>42419</v>
      </c>
      <c r="B50" s="8" t="s">
        <v>252</v>
      </c>
      <c r="C50" s="39" t="s">
        <v>257</v>
      </c>
      <c r="D50" s="10" t="s">
        <v>258</v>
      </c>
      <c r="E50" s="10" t="s">
        <v>50</v>
      </c>
      <c r="F50" s="10" t="s">
        <v>21</v>
      </c>
      <c r="G50" s="10" t="s">
        <v>21</v>
      </c>
      <c r="H50" s="10" t="s">
        <v>88</v>
      </c>
      <c r="I50" s="11">
        <v>492985</v>
      </c>
      <c r="J50" s="12">
        <v>0</v>
      </c>
      <c r="K50" s="12">
        <v>0</v>
      </c>
      <c r="L50" s="12">
        <v>0</v>
      </c>
      <c r="M50" s="12">
        <f t="shared" si="11"/>
        <v>0</v>
      </c>
      <c r="N50" s="12"/>
      <c r="O50" s="12"/>
      <c r="P50" s="12">
        <f>+I50</f>
        <v>492985</v>
      </c>
      <c r="Q50" s="10" t="s">
        <v>22</v>
      </c>
      <c r="R50" s="13" t="s">
        <v>259</v>
      </c>
      <c r="S50" s="200"/>
      <c r="T50" s="200" t="s">
        <v>36</v>
      </c>
      <c r="U50" s="186"/>
      <c r="V50" s="190"/>
      <c r="W50" s="198"/>
    </row>
    <row r="51" spans="1:24" ht="30" x14ac:dyDescent="0.25">
      <c r="A51" s="94">
        <v>42422</v>
      </c>
      <c r="B51" s="8" t="s">
        <v>260</v>
      </c>
      <c r="C51" s="96" t="s">
        <v>261</v>
      </c>
      <c r="D51" s="10">
        <v>16</v>
      </c>
      <c r="E51" s="10"/>
      <c r="F51" s="10" t="s">
        <v>21</v>
      </c>
      <c r="G51" s="10" t="s">
        <v>21</v>
      </c>
      <c r="H51" s="10" t="s">
        <v>76</v>
      </c>
      <c r="I51" s="11">
        <v>550000</v>
      </c>
      <c r="J51" s="12">
        <f>I51*14.5%</f>
        <v>79750</v>
      </c>
      <c r="K51" s="12"/>
      <c r="L51" s="12"/>
      <c r="M51" s="12">
        <f t="shared" si="11"/>
        <v>79750</v>
      </c>
      <c r="N51" s="12"/>
      <c r="O51" s="12"/>
      <c r="P51" s="12">
        <f t="shared" ref="P51:P58" si="12">+I51+M51</f>
        <v>629750</v>
      </c>
      <c r="Q51" s="10" t="s">
        <v>22</v>
      </c>
      <c r="R51" s="13" t="s">
        <v>262</v>
      </c>
      <c r="S51" s="13" t="s">
        <v>22</v>
      </c>
      <c r="T51" s="87" t="s">
        <v>24</v>
      </c>
      <c r="U51">
        <v>574750</v>
      </c>
      <c r="V51" s="97">
        <v>42486</v>
      </c>
      <c r="W51" s="98" t="s">
        <v>263</v>
      </c>
    </row>
    <row r="52" spans="1:24" s="88" customFormat="1" ht="32.25" x14ac:dyDescent="0.25">
      <c r="A52" s="102">
        <v>42422</v>
      </c>
      <c r="B52" s="8" t="s">
        <v>264</v>
      </c>
      <c r="C52" s="45" t="s">
        <v>265</v>
      </c>
      <c r="D52" s="103">
        <v>32</v>
      </c>
      <c r="E52" s="103"/>
      <c r="F52" s="10" t="s">
        <v>21</v>
      </c>
      <c r="G52" s="10" t="s">
        <v>21</v>
      </c>
      <c r="H52" s="104" t="s">
        <v>111</v>
      </c>
      <c r="I52" s="105">
        <v>374400</v>
      </c>
      <c r="J52" s="106">
        <v>0</v>
      </c>
      <c r="K52" s="106">
        <v>0</v>
      </c>
      <c r="L52" s="106">
        <v>0</v>
      </c>
      <c r="M52" s="12">
        <f t="shared" si="11"/>
        <v>0</v>
      </c>
      <c r="N52" s="107"/>
      <c r="O52" s="107"/>
      <c r="P52" s="12">
        <f t="shared" si="12"/>
        <v>374400</v>
      </c>
      <c r="Q52" s="104" t="s">
        <v>22</v>
      </c>
      <c r="R52" s="13" t="s">
        <v>266</v>
      </c>
      <c r="S52" s="13" t="s">
        <v>49</v>
      </c>
      <c r="T52" s="103" t="s">
        <v>36</v>
      </c>
      <c r="U52" s="104">
        <v>336960</v>
      </c>
      <c r="V52" s="122">
        <v>42473</v>
      </c>
      <c r="W52" s="130" t="s">
        <v>267</v>
      </c>
    </row>
    <row r="53" spans="1:24" s="88" customFormat="1" ht="30" x14ac:dyDescent="0.25">
      <c r="A53" s="108">
        <v>42426</v>
      </c>
      <c r="B53" s="8" t="s">
        <v>78</v>
      </c>
      <c r="C53" s="45" t="s">
        <v>268</v>
      </c>
      <c r="D53" s="103">
        <v>26</v>
      </c>
      <c r="E53" s="103" t="s">
        <v>20</v>
      </c>
      <c r="F53" s="10" t="s">
        <v>21</v>
      </c>
      <c r="G53" s="10" t="s">
        <v>21</v>
      </c>
      <c r="H53" s="104" t="s">
        <v>111</v>
      </c>
      <c r="I53" s="109">
        <v>150000</v>
      </c>
      <c r="J53" s="106">
        <f>I53*14.5%</f>
        <v>21750</v>
      </c>
      <c r="K53" s="106"/>
      <c r="L53" s="106"/>
      <c r="M53" s="12">
        <f t="shared" si="11"/>
        <v>21750</v>
      </c>
      <c r="N53" s="106"/>
      <c r="O53" s="106"/>
      <c r="P53" s="12">
        <f t="shared" si="12"/>
        <v>171750</v>
      </c>
      <c r="Q53" s="104" t="s">
        <v>22</v>
      </c>
      <c r="R53" s="13" t="s">
        <v>269</v>
      </c>
      <c r="S53" s="103" t="s">
        <v>22</v>
      </c>
      <c r="T53" s="103" t="s">
        <v>24</v>
      </c>
      <c r="U53" s="104">
        <v>154575</v>
      </c>
      <c r="V53" s="122">
        <v>42458</v>
      </c>
      <c r="W53" s="124" t="s">
        <v>270</v>
      </c>
    </row>
    <row r="54" spans="1:24" ht="30" x14ac:dyDescent="0.25">
      <c r="A54" s="94">
        <v>42423</v>
      </c>
      <c r="B54" s="8" t="s">
        <v>113</v>
      </c>
      <c r="C54" s="45" t="s">
        <v>271</v>
      </c>
      <c r="D54" s="37" t="s">
        <v>272</v>
      </c>
      <c r="E54" s="37" t="s">
        <v>273</v>
      </c>
      <c r="F54" s="10" t="s">
        <v>21</v>
      </c>
      <c r="G54" s="10" t="s">
        <v>21</v>
      </c>
      <c r="H54" s="87" t="s">
        <v>273</v>
      </c>
      <c r="I54" s="110">
        <v>120000</v>
      </c>
      <c r="J54" s="106">
        <f>I54*14.5%</f>
        <v>17400</v>
      </c>
      <c r="K54" s="106"/>
      <c r="L54" s="106"/>
      <c r="M54" s="12">
        <f t="shared" si="11"/>
        <v>17400</v>
      </c>
      <c r="N54" s="106"/>
      <c r="O54" s="106"/>
      <c r="P54" s="12">
        <f t="shared" si="12"/>
        <v>137400</v>
      </c>
      <c r="Q54" s="104" t="s">
        <v>22</v>
      </c>
      <c r="R54" s="13" t="s">
        <v>274</v>
      </c>
      <c r="S54" s="37" t="s">
        <v>22</v>
      </c>
      <c r="T54" s="37" t="s">
        <v>24</v>
      </c>
      <c r="U54" s="87">
        <v>125400</v>
      </c>
      <c r="V54" s="97">
        <v>42468</v>
      </c>
      <c r="W54" s="44" t="s">
        <v>275</v>
      </c>
    </row>
    <row r="55" spans="1:24" ht="30" x14ac:dyDescent="0.25">
      <c r="A55" s="94">
        <v>42436</v>
      </c>
      <c r="B55" s="111" t="s">
        <v>73</v>
      </c>
      <c r="C55" s="112" t="s">
        <v>276</v>
      </c>
      <c r="D55" s="37">
        <v>30</v>
      </c>
      <c r="E55" s="37" t="s">
        <v>79</v>
      </c>
      <c r="F55" s="10" t="s">
        <v>21</v>
      </c>
      <c r="G55" s="10" t="s">
        <v>21</v>
      </c>
      <c r="H55" s="104" t="s">
        <v>111</v>
      </c>
      <c r="I55" s="110">
        <v>403200</v>
      </c>
      <c r="J55" s="87">
        <v>0</v>
      </c>
      <c r="K55" s="87"/>
      <c r="L55" s="87"/>
      <c r="M55" s="12">
        <f t="shared" si="11"/>
        <v>0</v>
      </c>
      <c r="N55" s="87"/>
      <c r="O55" s="87"/>
      <c r="P55" s="12">
        <f t="shared" si="12"/>
        <v>403200</v>
      </c>
      <c r="Q55" s="87" t="s">
        <v>22</v>
      </c>
      <c r="R55" s="13" t="s">
        <v>277</v>
      </c>
      <c r="S55" s="13" t="s">
        <v>49</v>
      </c>
      <c r="T55" s="37" t="s">
        <v>36</v>
      </c>
      <c r="U55" s="87">
        <v>362880</v>
      </c>
      <c r="V55" s="122">
        <v>42473</v>
      </c>
      <c r="W55" s="130" t="s">
        <v>278</v>
      </c>
      <c r="X55" s="88"/>
    </row>
    <row r="56" spans="1:24" ht="32.25" x14ac:dyDescent="0.25">
      <c r="A56" s="94">
        <v>42437</v>
      </c>
      <c r="B56" s="8" t="s">
        <v>78</v>
      </c>
      <c r="C56" s="112" t="s">
        <v>279</v>
      </c>
      <c r="D56" s="37">
        <v>24</v>
      </c>
      <c r="E56" s="103" t="s">
        <v>20</v>
      </c>
      <c r="F56" s="10" t="s">
        <v>21</v>
      </c>
      <c r="G56" s="10" t="s">
        <v>21</v>
      </c>
      <c r="H56" s="87" t="s">
        <v>88</v>
      </c>
      <c r="I56" s="110">
        <v>150000</v>
      </c>
      <c r="J56" s="106">
        <f>I56*14.5%</f>
        <v>21750</v>
      </c>
      <c r="K56" s="106"/>
      <c r="L56" s="106"/>
      <c r="M56" s="12">
        <f t="shared" si="11"/>
        <v>21750</v>
      </c>
      <c r="N56" s="106"/>
      <c r="O56" s="106"/>
      <c r="P56" s="12">
        <f t="shared" si="12"/>
        <v>171750</v>
      </c>
      <c r="Q56" s="87" t="s">
        <v>22</v>
      </c>
      <c r="R56" s="13" t="s">
        <v>280</v>
      </c>
      <c r="S56" s="103" t="s">
        <v>22</v>
      </c>
      <c r="T56" s="103" t="s">
        <v>24</v>
      </c>
      <c r="U56" s="104">
        <v>154575</v>
      </c>
      <c r="V56" s="97">
        <v>42466</v>
      </c>
      <c r="W56" s="124" t="s">
        <v>281</v>
      </c>
    </row>
    <row r="57" spans="1:24" x14ac:dyDescent="0.25">
      <c r="A57" s="94">
        <v>42438</v>
      </c>
      <c r="B57" t="s">
        <v>56</v>
      </c>
      <c r="C57" t="s">
        <v>198</v>
      </c>
      <c r="D57" s="37">
        <v>21</v>
      </c>
      <c r="E57" s="53" t="s">
        <v>54</v>
      </c>
      <c r="F57" s="53" t="s">
        <v>30</v>
      </c>
      <c r="G57" s="53" t="s">
        <v>30</v>
      </c>
      <c r="H57" s="53" t="s">
        <v>76</v>
      </c>
      <c r="I57" s="110">
        <v>1373888</v>
      </c>
      <c r="J57" s="106">
        <f>I57*14.5%</f>
        <v>199213.75999999998</v>
      </c>
      <c r="K57" s="106"/>
      <c r="L57" s="106"/>
      <c r="M57" s="12">
        <f t="shared" si="11"/>
        <v>199213.75999999998</v>
      </c>
      <c r="N57" s="106"/>
      <c r="O57" s="106"/>
      <c r="P57" s="12">
        <f t="shared" si="12"/>
        <v>1573101.76</v>
      </c>
      <c r="Q57" s="87" t="s">
        <v>22</v>
      </c>
      <c r="R57" s="13" t="s">
        <v>282</v>
      </c>
      <c r="S57" s="56" t="s">
        <v>22</v>
      </c>
      <c r="T57" s="56" t="s">
        <v>96</v>
      </c>
      <c r="U57" s="87">
        <v>1435712</v>
      </c>
      <c r="V57" s="97">
        <v>42460</v>
      </c>
      <c r="W57" s="44" t="s">
        <v>283</v>
      </c>
    </row>
    <row r="58" spans="1:24" ht="30" x14ac:dyDescent="0.25">
      <c r="A58" s="94">
        <v>42444</v>
      </c>
      <c r="B58" s="68" t="s">
        <v>284</v>
      </c>
      <c r="C58" s="113" t="s">
        <v>285</v>
      </c>
      <c r="D58" s="37">
        <v>29</v>
      </c>
      <c r="E58" s="53" t="s">
        <v>34</v>
      </c>
      <c r="F58" s="53" t="s">
        <v>21</v>
      </c>
      <c r="G58" s="53" t="s">
        <v>21</v>
      </c>
      <c r="H58" s="87" t="s">
        <v>88</v>
      </c>
      <c r="I58" s="110">
        <v>306000</v>
      </c>
      <c r="J58" s="106">
        <f>I58*14.5%</f>
        <v>44370</v>
      </c>
      <c r="K58" s="106"/>
      <c r="L58" s="106"/>
      <c r="M58" s="12">
        <f t="shared" si="11"/>
        <v>44370</v>
      </c>
      <c r="N58" s="106"/>
      <c r="O58" s="106"/>
      <c r="P58" s="12">
        <f t="shared" si="12"/>
        <v>350370</v>
      </c>
      <c r="Q58" s="87" t="s">
        <v>22</v>
      </c>
      <c r="R58" s="13" t="s">
        <v>286</v>
      </c>
      <c r="S58" s="87" t="s">
        <v>22</v>
      </c>
      <c r="T58" s="87" t="s">
        <v>24</v>
      </c>
      <c r="U58" s="87">
        <v>319770</v>
      </c>
      <c r="V58" s="127">
        <v>42479</v>
      </c>
      <c r="W58" s="98" t="s">
        <v>287</v>
      </c>
    </row>
    <row r="59" spans="1:24" ht="15.75" x14ac:dyDescent="0.25">
      <c r="A59" s="7">
        <v>42445</v>
      </c>
      <c r="B59" s="8" t="s">
        <v>75</v>
      </c>
      <c r="C59" s="45" t="s">
        <v>244</v>
      </c>
      <c r="D59" s="37"/>
      <c r="E59" s="12"/>
      <c r="F59" s="53" t="s">
        <v>30</v>
      </c>
      <c r="G59" s="53" t="s">
        <v>30</v>
      </c>
      <c r="H59" s="87"/>
      <c r="I59" s="110">
        <f>50*30000/2</f>
        <v>750000</v>
      </c>
      <c r="J59" s="12">
        <f>I59*14.5%</f>
        <v>108749.99999999999</v>
      </c>
      <c r="K59" s="12">
        <v>0</v>
      </c>
      <c r="L59" s="12">
        <v>0</v>
      </c>
      <c r="M59" s="12">
        <f>J59+K59+L59</f>
        <v>108749.99999999999</v>
      </c>
      <c r="N59" s="12">
        <v>0</v>
      </c>
      <c r="O59" s="12"/>
      <c r="P59" s="12">
        <f>I59+M59</f>
        <v>858750</v>
      </c>
      <c r="Q59" s="10" t="s">
        <v>22</v>
      </c>
      <c r="R59" s="13" t="s">
        <v>288</v>
      </c>
      <c r="S59" s="37" t="s">
        <v>22</v>
      </c>
      <c r="T59" s="37" t="s">
        <v>57</v>
      </c>
      <c r="U59" s="87">
        <v>783750</v>
      </c>
      <c r="V59" s="115">
        <v>42473</v>
      </c>
      <c r="W59" s="129" t="s">
        <v>289</v>
      </c>
    </row>
    <row r="60" spans="1:24" ht="30" x14ac:dyDescent="0.25">
      <c r="A60" s="7">
        <v>42453</v>
      </c>
      <c r="B60" s="8" t="s">
        <v>290</v>
      </c>
      <c r="C60" s="45" t="s">
        <v>291</v>
      </c>
      <c r="D60" s="37">
        <v>8</v>
      </c>
      <c r="E60" s="12"/>
      <c r="F60" s="37" t="s">
        <v>21</v>
      </c>
      <c r="G60" s="53" t="s">
        <v>21</v>
      </c>
      <c r="H60" s="87" t="s">
        <v>292</v>
      </c>
      <c r="I60" s="116">
        <v>5441</v>
      </c>
      <c r="J60" s="12"/>
      <c r="K60" s="12"/>
      <c r="L60" s="12"/>
      <c r="M60" s="12"/>
      <c r="N60" s="12"/>
      <c r="O60" s="12"/>
      <c r="P60" s="117">
        <f>+I60</f>
        <v>5441</v>
      </c>
      <c r="Q60" s="10" t="s">
        <v>22</v>
      </c>
      <c r="R60" s="13" t="s">
        <v>293</v>
      </c>
      <c r="S60" s="37" t="s">
        <v>22</v>
      </c>
      <c r="T60" s="37" t="s">
        <v>294</v>
      </c>
      <c r="U60">
        <v>359825.4</v>
      </c>
      <c r="V60" s="115">
        <v>42530</v>
      </c>
      <c r="W60" s="87" t="s">
        <v>295</v>
      </c>
    </row>
    <row r="61" spans="1:24" ht="30" x14ac:dyDescent="0.25">
      <c r="A61" s="7">
        <v>42453</v>
      </c>
      <c r="B61" s="8" t="s">
        <v>260</v>
      </c>
      <c r="C61" s="45" t="s">
        <v>296</v>
      </c>
      <c r="D61" s="37"/>
      <c r="E61" s="12" t="s">
        <v>77</v>
      </c>
      <c r="F61" s="37" t="s">
        <v>21</v>
      </c>
      <c r="G61" s="53" t="s">
        <v>21</v>
      </c>
      <c r="H61" s="87"/>
      <c r="I61" s="110"/>
      <c r="J61" s="12"/>
      <c r="K61" s="12"/>
      <c r="L61" s="12"/>
      <c r="M61" s="12">
        <f t="shared" ref="M61:M67" si="13">J61+K61+L61</f>
        <v>0</v>
      </c>
      <c r="N61" s="12">
        <v>32313</v>
      </c>
      <c r="O61" s="12"/>
      <c r="P61" s="12">
        <f t="shared" ref="P61:P67" si="14">+N61+M61+I61</f>
        <v>32313</v>
      </c>
      <c r="Q61" s="10" t="s">
        <v>22</v>
      </c>
      <c r="R61" s="13" t="s">
        <v>297</v>
      </c>
      <c r="S61" s="37" t="s">
        <v>22</v>
      </c>
      <c r="T61" s="37" t="s">
        <v>24</v>
      </c>
      <c r="U61" s="87">
        <v>29082</v>
      </c>
      <c r="V61" s="115">
        <v>42534</v>
      </c>
      <c r="W61" s="98" t="s">
        <v>298</v>
      </c>
    </row>
    <row r="62" spans="1:24" ht="30" x14ac:dyDescent="0.25">
      <c r="A62" s="7">
        <v>42455</v>
      </c>
      <c r="B62" s="8" t="s">
        <v>247</v>
      </c>
      <c r="C62" s="45" t="s">
        <v>299</v>
      </c>
      <c r="D62" s="37"/>
      <c r="E62" s="12" t="s">
        <v>34</v>
      </c>
      <c r="F62" s="37" t="s">
        <v>21</v>
      </c>
      <c r="G62" s="53" t="s">
        <v>21</v>
      </c>
      <c r="H62" s="87"/>
      <c r="I62" s="110"/>
      <c r="J62" s="12"/>
      <c r="K62" s="12"/>
      <c r="L62" s="12"/>
      <c r="M62" s="12">
        <f t="shared" si="13"/>
        <v>0</v>
      </c>
      <c r="N62" s="12">
        <v>14880</v>
      </c>
      <c r="O62" s="12"/>
      <c r="P62" s="12">
        <f t="shared" si="14"/>
        <v>14880</v>
      </c>
      <c r="Q62" s="10" t="s">
        <v>22</v>
      </c>
      <c r="R62" s="13" t="s">
        <v>300</v>
      </c>
      <c r="S62" s="37" t="s">
        <v>22</v>
      </c>
      <c r="T62" s="87" t="s">
        <v>24</v>
      </c>
      <c r="U62" s="87">
        <v>13413.65</v>
      </c>
      <c r="V62" s="115">
        <v>42528</v>
      </c>
      <c r="W62" s="98" t="s">
        <v>301</v>
      </c>
    </row>
    <row r="63" spans="1:24" ht="30" x14ac:dyDescent="0.25">
      <c r="A63" s="7">
        <v>42457</v>
      </c>
      <c r="B63" s="8" t="s">
        <v>252</v>
      </c>
      <c r="C63" s="45" t="s">
        <v>302</v>
      </c>
      <c r="D63" s="37">
        <v>25</v>
      </c>
      <c r="E63" s="12"/>
      <c r="F63" s="37" t="s">
        <v>21</v>
      </c>
      <c r="G63" s="53" t="s">
        <v>21</v>
      </c>
      <c r="H63" s="87" t="s">
        <v>88</v>
      </c>
      <c r="I63" s="110">
        <v>800000</v>
      </c>
      <c r="J63" s="12">
        <v>0</v>
      </c>
      <c r="K63" s="12">
        <v>0</v>
      </c>
      <c r="L63" s="12">
        <v>0</v>
      </c>
      <c r="M63" s="12">
        <f t="shared" si="13"/>
        <v>0</v>
      </c>
      <c r="N63" s="12">
        <v>0</v>
      </c>
      <c r="O63" s="12"/>
      <c r="P63" s="12">
        <f t="shared" si="14"/>
        <v>800000</v>
      </c>
      <c r="Q63" s="10" t="s">
        <v>22</v>
      </c>
      <c r="R63" s="13" t="s">
        <v>303</v>
      </c>
      <c r="S63" s="37" t="s">
        <v>22</v>
      </c>
      <c r="T63" s="37" t="s">
        <v>36</v>
      </c>
      <c r="U63" s="87">
        <v>720000</v>
      </c>
      <c r="V63" s="115">
        <v>42487</v>
      </c>
      <c r="W63" s="130" t="s">
        <v>304</v>
      </c>
    </row>
    <row r="64" spans="1:24" x14ac:dyDescent="0.25">
      <c r="A64" s="7">
        <v>42457</v>
      </c>
      <c r="B64" s="8" t="s">
        <v>80</v>
      </c>
      <c r="C64" s="45" t="s">
        <v>305</v>
      </c>
      <c r="D64" s="37">
        <v>20</v>
      </c>
      <c r="E64" s="12"/>
      <c r="F64" s="37" t="s">
        <v>21</v>
      </c>
      <c r="G64" s="53" t="s">
        <v>21</v>
      </c>
      <c r="H64" s="87" t="s">
        <v>76</v>
      </c>
      <c r="I64" s="110">
        <v>600000</v>
      </c>
      <c r="J64" s="12">
        <f>I64*14.5%</f>
        <v>87000</v>
      </c>
      <c r="K64" s="12">
        <v>0</v>
      </c>
      <c r="L64" s="12">
        <v>0</v>
      </c>
      <c r="M64" s="12">
        <f t="shared" si="13"/>
        <v>87000</v>
      </c>
      <c r="N64" s="12"/>
      <c r="O64" s="12"/>
      <c r="P64" s="12">
        <f t="shared" si="14"/>
        <v>687000</v>
      </c>
      <c r="Q64" s="10" t="s">
        <v>22</v>
      </c>
      <c r="R64" s="13" t="s">
        <v>306</v>
      </c>
      <c r="S64" s="37" t="s">
        <v>22</v>
      </c>
      <c r="T64" s="37" t="s">
        <v>24</v>
      </c>
      <c r="U64" s="87" t="s">
        <v>307</v>
      </c>
      <c r="V64" s="115" t="s">
        <v>308</v>
      </c>
      <c r="W64" s="87" t="s">
        <v>309</v>
      </c>
    </row>
    <row r="65" spans="1:25" ht="39" x14ac:dyDescent="0.25">
      <c r="A65" s="7">
        <v>42459</v>
      </c>
      <c r="B65" s="8" t="s">
        <v>252</v>
      </c>
      <c r="C65" s="45" t="s">
        <v>310</v>
      </c>
      <c r="D65" s="37">
        <v>50</v>
      </c>
      <c r="E65" s="12" t="s">
        <v>311</v>
      </c>
      <c r="F65" s="114" t="s">
        <v>21</v>
      </c>
      <c r="G65" s="114" t="s">
        <v>21</v>
      </c>
      <c r="H65" s="87" t="s">
        <v>312</v>
      </c>
      <c r="I65" s="110">
        <f>748800*97.5%</f>
        <v>730080</v>
      </c>
      <c r="J65" s="12">
        <v>0</v>
      </c>
      <c r="K65" s="12"/>
      <c r="L65" s="12"/>
      <c r="M65" s="12">
        <f t="shared" si="13"/>
        <v>0</v>
      </c>
      <c r="N65" s="12"/>
      <c r="O65" s="12"/>
      <c r="P65" s="12">
        <f t="shared" si="14"/>
        <v>730080</v>
      </c>
      <c r="Q65" s="10" t="s">
        <v>22</v>
      </c>
      <c r="R65" s="13" t="s">
        <v>313</v>
      </c>
      <c r="S65" s="131" t="s">
        <v>22</v>
      </c>
      <c r="T65" s="131" t="s">
        <v>36</v>
      </c>
      <c r="U65" s="136">
        <v>741222</v>
      </c>
      <c r="V65" s="137">
        <v>42600</v>
      </c>
      <c r="W65" s="138" t="s">
        <v>74</v>
      </c>
      <c r="Y65">
        <v>93500</v>
      </c>
    </row>
    <row r="66" spans="1:25" ht="30" x14ac:dyDescent="0.25">
      <c r="A66" s="7">
        <v>42459</v>
      </c>
      <c r="B66" s="8" t="s">
        <v>252</v>
      </c>
      <c r="C66" s="39" t="s">
        <v>314</v>
      </c>
      <c r="D66" s="37"/>
      <c r="E66" s="12"/>
      <c r="F66" s="114" t="s">
        <v>21</v>
      </c>
      <c r="G66" s="114" t="s">
        <v>21</v>
      </c>
      <c r="H66" s="87" t="s">
        <v>312</v>
      </c>
      <c r="I66" s="110"/>
      <c r="J66" s="12">
        <v>0</v>
      </c>
      <c r="K66" s="12"/>
      <c r="L66" s="12"/>
      <c r="M66" s="12">
        <f t="shared" si="13"/>
        <v>0</v>
      </c>
      <c r="N66" s="118">
        <v>53460</v>
      </c>
      <c r="O66" s="12"/>
      <c r="P66" s="12">
        <f t="shared" si="14"/>
        <v>53460</v>
      </c>
      <c r="Q66" s="10" t="s">
        <v>22</v>
      </c>
      <c r="R66" s="13" t="s">
        <v>315</v>
      </c>
      <c r="S66" s="37" t="s">
        <v>22</v>
      </c>
      <c r="T66" s="37" t="s">
        <v>24</v>
      </c>
      <c r="U66" s="191">
        <v>122208</v>
      </c>
      <c r="V66" s="193">
        <v>42524</v>
      </c>
      <c r="W66" s="195" t="s">
        <v>316</v>
      </c>
    </row>
    <row r="67" spans="1:25" ht="30" x14ac:dyDescent="0.25">
      <c r="A67" s="7">
        <v>42459</v>
      </c>
      <c r="B67" s="8" t="s">
        <v>252</v>
      </c>
      <c r="C67" s="39" t="s">
        <v>317</v>
      </c>
      <c r="D67" s="37"/>
      <c r="E67" s="12"/>
      <c r="F67" s="114" t="s">
        <v>21</v>
      </c>
      <c r="G67" s="114" t="s">
        <v>21</v>
      </c>
      <c r="H67" s="87" t="s">
        <v>312</v>
      </c>
      <c r="I67" s="110"/>
      <c r="J67" s="12">
        <v>0</v>
      </c>
      <c r="K67" s="12"/>
      <c r="L67" s="12"/>
      <c r="M67" s="12">
        <f t="shared" si="13"/>
        <v>0</v>
      </c>
      <c r="N67" s="12">
        <v>68748</v>
      </c>
      <c r="O67" s="12"/>
      <c r="P67" s="12">
        <f t="shared" si="14"/>
        <v>68748</v>
      </c>
      <c r="Q67" s="10" t="s">
        <v>22</v>
      </c>
      <c r="R67" s="13" t="s">
        <v>318</v>
      </c>
      <c r="S67" s="37" t="s">
        <v>22</v>
      </c>
      <c r="T67" s="37" t="s">
        <v>24</v>
      </c>
      <c r="U67" s="192"/>
      <c r="V67" s="194"/>
      <c r="W67" s="196"/>
    </row>
    <row r="68" spans="1:25" ht="30" x14ac:dyDescent="0.25">
      <c r="A68" s="7">
        <v>42460</v>
      </c>
      <c r="B68" s="8" t="s">
        <v>78</v>
      </c>
      <c r="C68" s="39" t="s">
        <v>319</v>
      </c>
      <c r="D68" s="37"/>
      <c r="E68" s="12" t="s">
        <v>20</v>
      </c>
      <c r="F68" s="114" t="s">
        <v>21</v>
      </c>
      <c r="G68" s="114" t="s">
        <v>21</v>
      </c>
      <c r="H68" s="87"/>
      <c r="I68" s="110">
        <v>150000</v>
      </c>
      <c r="J68" s="12">
        <f>I68*14.5%</f>
        <v>21750</v>
      </c>
      <c r="K68" s="12"/>
      <c r="L68" s="12"/>
      <c r="M68" s="12">
        <f t="shared" ref="M68:M69" si="15">+L68+K68+J68</f>
        <v>21750</v>
      </c>
      <c r="N68" s="12"/>
      <c r="O68" s="12"/>
      <c r="P68" s="12">
        <f t="shared" ref="P68:P69" si="16">+I68+M68</f>
        <v>171750</v>
      </c>
      <c r="Q68" s="10" t="s">
        <v>22</v>
      </c>
      <c r="R68" s="13" t="s">
        <v>320</v>
      </c>
      <c r="S68" s="103" t="s">
        <v>22</v>
      </c>
      <c r="T68" s="103" t="s">
        <v>24</v>
      </c>
      <c r="U68" s="104">
        <v>154575</v>
      </c>
      <c r="V68" s="115">
        <v>42511</v>
      </c>
      <c r="W68" s="98" t="s">
        <v>321</v>
      </c>
      <c r="X68" s="92">
        <f>+P68*0.9</f>
        <v>154575</v>
      </c>
    </row>
    <row r="69" spans="1:25" s="132" customFormat="1" x14ac:dyDescent="0.25">
      <c r="A69" s="139">
        <v>42460</v>
      </c>
      <c r="B69" s="140" t="s">
        <v>78</v>
      </c>
      <c r="C69" s="141" t="s">
        <v>322</v>
      </c>
      <c r="D69" s="135"/>
      <c r="E69" s="118" t="s">
        <v>20</v>
      </c>
      <c r="F69" s="133" t="s">
        <v>21</v>
      </c>
      <c r="G69" s="133" t="s">
        <v>21</v>
      </c>
      <c r="H69" s="134"/>
      <c r="I69" s="142">
        <v>150000</v>
      </c>
      <c r="J69" s="118">
        <f>I69*14.5%</f>
        <v>21750</v>
      </c>
      <c r="K69" s="118"/>
      <c r="L69" s="118"/>
      <c r="M69" s="118">
        <f t="shared" si="15"/>
        <v>21750</v>
      </c>
      <c r="N69" s="118"/>
      <c r="O69" s="118" t="s">
        <v>323</v>
      </c>
      <c r="P69" s="118">
        <f t="shared" si="16"/>
        <v>171750</v>
      </c>
      <c r="Q69" s="143" t="s">
        <v>22</v>
      </c>
      <c r="R69" s="143" t="s">
        <v>324</v>
      </c>
      <c r="S69" s="118" t="s">
        <v>323</v>
      </c>
      <c r="T69" s="118" t="s">
        <v>323</v>
      </c>
      <c r="U69" s="118" t="s">
        <v>323</v>
      </c>
      <c r="V69" s="118" t="s">
        <v>323</v>
      </c>
      <c r="W69" s="118" t="s">
        <v>323</v>
      </c>
    </row>
    <row r="71" spans="1:25" x14ac:dyDescent="0.25">
      <c r="I71" s="128"/>
    </row>
    <row r="73" spans="1:25" x14ac:dyDescent="0.25">
      <c r="I73" s="120"/>
    </row>
    <row r="74" spans="1:25" x14ac:dyDescent="0.25">
      <c r="I74" s="128"/>
    </row>
    <row r="76" spans="1:25" x14ac:dyDescent="0.25">
      <c r="I76" s="121">
        <f>+I65/2*0.25</f>
        <v>91260</v>
      </c>
    </row>
  </sheetData>
  <autoFilter ref="A1:AE69" xr:uid="{00000000-0009-0000-0000-000002000000}"/>
  <mergeCells count="11">
    <mergeCell ref="U66:U67"/>
    <mergeCell ref="V66:V67"/>
    <mergeCell ref="W66:W67"/>
    <mergeCell ref="W49:W50"/>
    <mergeCell ref="S49:S50"/>
    <mergeCell ref="T49:T50"/>
    <mergeCell ref="T36:T37"/>
    <mergeCell ref="U36:U37"/>
    <mergeCell ref="V36:V37"/>
    <mergeCell ref="U49:U50"/>
    <mergeCell ref="V49:V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</vt:lpstr>
      <vt:lpstr>Sheet3</vt:lpstr>
      <vt:lpstr>Sheet2</vt:lpstr>
      <vt:lpstr>Sheet1</vt:lpstr>
      <vt:lpstr>College &amp; Corp Batches-FY15-16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Swathi</dc:creator>
  <cp:keywords/>
  <dc:description/>
  <cp:lastModifiedBy>Kamal</cp:lastModifiedBy>
  <cp:revision/>
  <cp:lastPrinted>2018-02-23T05:29:43Z</cp:lastPrinted>
  <dcterms:created xsi:type="dcterms:W3CDTF">2016-04-20T18:01:12Z</dcterms:created>
  <dcterms:modified xsi:type="dcterms:W3CDTF">2018-08-25T05:21:29Z</dcterms:modified>
  <cp:category/>
  <cp:contentStatus/>
</cp:coreProperties>
</file>