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aseblr-my.sharepoint.com/personal/232pgf019_base_ac_in/Documents/Semester IV/Fin. Modelling/"/>
    </mc:Choice>
  </mc:AlternateContent>
  <xr:revisionPtr revIDLastSave="1316" documentId="13_ncr:1_{970BAD73-2746-42C1-8BDE-3E0C69B58294}" xr6:coauthVersionLast="47" xr6:coauthVersionMax="47" xr10:uidLastSave="{1CBAC3A4-C7A8-4D18-BE9A-05275D423ECA}"/>
  <bookViews>
    <workbookView xWindow="-108" yWindow="-108" windowWidth="23256" windowHeight="12456" xr2:uid="{00000000-000D-0000-FFFF-FFFF00000000}"/>
  </bookViews>
  <sheets>
    <sheet name="Revenue projection" sheetId="7" r:id="rId1"/>
    <sheet name="Profit &amp; Loss" sheetId="1" r:id="rId2"/>
    <sheet name="Quarters" sheetId="3" r:id="rId3"/>
    <sheet name="Balance Sheet" sheetId="2" r:id="rId4"/>
    <sheet name="Cash Flow" sheetId="4" r:id="rId5"/>
    <sheet name="Customization" sheetId="5" r:id="rId6"/>
    <sheet name="Data Sheet" sheetId="6" r:id="rId7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74" i="7" l="1"/>
  <c r="AE74" i="7"/>
  <c r="AF74" i="7"/>
  <c r="AG74" i="7"/>
  <c r="AD75" i="7"/>
  <c r="AE75" i="7"/>
  <c r="AF75" i="7"/>
  <c r="AG75" i="7"/>
  <c r="AC75" i="7"/>
  <c r="AC74" i="7"/>
  <c r="AD76" i="7"/>
  <c r="AE76" i="7"/>
  <c r="AF76" i="7"/>
  <c r="AG76" i="7"/>
  <c r="AD77" i="7"/>
  <c r="AE77" i="7"/>
  <c r="AF77" i="7"/>
  <c r="AG77" i="7"/>
  <c r="AC77" i="7"/>
  <c r="AC76" i="7"/>
  <c r="AD65" i="7"/>
  <c r="AE65" i="7"/>
  <c r="AF65" i="7"/>
  <c r="AG65" i="7"/>
  <c r="AD66" i="7"/>
  <c r="AE66" i="7"/>
  <c r="AF66" i="7"/>
  <c r="AG66" i="7"/>
  <c r="AC66" i="7"/>
  <c r="AC65" i="7"/>
  <c r="AS12" i="1"/>
  <c r="AT12" i="1" s="1"/>
  <c r="AU12" i="1" s="1"/>
  <c r="AR12" i="1"/>
  <c r="AQ12" i="1"/>
  <c r="AP12" i="1"/>
  <c r="AS10" i="1"/>
  <c r="AT10" i="1" s="1"/>
  <c r="AU10" i="1" s="1"/>
  <c r="AR10" i="1"/>
  <c r="AQ10" i="1"/>
  <c r="AP10" i="1"/>
  <c r="AD68" i="7"/>
  <c r="AE68" i="7"/>
  <c r="AF68" i="7"/>
  <c r="AG68" i="7"/>
  <c r="AC68" i="7"/>
  <c r="AD67" i="7"/>
  <c r="AE67" i="7"/>
  <c r="AF67" i="7"/>
  <c r="AG67" i="7"/>
  <c r="AC67" i="7"/>
  <c r="AD58" i="7"/>
  <c r="AE58" i="7"/>
  <c r="AF58" i="7"/>
  <c r="AG58" i="7"/>
  <c r="AD59" i="7"/>
  <c r="AE59" i="7"/>
  <c r="AF59" i="7"/>
  <c r="AG59" i="7"/>
  <c r="AC59" i="7"/>
  <c r="V82" i="7"/>
  <c r="W82" i="7"/>
  <c r="X82" i="7"/>
  <c r="Y82" i="7"/>
  <c r="U82" i="7"/>
  <c r="O82" i="7"/>
  <c r="AC58" i="7" s="1"/>
  <c r="AD56" i="7"/>
  <c r="AE56" i="7"/>
  <c r="AF56" i="7"/>
  <c r="AG56" i="7"/>
  <c r="AD57" i="7"/>
  <c r="AE57" i="7"/>
  <c r="AF57" i="7"/>
  <c r="AG57" i="7"/>
  <c r="AC57" i="7"/>
  <c r="AC56" i="7"/>
  <c r="AD27" i="7"/>
  <c r="AE27" i="7"/>
  <c r="AF27" i="7"/>
  <c r="AG27" i="7"/>
  <c r="AD28" i="7"/>
  <c r="AE28" i="7"/>
  <c r="AF28" i="7"/>
  <c r="AG28" i="7"/>
  <c r="AC28" i="7"/>
  <c r="AC27" i="7"/>
  <c r="AP7" i="1"/>
  <c r="AD26" i="7"/>
  <c r="AE26" i="7"/>
  <c r="AF26" i="7"/>
  <c r="AG26" i="7"/>
  <c r="AC26" i="7"/>
  <c r="AD48" i="7"/>
  <c r="AE48" i="7"/>
  <c r="AF48" i="7"/>
  <c r="AG48" i="7"/>
  <c r="AD49" i="7"/>
  <c r="AE49" i="7"/>
  <c r="AF49" i="7"/>
  <c r="AG49" i="7"/>
  <c r="AC49" i="7"/>
  <c r="AC48" i="7"/>
  <c r="AD47" i="7"/>
  <c r="AE47" i="7"/>
  <c r="AF47" i="7"/>
  <c r="AG47" i="7"/>
  <c r="AC47" i="7"/>
  <c r="AD46" i="7"/>
  <c r="AE46" i="7"/>
  <c r="AF46" i="7"/>
  <c r="AG46" i="7"/>
  <c r="AC46" i="7"/>
  <c r="AD20" i="7"/>
  <c r="AE20" i="7"/>
  <c r="AF20" i="7"/>
  <c r="AG20" i="7"/>
  <c r="AC20" i="7"/>
  <c r="AD19" i="7"/>
  <c r="AE19" i="7"/>
  <c r="AF19" i="7"/>
  <c r="AG19" i="7"/>
  <c r="AC19" i="7"/>
  <c r="AD18" i="7"/>
  <c r="AE18" i="7"/>
  <c r="AF18" i="7"/>
  <c r="AG18" i="7"/>
  <c r="AD17" i="7"/>
  <c r="AE17" i="7"/>
  <c r="AF17" i="7"/>
  <c r="AG17" i="7"/>
  <c r="AC18" i="7"/>
  <c r="AC17" i="7"/>
  <c r="AG35" i="7"/>
  <c r="AD35" i="7"/>
  <c r="AE35" i="7"/>
  <c r="AF35" i="7"/>
  <c r="AC35" i="7"/>
  <c r="AD34" i="7"/>
  <c r="AE34" i="7"/>
  <c r="AF34" i="7"/>
  <c r="AG34" i="7"/>
  <c r="AC34" i="7"/>
  <c r="AD33" i="7"/>
  <c r="AE33" i="7"/>
  <c r="AF33" i="7"/>
  <c r="AG33" i="7"/>
  <c r="AC33" i="7"/>
  <c r="D81" i="7"/>
  <c r="E81" i="7"/>
  <c r="F81" i="7"/>
  <c r="G81" i="7"/>
  <c r="H81" i="7"/>
  <c r="I81" i="7"/>
  <c r="J81" i="7"/>
  <c r="K81" i="7"/>
  <c r="L81" i="7"/>
  <c r="E77" i="7"/>
  <c r="F77" i="7"/>
  <c r="G77" i="7"/>
  <c r="H77" i="7"/>
  <c r="I77" i="7"/>
  <c r="J77" i="7"/>
  <c r="K77" i="7"/>
  <c r="L77" i="7"/>
  <c r="E73" i="7"/>
  <c r="F73" i="7"/>
  <c r="G73" i="7"/>
  <c r="H73" i="7"/>
  <c r="I73" i="7"/>
  <c r="J73" i="7"/>
  <c r="K73" i="7"/>
  <c r="L73" i="7"/>
  <c r="E69" i="7"/>
  <c r="E82" i="7" s="1"/>
  <c r="F69" i="7"/>
  <c r="F82" i="7" s="1"/>
  <c r="G69" i="7"/>
  <c r="G82" i="7" s="1"/>
  <c r="H69" i="7"/>
  <c r="H82" i="7" s="1"/>
  <c r="I69" i="7"/>
  <c r="I82" i="7" s="1"/>
  <c r="J69" i="7"/>
  <c r="J82" i="7" s="1"/>
  <c r="K69" i="7"/>
  <c r="K82" i="7" s="1"/>
  <c r="L69" i="7"/>
  <c r="M65" i="7"/>
  <c r="O65" i="7" s="1"/>
  <c r="P65" i="7" s="1"/>
  <c r="Q65" i="7" s="1"/>
  <c r="R65" i="7" s="1"/>
  <c r="S65" i="7" s="1"/>
  <c r="M60" i="7"/>
  <c r="O60" i="7" s="1"/>
  <c r="P60" i="7" s="1"/>
  <c r="Q60" i="7" s="1"/>
  <c r="R60" i="7" s="1"/>
  <c r="S60" i="7" s="1"/>
  <c r="O47" i="7"/>
  <c r="AW12" i="1" a="1"/>
  <c r="AW10" i="1" a="1"/>
  <c r="U49" i="7" a="1"/>
  <c r="U54" i="7" a="1"/>
  <c r="U53" i="7" a="1"/>
  <c r="U51" i="7" a="1"/>
  <c r="U48" i="7" a="1"/>
  <c r="U50" i="7" a="1"/>
  <c r="U52" i="7" a="1"/>
  <c r="U47" i="7" a="1"/>
  <c r="U44" i="7" a="1"/>
  <c r="U45" i="7" a="1"/>
  <c r="U14" i="7" a="1"/>
  <c r="U65" i="7" a="1"/>
  <c r="U60" i="7" a="1"/>
  <c r="U56" i="7" a="1"/>
  <c r="U46" i="7" a="1"/>
  <c r="AW12" i="1" l="1"/>
  <c r="AW10" i="1"/>
  <c r="U65" i="7"/>
  <c r="L82" i="7"/>
  <c r="V57" i="7"/>
  <c r="AD36" i="7" s="1"/>
  <c r="W57" i="7"/>
  <c r="AE36" i="7" s="1"/>
  <c r="X57" i="7"/>
  <c r="AF36" i="7" s="1"/>
  <c r="Y57" i="7"/>
  <c r="AG36" i="7" s="1"/>
  <c r="U60" i="7"/>
  <c r="U52" i="7"/>
  <c r="U51" i="7"/>
  <c r="U54" i="7"/>
  <c r="U46" i="7"/>
  <c r="U56" i="7"/>
  <c r="U48" i="7"/>
  <c r="U47" i="7"/>
  <c r="U50" i="7"/>
  <c r="U53" i="7"/>
  <c r="U49" i="7"/>
  <c r="U45" i="7"/>
  <c r="U44" i="7"/>
  <c r="U14" i="7"/>
  <c r="U15" i="7" a="1"/>
  <c r="U57" i="7" l="1"/>
  <c r="AC36" i="7" s="1"/>
  <c r="U15" i="7"/>
  <c r="U17" i="7" a="1"/>
  <c r="U18" i="7" a="1"/>
  <c r="U16" i="7" a="1"/>
  <c r="V19" i="7" l="1"/>
  <c r="U16" i="7"/>
  <c r="W19" i="7"/>
  <c r="Y19" i="7"/>
  <c r="X19" i="7"/>
  <c r="U18" i="7"/>
  <c r="U17" i="7"/>
  <c r="M15" i="7"/>
  <c r="O15" i="7" s="1"/>
  <c r="P15" i="7" s="1"/>
  <c r="Q15" i="7" s="1"/>
  <c r="R15" i="7" s="1"/>
  <c r="S15" i="7" s="1"/>
  <c r="M16" i="7"/>
  <c r="O16" i="7" s="1"/>
  <c r="P16" i="7" s="1"/>
  <c r="Q16" i="7" s="1"/>
  <c r="R16" i="7" s="1"/>
  <c r="S16" i="7" s="1"/>
  <c r="M17" i="7"/>
  <c r="O17" i="7" s="1"/>
  <c r="P17" i="7" s="1"/>
  <c r="Q17" i="7" s="1"/>
  <c r="R17" i="7" s="1"/>
  <c r="S17" i="7" s="1"/>
  <c r="M18" i="7"/>
  <c r="O18" i="7" s="1"/>
  <c r="P18" i="7" s="1"/>
  <c r="Q18" i="7" s="1"/>
  <c r="R18" i="7" s="1"/>
  <c r="S18" i="7" s="1"/>
  <c r="M14" i="7"/>
  <c r="O14" i="7" s="1"/>
  <c r="D19" i="7"/>
  <c r="E19" i="7"/>
  <c r="F19" i="7"/>
  <c r="G19" i="7"/>
  <c r="H19" i="7"/>
  <c r="I19" i="7"/>
  <c r="J19" i="7"/>
  <c r="K19" i="7"/>
  <c r="L19" i="7"/>
  <c r="C19" i="7"/>
  <c r="U6" i="7" a="1"/>
  <c r="U19" i="7" l="1"/>
  <c r="P14" i="7"/>
  <c r="O19" i="7"/>
  <c r="U6" i="7"/>
  <c r="Q14" i="7" l="1"/>
  <c r="P19" i="7"/>
  <c r="M56" i="7"/>
  <c r="O56" i="7" s="1"/>
  <c r="M54" i="7"/>
  <c r="O54" i="7" s="1"/>
  <c r="M53" i="7"/>
  <c r="O53" i="7" s="1"/>
  <c r="M52" i="7"/>
  <c r="O52" i="7" s="1"/>
  <c r="M51" i="7"/>
  <c r="O51" i="7" s="1"/>
  <c r="M50" i="7"/>
  <c r="O50" i="7" s="1"/>
  <c r="M49" i="7"/>
  <c r="O49" i="7" s="1"/>
  <c r="M48" i="7"/>
  <c r="O48" i="7" s="1"/>
  <c r="M46" i="7"/>
  <c r="O46" i="7" s="1"/>
  <c r="M45" i="7"/>
  <c r="O45" i="7" s="1"/>
  <c r="M44" i="7"/>
  <c r="L57" i="7"/>
  <c r="K57" i="7"/>
  <c r="J57" i="7"/>
  <c r="I57" i="7"/>
  <c r="H57" i="7"/>
  <c r="G57" i="7"/>
  <c r="F57" i="7"/>
  <c r="E57" i="7"/>
  <c r="D57" i="7"/>
  <c r="C57" i="7"/>
  <c r="L84" i="7"/>
  <c r="K84" i="7"/>
  <c r="J84" i="7"/>
  <c r="I84" i="7"/>
  <c r="H84" i="7"/>
  <c r="G84" i="7"/>
  <c r="F84" i="7"/>
  <c r="E84" i="7"/>
  <c r="C79" i="7"/>
  <c r="C81" i="7" s="1"/>
  <c r="M81" i="7" s="1"/>
  <c r="O81" i="7" s="1"/>
  <c r="P81" i="7" s="1"/>
  <c r="Q81" i="7" s="1"/>
  <c r="R81" i="7" s="1"/>
  <c r="S81" i="7" s="1"/>
  <c r="D75" i="7"/>
  <c r="D77" i="7" s="1"/>
  <c r="C75" i="7"/>
  <c r="C77" i="7" s="1"/>
  <c r="M77" i="7" s="1"/>
  <c r="O77" i="7" s="1"/>
  <c r="P77" i="7" s="1"/>
  <c r="Q77" i="7" s="1"/>
  <c r="R77" i="7" s="1"/>
  <c r="S77" i="7" s="1"/>
  <c r="D71" i="7"/>
  <c r="D73" i="7" s="1"/>
  <c r="C71" i="7"/>
  <c r="C73" i="7" s="1"/>
  <c r="M73" i="7" s="1"/>
  <c r="O73" i="7" s="1"/>
  <c r="P73" i="7" s="1"/>
  <c r="Q73" i="7" s="1"/>
  <c r="R73" i="7" s="1"/>
  <c r="S73" i="7" s="1"/>
  <c r="D67" i="7"/>
  <c r="D69" i="7" s="1"/>
  <c r="C67" i="7"/>
  <c r="C69" i="7" s="1"/>
  <c r="R5" i="1"/>
  <c r="M27" i="7"/>
  <c r="O27" i="7" s="1"/>
  <c r="P27" i="7" s="1"/>
  <c r="Q27" i="7" s="1"/>
  <c r="R27" i="7" s="1"/>
  <c r="S27" i="7" s="1"/>
  <c r="M28" i="7"/>
  <c r="O28" i="7" s="1"/>
  <c r="P28" i="7" s="1"/>
  <c r="Q28" i="7" s="1"/>
  <c r="R28" i="7" s="1"/>
  <c r="S28" i="7" s="1"/>
  <c r="M30" i="7"/>
  <c r="O30" i="7" s="1"/>
  <c r="P30" i="7" s="1"/>
  <c r="Q30" i="7" s="1"/>
  <c r="R30" i="7" s="1"/>
  <c r="S30" i="7" s="1"/>
  <c r="M31" i="7"/>
  <c r="O31" i="7" s="1"/>
  <c r="P31" i="7" s="1"/>
  <c r="Q31" i="7" s="1"/>
  <c r="R31" i="7" s="1"/>
  <c r="S31" i="7" s="1"/>
  <c r="M33" i="7"/>
  <c r="O33" i="7" s="1"/>
  <c r="P33" i="7" s="1"/>
  <c r="Q33" i="7" s="1"/>
  <c r="R33" i="7" s="1"/>
  <c r="S33" i="7" s="1"/>
  <c r="M34" i="7"/>
  <c r="O34" i="7" s="1"/>
  <c r="P34" i="7" s="1"/>
  <c r="Q34" i="7" s="1"/>
  <c r="R34" i="7" s="1"/>
  <c r="S34" i="7" s="1"/>
  <c r="M35" i="7"/>
  <c r="O35" i="7" s="1"/>
  <c r="P35" i="7" s="1"/>
  <c r="Q35" i="7" s="1"/>
  <c r="R35" i="7" s="1"/>
  <c r="S35" i="7" s="1"/>
  <c r="M36" i="7"/>
  <c r="O36" i="7" s="1"/>
  <c r="P36" i="7" s="1"/>
  <c r="Q36" i="7" s="1"/>
  <c r="R36" i="7" s="1"/>
  <c r="S36" i="7" s="1"/>
  <c r="M37" i="7"/>
  <c r="O37" i="7" s="1"/>
  <c r="P37" i="7" s="1"/>
  <c r="Q37" i="7" s="1"/>
  <c r="R37" i="7" s="1"/>
  <c r="S37" i="7" s="1"/>
  <c r="M38" i="7"/>
  <c r="O38" i="7" s="1"/>
  <c r="P38" i="7" s="1"/>
  <c r="Q38" i="7" s="1"/>
  <c r="R38" i="7" s="1"/>
  <c r="S38" i="7" s="1"/>
  <c r="M39" i="7"/>
  <c r="O39" i="7" s="1"/>
  <c r="P39" i="7" s="1"/>
  <c r="Q39" i="7" s="1"/>
  <c r="R39" i="7" s="1"/>
  <c r="S39" i="7" s="1"/>
  <c r="M24" i="7"/>
  <c r="O24" i="7" s="1"/>
  <c r="P24" i="7" s="1"/>
  <c r="Q24" i="7" s="1"/>
  <c r="R24" i="7" s="1"/>
  <c r="S24" i="7" s="1"/>
  <c r="M25" i="7"/>
  <c r="O25" i="7" s="1"/>
  <c r="P25" i="7" s="1"/>
  <c r="Q25" i="7" s="1"/>
  <c r="R25" i="7" s="1"/>
  <c r="S25" i="7" s="1"/>
  <c r="M23" i="7"/>
  <c r="O23" i="7" s="1"/>
  <c r="M7" i="7"/>
  <c r="M8" i="7"/>
  <c r="M9" i="7"/>
  <c r="M6" i="7"/>
  <c r="D40" i="7"/>
  <c r="E40" i="7"/>
  <c r="F40" i="7"/>
  <c r="G40" i="7"/>
  <c r="H40" i="7"/>
  <c r="I40" i="7"/>
  <c r="J40" i="7"/>
  <c r="K40" i="7"/>
  <c r="L40" i="7"/>
  <c r="C40" i="7"/>
  <c r="U27" i="7" a="1"/>
  <c r="U28" i="7" a="1"/>
  <c r="U25" i="7" a="1"/>
  <c r="U30" i="7" a="1"/>
  <c r="U39" i="7" a="1"/>
  <c r="U8" i="7" a="1"/>
  <c r="U35" i="7" a="1"/>
  <c r="U37" i="7" a="1"/>
  <c r="U33" i="7" a="1"/>
  <c r="U7" i="7" a="1"/>
  <c r="U38" i="7" a="1"/>
  <c r="U36" i="7" a="1"/>
  <c r="U34" i="7" a="1"/>
  <c r="U24" i="7" a="1"/>
  <c r="U23" i="7" a="1"/>
  <c r="U31" i="7" a="1"/>
  <c r="U9" i="7" a="1"/>
  <c r="P46" i="7" l="1"/>
  <c r="Q46" i="7" s="1"/>
  <c r="R46" i="7" s="1"/>
  <c r="S46" i="7" s="1"/>
  <c r="P56" i="7"/>
  <c r="Q56" i="7" s="1"/>
  <c r="R56" i="7" s="1"/>
  <c r="S56" i="7" s="1"/>
  <c r="P48" i="7"/>
  <c r="Q48" i="7" s="1"/>
  <c r="R48" i="7" s="1"/>
  <c r="S48" i="7" s="1"/>
  <c r="P49" i="7"/>
  <c r="Q49" i="7" s="1"/>
  <c r="R49" i="7" s="1"/>
  <c r="S49" i="7" s="1"/>
  <c r="R14" i="7"/>
  <c r="Q19" i="7"/>
  <c r="P50" i="7"/>
  <c r="Q50" i="7" s="1"/>
  <c r="R50" i="7" s="1"/>
  <c r="S50" i="7" s="1"/>
  <c r="C82" i="7"/>
  <c r="M69" i="7"/>
  <c r="O69" i="7" s="1"/>
  <c r="D82" i="7"/>
  <c r="D84" i="7" s="1"/>
  <c r="P51" i="7"/>
  <c r="Q51" i="7" s="1"/>
  <c r="R51" i="7" s="1"/>
  <c r="S51" i="7" s="1"/>
  <c r="P45" i="7"/>
  <c r="Q45" i="7" s="1"/>
  <c r="R45" i="7" s="1"/>
  <c r="S45" i="7" s="1"/>
  <c r="P52" i="7"/>
  <c r="Q52" i="7" s="1"/>
  <c r="R52" i="7" s="1"/>
  <c r="S52" i="7" s="1"/>
  <c r="O44" i="7"/>
  <c r="P47" i="7"/>
  <c r="Q47" i="7" s="1"/>
  <c r="R47" i="7" s="1"/>
  <c r="S47" i="7" s="1"/>
  <c r="P53" i="7"/>
  <c r="Q53" i="7" s="1"/>
  <c r="R53" i="7" s="1"/>
  <c r="S53" i="7" s="1"/>
  <c r="P54" i="7"/>
  <c r="Q54" i="7" s="1"/>
  <c r="R54" i="7" s="1"/>
  <c r="S54" i="7" s="1"/>
  <c r="Y40" i="7"/>
  <c r="V40" i="7"/>
  <c r="W40" i="7"/>
  <c r="X40" i="7"/>
  <c r="O40" i="7"/>
  <c r="P23" i="7"/>
  <c r="U39" i="7"/>
  <c r="U27" i="7"/>
  <c r="U38" i="7"/>
  <c r="U34" i="7"/>
  <c r="U37" i="7"/>
  <c r="U33" i="7"/>
  <c r="U25" i="7"/>
  <c r="U30" i="7"/>
  <c r="U35" i="7"/>
  <c r="U31" i="7"/>
  <c r="U36" i="7"/>
  <c r="U28" i="7"/>
  <c r="U24" i="7"/>
  <c r="U23" i="7"/>
  <c r="Y10" i="7"/>
  <c r="V10" i="7"/>
  <c r="W10" i="7"/>
  <c r="X10" i="7"/>
  <c r="U9" i="7"/>
  <c r="U8" i="7"/>
  <c r="U7" i="7"/>
  <c r="O7" i="7"/>
  <c r="P7" i="7" s="1"/>
  <c r="Q7" i="7" s="1"/>
  <c r="R7" i="7" s="1"/>
  <c r="S7" i="7" s="1"/>
  <c r="O8" i="7"/>
  <c r="P8" i="7" s="1"/>
  <c r="Q8" i="7" s="1"/>
  <c r="R8" i="7" s="1"/>
  <c r="S8" i="7" s="1"/>
  <c r="O9" i="7"/>
  <c r="P9" i="7" s="1"/>
  <c r="Q9" i="7" s="1"/>
  <c r="R9" i="7" s="1"/>
  <c r="S9" i="7" s="1"/>
  <c r="O6" i="7"/>
  <c r="D10" i="7"/>
  <c r="D59" i="7" s="1"/>
  <c r="D62" i="7" s="1"/>
  <c r="E10" i="7"/>
  <c r="E59" i="7" s="1"/>
  <c r="E62" i="7" s="1"/>
  <c r="F10" i="7"/>
  <c r="F59" i="7" s="1"/>
  <c r="F62" i="7" s="1"/>
  <c r="G10" i="7"/>
  <c r="G59" i="7" s="1"/>
  <c r="G62" i="7" s="1"/>
  <c r="H10" i="7"/>
  <c r="H59" i="7" s="1"/>
  <c r="H62" i="7" s="1"/>
  <c r="I10" i="7"/>
  <c r="I59" i="7" s="1"/>
  <c r="I62" i="7" s="1"/>
  <c r="J10" i="7"/>
  <c r="J59" i="7" s="1"/>
  <c r="J62" i="7" s="1"/>
  <c r="K10" i="7"/>
  <c r="K59" i="7" s="1"/>
  <c r="K62" i="7" s="1"/>
  <c r="L10" i="7"/>
  <c r="L59" i="7" s="1"/>
  <c r="L62" i="7" s="1"/>
  <c r="C10" i="7"/>
  <c r="C59" i="7" s="1"/>
  <c r="C62" i="7" s="1"/>
  <c r="AR12" i="2"/>
  <c r="AS12" i="2"/>
  <c r="AT12" i="2"/>
  <c r="AR13" i="2"/>
  <c r="AS13" i="2"/>
  <c r="AT13" i="2"/>
  <c r="AQ13" i="2"/>
  <c r="AQ12" i="2"/>
  <c r="AR11" i="2"/>
  <c r="AS11" i="2"/>
  <c r="AT11" i="2"/>
  <c r="AQ11" i="2"/>
  <c r="AR10" i="2"/>
  <c r="AS10" i="2"/>
  <c r="AT10" i="2"/>
  <c r="AQ10" i="2"/>
  <c r="AR7" i="2"/>
  <c r="AS7" i="2" s="1"/>
  <c r="AT7" i="2" s="1"/>
  <c r="AQ7" i="2"/>
  <c r="AR6" i="2"/>
  <c r="AS6" i="2" s="1"/>
  <c r="AT6" i="2" s="1"/>
  <c r="AQ6" i="2"/>
  <c r="AR5" i="2"/>
  <c r="AS5" i="2" s="1"/>
  <c r="AT5" i="2" s="1"/>
  <c r="AQ5" i="2"/>
  <c r="AP10" i="2"/>
  <c r="AP11" i="2"/>
  <c r="AP12" i="2"/>
  <c r="AP13" i="2"/>
  <c r="AW7" i="1" a="1"/>
  <c r="AW11" i="1" a="1"/>
  <c r="AW8" i="1" a="1"/>
  <c r="AW9" i="1" a="1"/>
  <c r="AW5" i="1" a="1"/>
  <c r="AW4" i="1" a="1"/>
  <c r="AE9" i="7" l="1"/>
  <c r="W59" i="7"/>
  <c r="W62" i="7" s="1"/>
  <c r="J85" i="7"/>
  <c r="J86" i="7" s="1"/>
  <c r="AD9" i="7"/>
  <c r="V59" i="7"/>
  <c r="V62" i="7" s="1"/>
  <c r="M82" i="7"/>
  <c r="C84" i="7"/>
  <c r="C85" i="7" s="1"/>
  <c r="C86" i="7" s="1"/>
  <c r="I85" i="7"/>
  <c r="I86" i="7" s="1"/>
  <c r="Y59" i="7"/>
  <c r="Y62" i="7" s="1"/>
  <c r="AG9" i="7"/>
  <c r="S14" i="7"/>
  <c r="S19" i="7" s="1"/>
  <c r="R19" i="7"/>
  <c r="K85" i="7"/>
  <c r="K86" i="7" s="1"/>
  <c r="H85" i="7"/>
  <c r="H86" i="7" s="1"/>
  <c r="G85" i="7"/>
  <c r="G86" i="7"/>
  <c r="F85" i="7"/>
  <c r="F86" i="7" s="1"/>
  <c r="E85" i="7"/>
  <c r="E86" i="7" s="1"/>
  <c r="M62" i="7"/>
  <c r="L85" i="7"/>
  <c r="L86" i="7" s="1"/>
  <c r="D85" i="7"/>
  <c r="D86" i="7" s="1"/>
  <c r="AF9" i="7"/>
  <c r="X59" i="7"/>
  <c r="X62" i="7" s="1"/>
  <c r="P69" i="7"/>
  <c r="Q69" i="7" s="1"/>
  <c r="R69" i="7" s="1"/>
  <c r="S69" i="7" s="1"/>
  <c r="P44" i="7"/>
  <c r="O57" i="7"/>
  <c r="P40" i="7"/>
  <c r="Q23" i="7"/>
  <c r="U40" i="7"/>
  <c r="U10" i="7"/>
  <c r="O10" i="7"/>
  <c r="P6" i="7"/>
  <c r="AW9" i="1"/>
  <c r="AW8" i="1"/>
  <c r="AW11" i="1"/>
  <c r="AW7" i="1"/>
  <c r="AW5" i="1"/>
  <c r="AW4" i="1"/>
  <c r="AP5" i="2"/>
  <c r="AP6" i="2"/>
  <c r="AP7" i="2"/>
  <c r="AR4" i="2"/>
  <c r="AS4" i="2"/>
  <c r="AT4" i="2"/>
  <c r="AQ4" i="2"/>
  <c r="AP4" i="2"/>
  <c r="AO10" i="2"/>
  <c r="AO11" i="2"/>
  <c r="AO12" i="2"/>
  <c r="AO13" i="2"/>
  <c r="AO4" i="2"/>
  <c r="AG4" i="1"/>
  <c r="Q4" i="1"/>
  <c r="P82" i="7" l="1"/>
  <c r="Q82" i="7" s="1"/>
  <c r="R82" i="7" s="1"/>
  <c r="S82" i="7" s="1"/>
  <c r="AC8" i="7"/>
  <c r="O59" i="7"/>
  <c r="O62" i="7" s="1"/>
  <c r="O86" i="7" s="1"/>
  <c r="U59" i="7"/>
  <c r="U62" i="7" s="1"/>
  <c r="AC9" i="7"/>
  <c r="Q44" i="7"/>
  <c r="P57" i="7"/>
  <c r="Q40" i="7"/>
  <c r="R23" i="7"/>
  <c r="Q6" i="7"/>
  <c r="P10" i="7"/>
  <c r="AS11" i="1"/>
  <c r="AT11" i="1"/>
  <c r="AU11" i="1"/>
  <c r="AR11" i="1"/>
  <c r="AQ11" i="1"/>
  <c r="AS9" i="1"/>
  <c r="AT9" i="1"/>
  <c r="AU9" i="1"/>
  <c r="AR9" i="1"/>
  <c r="AQ9" i="1"/>
  <c r="AS8" i="1"/>
  <c r="AT8" i="1" s="1"/>
  <c r="AU8" i="1" s="1"/>
  <c r="AR8" i="1"/>
  <c r="AQ8" i="1"/>
  <c r="AQ7" i="1"/>
  <c r="AC25" i="7" s="1"/>
  <c r="AS5" i="1"/>
  <c r="AT5" i="1"/>
  <c r="AU5" i="1"/>
  <c r="AR5" i="1"/>
  <c r="AQ5" i="1"/>
  <c r="AS4" i="1"/>
  <c r="AT4" i="1" s="1"/>
  <c r="AU4" i="1" s="1"/>
  <c r="AR4" i="1"/>
  <c r="AQ4" i="1"/>
  <c r="AP5" i="1"/>
  <c r="AP8" i="1"/>
  <c r="AP9" i="1"/>
  <c r="AP11" i="1"/>
  <c r="AO5" i="2"/>
  <c r="AO6" i="2"/>
  <c r="AO7" i="2"/>
  <c r="AG10" i="2"/>
  <c r="AH10" i="2"/>
  <c r="AI10" i="2"/>
  <c r="AJ10" i="2"/>
  <c r="AK10" i="2"/>
  <c r="AL10" i="2"/>
  <c r="AM10" i="2"/>
  <c r="AN10" i="2"/>
  <c r="AG11" i="2"/>
  <c r="AH11" i="2"/>
  <c r="AI11" i="2"/>
  <c r="AJ11" i="2"/>
  <c r="AK11" i="2"/>
  <c r="AL11" i="2"/>
  <c r="AM11" i="2"/>
  <c r="AN11" i="2"/>
  <c r="AG12" i="2"/>
  <c r="AH12" i="2"/>
  <c r="AI12" i="2"/>
  <c r="AJ12" i="2"/>
  <c r="AK12" i="2"/>
  <c r="AL12" i="2"/>
  <c r="AM12" i="2"/>
  <c r="AN12" i="2"/>
  <c r="AG13" i="2"/>
  <c r="AH13" i="2"/>
  <c r="AI13" i="2"/>
  <c r="AJ13" i="2"/>
  <c r="AK13" i="2"/>
  <c r="AL13" i="2"/>
  <c r="AM13" i="2"/>
  <c r="AN13" i="2"/>
  <c r="AG14" i="2"/>
  <c r="AH14" i="2"/>
  <c r="AI14" i="2"/>
  <c r="AJ14" i="2"/>
  <c r="AK14" i="2"/>
  <c r="AL14" i="2"/>
  <c r="AM14" i="2"/>
  <c r="AN14" i="2"/>
  <c r="AF14" i="2"/>
  <c r="AF13" i="2"/>
  <c r="AF12" i="2"/>
  <c r="AF11" i="2"/>
  <c r="AF10" i="2"/>
  <c r="AG7" i="2"/>
  <c r="AH7" i="2"/>
  <c r="AI7" i="2"/>
  <c r="AJ7" i="2"/>
  <c r="AK7" i="2"/>
  <c r="AL7" i="2"/>
  <c r="AM7" i="2"/>
  <c r="AN7" i="2"/>
  <c r="AG8" i="2"/>
  <c r="AH8" i="2"/>
  <c r="AI8" i="2"/>
  <c r="AJ8" i="2"/>
  <c r="AK8" i="2"/>
  <c r="AL8" i="2"/>
  <c r="AM8" i="2"/>
  <c r="AN8" i="2"/>
  <c r="AF8" i="2"/>
  <c r="AF7" i="2"/>
  <c r="AG6" i="2"/>
  <c r="AH6" i="2"/>
  <c r="AI6" i="2"/>
  <c r="AJ6" i="2"/>
  <c r="AK6" i="2"/>
  <c r="AL6" i="2"/>
  <c r="AM6" i="2"/>
  <c r="AN6" i="2"/>
  <c r="AF6" i="2"/>
  <c r="AF5" i="2"/>
  <c r="AG5" i="2"/>
  <c r="AH5" i="2"/>
  <c r="AI5" i="2"/>
  <c r="AJ5" i="2"/>
  <c r="AK5" i="2"/>
  <c r="AL5" i="2"/>
  <c r="AM5" i="2"/>
  <c r="AN5" i="2"/>
  <c r="AF4" i="2"/>
  <c r="AG4" i="2"/>
  <c r="AH4" i="2"/>
  <c r="AI4" i="2"/>
  <c r="AJ4" i="2"/>
  <c r="AK4" i="2"/>
  <c r="AL4" i="2"/>
  <c r="AM4" i="2"/>
  <c r="AN4" i="2"/>
  <c r="AE10" i="2"/>
  <c r="AE5" i="2"/>
  <c r="AE6" i="2"/>
  <c r="AE7" i="2"/>
  <c r="AE8" i="2"/>
  <c r="AE11" i="2"/>
  <c r="AE12" i="2"/>
  <c r="AE13" i="2"/>
  <c r="AE14" i="2"/>
  <c r="AE4" i="2"/>
  <c r="AP4" i="1"/>
  <c r="AF12" i="1"/>
  <c r="AG12" i="1"/>
  <c r="AH12" i="1"/>
  <c r="AI12" i="1"/>
  <c r="AJ12" i="1"/>
  <c r="AK12" i="1"/>
  <c r="AL12" i="1"/>
  <c r="AM12" i="1"/>
  <c r="AN12" i="1"/>
  <c r="AO12" i="1"/>
  <c r="AG6" i="1"/>
  <c r="AH5" i="1"/>
  <c r="AI5" i="1"/>
  <c r="AJ5" i="1"/>
  <c r="AK5" i="1"/>
  <c r="AL5" i="1"/>
  <c r="AM5" i="1"/>
  <c r="AN5" i="1"/>
  <c r="AO5" i="1"/>
  <c r="AH6" i="1"/>
  <c r="AI6" i="1"/>
  <c r="AJ6" i="1"/>
  <c r="AK6" i="1"/>
  <c r="AL6" i="1"/>
  <c r="AM6" i="1"/>
  <c r="AN6" i="1"/>
  <c r="AO6" i="1"/>
  <c r="AH7" i="1"/>
  <c r="AI7" i="1"/>
  <c r="AJ7" i="1"/>
  <c r="AK7" i="1"/>
  <c r="AL7" i="1"/>
  <c r="AM7" i="1"/>
  <c r="AN7" i="1"/>
  <c r="AO7" i="1"/>
  <c r="AH8" i="1"/>
  <c r="AI8" i="1"/>
  <c r="AJ8" i="1"/>
  <c r="AK8" i="1"/>
  <c r="AL8" i="1"/>
  <c r="AM8" i="1"/>
  <c r="AN8" i="1"/>
  <c r="AO8" i="1"/>
  <c r="AH9" i="1"/>
  <c r="AI9" i="1"/>
  <c r="AJ9" i="1"/>
  <c r="AK9" i="1"/>
  <c r="AL9" i="1"/>
  <c r="AM9" i="1"/>
  <c r="AN9" i="1"/>
  <c r="AO9" i="1"/>
  <c r="AH10" i="1"/>
  <c r="AI10" i="1"/>
  <c r="AJ10" i="1"/>
  <c r="AK10" i="1"/>
  <c r="AL10" i="1"/>
  <c r="AM10" i="1"/>
  <c r="AN10" i="1"/>
  <c r="AO10" i="1"/>
  <c r="AH11" i="1"/>
  <c r="AI11" i="1"/>
  <c r="AJ11" i="1"/>
  <c r="AK11" i="1"/>
  <c r="AL11" i="1"/>
  <c r="AM11" i="1"/>
  <c r="AN11" i="1"/>
  <c r="AO11" i="1"/>
  <c r="AO4" i="1"/>
  <c r="AN4" i="1"/>
  <c r="AM4" i="1"/>
  <c r="AL4" i="1"/>
  <c r="AK4" i="1"/>
  <c r="AJ4" i="1"/>
  <c r="AI4" i="1"/>
  <c r="AH4" i="1"/>
  <c r="AG11" i="1"/>
  <c r="AG5" i="1"/>
  <c r="AG7" i="1"/>
  <c r="AG8" i="1"/>
  <c r="AG9" i="1"/>
  <c r="AG10" i="1"/>
  <c r="AF11" i="1"/>
  <c r="AF6" i="1"/>
  <c r="AF7" i="1"/>
  <c r="AF8" i="1"/>
  <c r="AF9" i="1"/>
  <c r="AF10" i="1"/>
  <c r="AF5" i="1"/>
  <c r="AF4" i="1"/>
  <c r="AB7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Z5" i="2"/>
  <c r="AA5" i="2"/>
  <c r="Z6" i="2"/>
  <c r="AA6" i="2"/>
  <c r="Z7" i="2"/>
  <c r="AA7" i="2"/>
  <c r="AA4" i="2"/>
  <c r="Z4" i="2"/>
  <c r="Y5" i="2"/>
  <c r="Y6" i="2"/>
  <c r="Y7" i="2"/>
  <c r="Y4" i="2"/>
  <c r="X5" i="2"/>
  <c r="X6" i="2"/>
  <c r="X7" i="2"/>
  <c r="X4" i="2"/>
  <c r="N11" i="2"/>
  <c r="O11" i="2"/>
  <c r="P11" i="2"/>
  <c r="Q11" i="2"/>
  <c r="R11" i="2"/>
  <c r="S11" i="2"/>
  <c r="T11" i="2"/>
  <c r="U11" i="2"/>
  <c r="V11" i="2"/>
  <c r="W11" i="2"/>
  <c r="N12" i="2"/>
  <c r="O12" i="2"/>
  <c r="P12" i="2"/>
  <c r="Q12" i="2"/>
  <c r="R12" i="2"/>
  <c r="S12" i="2"/>
  <c r="T12" i="2"/>
  <c r="U12" i="2"/>
  <c r="V12" i="2"/>
  <c r="W12" i="2"/>
  <c r="N13" i="2"/>
  <c r="O13" i="2"/>
  <c r="P13" i="2"/>
  <c r="Q13" i="2"/>
  <c r="R13" i="2"/>
  <c r="S13" i="2"/>
  <c r="T13" i="2"/>
  <c r="U13" i="2"/>
  <c r="V13" i="2"/>
  <c r="W13" i="2"/>
  <c r="O10" i="2"/>
  <c r="P10" i="2"/>
  <c r="Q10" i="2"/>
  <c r="R10" i="2"/>
  <c r="S10" i="2"/>
  <c r="T10" i="2"/>
  <c r="U10" i="2"/>
  <c r="V10" i="2"/>
  <c r="W10" i="2"/>
  <c r="N10" i="2"/>
  <c r="O4" i="2"/>
  <c r="P4" i="2"/>
  <c r="Q4" i="2"/>
  <c r="R4" i="2"/>
  <c r="S4" i="2"/>
  <c r="T4" i="2"/>
  <c r="U4" i="2"/>
  <c r="V4" i="2"/>
  <c r="W4" i="2"/>
  <c r="O5" i="2"/>
  <c r="P5" i="2"/>
  <c r="Q5" i="2"/>
  <c r="R5" i="2"/>
  <c r="S5" i="2"/>
  <c r="T5" i="2"/>
  <c r="U5" i="2"/>
  <c r="V5" i="2"/>
  <c r="W5" i="2"/>
  <c r="O6" i="2"/>
  <c r="P6" i="2"/>
  <c r="Q6" i="2"/>
  <c r="R6" i="2"/>
  <c r="S6" i="2"/>
  <c r="T6" i="2"/>
  <c r="U6" i="2"/>
  <c r="V6" i="2"/>
  <c r="W6" i="2"/>
  <c r="O7" i="2"/>
  <c r="P7" i="2"/>
  <c r="Q7" i="2"/>
  <c r="R7" i="2"/>
  <c r="S7" i="2"/>
  <c r="T7" i="2"/>
  <c r="U7" i="2"/>
  <c r="V7" i="2"/>
  <c r="W7" i="2"/>
  <c r="N5" i="2"/>
  <c r="N6" i="2"/>
  <c r="N7" i="2"/>
  <c r="N4" i="2"/>
  <c r="O14" i="2"/>
  <c r="P14" i="2"/>
  <c r="Q14" i="2"/>
  <c r="R14" i="2"/>
  <c r="S14" i="2"/>
  <c r="T14" i="2"/>
  <c r="U14" i="2"/>
  <c r="V14" i="2"/>
  <c r="W14" i="2"/>
  <c r="N14" i="2"/>
  <c r="O8" i="2"/>
  <c r="P8" i="2"/>
  <c r="Q8" i="2"/>
  <c r="R8" i="2"/>
  <c r="S8" i="2"/>
  <c r="T8" i="2"/>
  <c r="U8" i="2"/>
  <c r="V8" i="2"/>
  <c r="W8" i="2"/>
  <c r="N8" i="2"/>
  <c r="AB6" i="1"/>
  <c r="AC6" i="1"/>
  <c r="AD6" i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D5" i="1"/>
  <c r="AC5" i="1"/>
  <c r="AB5" i="1"/>
  <c r="AA6" i="1"/>
  <c r="AA7" i="1"/>
  <c r="AA8" i="1"/>
  <c r="AA9" i="1"/>
  <c r="AA10" i="1"/>
  <c r="AA11" i="1"/>
  <c r="AA5" i="1"/>
  <c r="Z11" i="1"/>
  <c r="R6" i="1"/>
  <c r="S6" i="1"/>
  <c r="T6" i="1"/>
  <c r="U6" i="1"/>
  <c r="V6" i="1"/>
  <c r="W6" i="1"/>
  <c r="X6" i="1"/>
  <c r="Y6" i="1"/>
  <c r="Z6" i="1"/>
  <c r="R7" i="1"/>
  <c r="S7" i="1"/>
  <c r="T7" i="1"/>
  <c r="U7" i="1"/>
  <c r="V7" i="1"/>
  <c r="W7" i="1"/>
  <c r="X7" i="1"/>
  <c r="Y7" i="1"/>
  <c r="Z7" i="1"/>
  <c r="R8" i="1"/>
  <c r="S8" i="1"/>
  <c r="T8" i="1"/>
  <c r="U8" i="1"/>
  <c r="V8" i="1"/>
  <c r="W8" i="1"/>
  <c r="X8" i="1"/>
  <c r="Y8" i="1"/>
  <c r="Z8" i="1"/>
  <c r="R9" i="1"/>
  <c r="S9" i="1"/>
  <c r="T9" i="1"/>
  <c r="U9" i="1"/>
  <c r="V9" i="1"/>
  <c r="W9" i="1"/>
  <c r="X9" i="1"/>
  <c r="Y9" i="1"/>
  <c r="Z9" i="1"/>
  <c r="R10" i="1"/>
  <c r="S10" i="1"/>
  <c r="T10" i="1"/>
  <c r="U10" i="1"/>
  <c r="V10" i="1"/>
  <c r="W10" i="1"/>
  <c r="X10" i="1"/>
  <c r="Y10" i="1"/>
  <c r="Z10" i="1"/>
  <c r="R11" i="1"/>
  <c r="S11" i="1"/>
  <c r="T11" i="1"/>
  <c r="U11" i="1"/>
  <c r="V11" i="1"/>
  <c r="W11" i="1"/>
  <c r="X11" i="1"/>
  <c r="Y11" i="1"/>
  <c r="Q6" i="1"/>
  <c r="Q9" i="1"/>
  <c r="Q10" i="1"/>
  <c r="Q11" i="1"/>
  <c r="Q7" i="1"/>
  <c r="Q8" i="1"/>
  <c r="S5" i="1"/>
  <c r="T5" i="1"/>
  <c r="U5" i="1"/>
  <c r="V5" i="1"/>
  <c r="W5" i="1"/>
  <c r="X5" i="1"/>
  <c r="Y5" i="1"/>
  <c r="Z5" i="1"/>
  <c r="Q5" i="1"/>
  <c r="R4" i="1"/>
  <c r="S4" i="1"/>
  <c r="T4" i="1"/>
  <c r="U4" i="1"/>
  <c r="V4" i="1"/>
  <c r="W4" i="1"/>
  <c r="X4" i="1"/>
  <c r="Y4" i="1"/>
  <c r="Z4" i="1"/>
  <c r="C6" i="3"/>
  <c r="D6" i="3"/>
  <c r="E6" i="3"/>
  <c r="F6" i="3"/>
  <c r="G6" i="3"/>
  <c r="H6" i="3"/>
  <c r="L6" i="1" s="1"/>
  <c r="I6" i="3"/>
  <c r="J6" i="3"/>
  <c r="K6" i="3"/>
  <c r="B6" i="3"/>
  <c r="C5" i="1"/>
  <c r="D5" i="1"/>
  <c r="E5" i="1"/>
  <c r="F5" i="1"/>
  <c r="G5" i="1"/>
  <c r="G6" i="1" s="1"/>
  <c r="G19" i="1" s="1"/>
  <c r="H5" i="1"/>
  <c r="I5" i="1"/>
  <c r="J5" i="1"/>
  <c r="K5" i="1"/>
  <c r="B5" i="1"/>
  <c r="K13" i="1"/>
  <c r="C13" i="1"/>
  <c r="C14" i="1" s="1"/>
  <c r="F13" i="1"/>
  <c r="G13" i="1"/>
  <c r="G14" i="1" s="1"/>
  <c r="B6" i="6"/>
  <c r="C17" i="2"/>
  <c r="D17" i="2"/>
  <c r="E17" i="2"/>
  <c r="F17" i="2"/>
  <c r="G17" i="2"/>
  <c r="H17" i="2"/>
  <c r="I17" i="2"/>
  <c r="J17" i="2"/>
  <c r="K17" i="2"/>
  <c r="C18" i="2"/>
  <c r="D18" i="2"/>
  <c r="D21" i="2" s="1"/>
  <c r="E18" i="2"/>
  <c r="E21" i="2" s="1"/>
  <c r="F18" i="2"/>
  <c r="F21" i="2" s="1"/>
  <c r="G18" i="2"/>
  <c r="H18" i="2"/>
  <c r="I18" i="2"/>
  <c r="J18" i="2"/>
  <c r="K18" i="2"/>
  <c r="B17" i="2"/>
  <c r="C4" i="2"/>
  <c r="D4" i="2"/>
  <c r="E24" i="2" s="1"/>
  <c r="E4" i="2"/>
  <c r="E5" i="2"/>
  <c r="F4" i="2"/>
  <c r="G4" i="2"/>
  <c r="G23" i="2" s="1"/>
  <c r="H4" i="2"/>
  <c r="I4" i="2"/>
  <c r="I5" i="2"/>
  <c r="J4" i="2"/>
  <c r="J5" i="2"/>
  <c r="J23" i="2" s="1"/>
  <c r="K4" i="2"/>
  <c r="C5" i="2"/>
  <c r="D5" i="2"/>
  <c r="F5" i="2"/>
  <c r="F23" i="2" s="1"/>
  <c r="G5" i="2"/>
  <c r="H5" i="2"/>
  <c r="K5" i="2"/>
  <c r="C6" i="2"/>
  <c r="D6" i="2"/>
  <c r="E6" i="2"/>
  <c r="F6" i="2"/>
  <c r="G6" i="2"/>
  <c r="H6" i="2"/>
  <c r="I6" i="2"/>
  <c r="J6" i="2"/>
  <c r="K6" i="2"/>
  <c r="C7" i="2"/>
  <c r="C16" i="2" s="1"/>
  <c r="D7" i="2"/>
  <c r="D16" i="2" s="1"/>
  <c r="E7" i="2"/>
  <c r="F7" i="2"/>
  <c r="G7" i="2"/>
  <c r="G16" i="2" s="1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H16" i="2" s="1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F14" i="3" s="1"/>
  <c r="G4" i="3"/>
  <c r="H4" i="3"/>
  <c r="H14" i="3" s="1"/>
  <c r="I4" i="3"/>
  <c r="I14" i="3" s="1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L12" i="1" s="1"/>
  <c r="L13" i="1" s="1"/>
  <c r="L14" i="1" s="1"/>
  <c r="L25" i="1" s="1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6" i="1" s="1"/>
  <c r="D19" i="1" s="1"/>
  <c r="E4" i="1"/>
  <c r="E6" i="1" s="1"/>
  <c r="E19" i="1" s="1"/>
  <c r="F4" i="1"/>
  <c r="F20" i="2" s="1"/>
  <c r="G4" i="1"/>
  <c r="H4" i="1"/>
  <c r="I4" i="1"/>
  <c r="J4" i="1"/>
  <c r="J6" i="1" s="1"/>
  <c r="J19" i="1" s="1"/>
  <c r="K4" i="1"/>
  <c r="K20" i="2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E23" i="2" s="1"/>
  <c r="F12" i="1"/>
  <c r="G12" i="1"/>
  <c r="H12" i="1"/>
  <c r="H13" i="1" s="1"/>
  <c r="I12" i="1"/>
  <c r="J12" i="1"/>
  <c r="J13" i="1" s="1"/>
  <c r="J14" i="1" s="1"/>
  <c r="K12" i="1"/>
  <c r="C15" i="1"/>
  <c r="D15" i="1"/>
  <c r="E15" i="1"/>
  <c r="F15" i="1"/>
  <c r="F14" i="1" s="1"/>
  <c r="G15" i="1"/>
  <c r="H15" i="1"/>
  <c r="I15" i="1"/>
  <c r="I14" i="1" s="1"/>
  <c r="J15" i="1"/>
  <c r="K15" i="1"/>
  <c r="K14" i="1" s="1"/>
  <c r="B15" i="1"/>
  <c r="I13" i="1"/>
  <c r="B7" i="1"/>
  <c r="B4" i="1"/>
  <c r="B20" i="2" s="1"/>
  <c r="A1" i="1"/>
  <c r="A1" i="3" s="1"/>
  <c r="E1" i="6"/>
  <c r="H1" i="1" s="1"/>
  <c r="K23" i="2"/>
  <c r="C23" i="2"/>
  <c r="K16" i="2"/>
  <c r="D23" i="2"/>
  <c r="C6" i="1"/>
  <c r="C19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14" i="3"/>
  <c r="G14" i="3"/>
  <c r="G20" i="2"/>
  <c r="J20" i="2"/>
  <c r="C20" i="2"/>
  <c r="E20" i="2"/>
  <c r="A1" i="2"/>
  <c r="A1" i="4"/>
  <c r="AR7" i="1" l="1"/>
  <c r="AD8" i="7"/>
  <c r="P59" i="7"/>
  <c r="P62" i="7" s="1"/>
  <c r="P86" i="7" s="1"/>
  <c r="R44" i="7"/>
  <c r="Q57" i="7"/>
  <c r="R40" i="7"/>
  <c r="S23" i="7"/>
  <c r="S40" i="7" s="1"/>
  <c r="Q10" i="7"/>
  <c r="R6" i="7"/>
  <c r="N11" i="1"/>
  <c r="M11" i="1"/>
  <c r="L19" i="1"/>
  <c r="L24" i="1" s="1"/>
  <c r="H23" i="2"/>
  <c r="E14" i="1"/>
  <c r="J24" i="2"/>
  <c r="D24" i="2"/>
  <c r="D14" i="1"/>
  <c r="H25" i="1" s="1"/>
  <c r="N25" i="1" s="1"/>
  <c r="N14" i="1" s="1"/>
  <c r="I24" i="2"/>
  <c r="L4" i="1"/>
  <c r="L23" i="1" s="1"/>
  <c r="C24" i="2"/>
  <c r="H14" i="1"/>
  <c r="G24" i="2"/>
  <c r="L8" i="1"/>
  <c r="N8" i="1" s="1"/>
  <c r="D20" i="2"/>
  <c r="E1" i="3"/>
  <c r="B14" i="1"/>
  <c r="I16" i="2"/>
  <c r="K24" i="2"/>
  <c r="K25" i="1"/>
  <c r="M25" i="1" s="1"/>
  <c r="M14" i="1" s="1"/>
  <c r="H24" i="2"/>
  <c r="J23" i="1"/>
  <c r="K6" i="1"/>
  <c r="K19" i="1" s="1"/>
  <c r="K24" i="1" s="1"/>
  <c r="M24" i="1" s="1"/>
  <c r="B23" i="2"/>
  <c r="D13" i="1"/>
  <c r="E13" i="1" s="1"/>
  <c r="I23" i="1"/>
  <c r="B6" i="1"/>
  <c r="B19" i="1" s="1"/>
  <c r="H24" i="1" s="1"/>
  <c r="L9" i="1"/>
  <c r="N9" i="1" s="1"/>
  <c r="L7" i="1"/>
  <c r="E16" i="2"/>
  <c r="H23" i="1"/>
  <c r="N23" i="1" s="1"/>
  <c r="N4" i="1" s="1"/>
  <c r="I6" i="1"/>
  <c r="I19" i="1" s="1"/>
  <c r="E1" i="2"/>
  <c r="I23" i="2"/>
  <c r="F24" i="2"/>
  <c r="J25" i="1"/>
  <c r="M9" i="1"/>
  <c r="I25" i="1"/>
  <c r="I20" i="2"/>
  <c r="J24" i="1"/>
  <c r="H20" i="2"/>
  <c r="K23" i="1"/>
  <c r="M23" i="1" s="1"/>
  <c r="M4" i="1" s="1"/>
  <c r="H6" i="1"/>
  <c r="H19" i="1" s="1"/>
  <c r="F6" i="1"/>
  <c r="F19" i="1" s="1"/>
  <c r="I24" i="1" s="1"/>
  <c r="E1" i="4"/>
  <c r="AD25" i="7" l="1"/>
  <c r="AS7" i="1"/>
  <c r="AE8" i="7"/>
  <c r="Q59" i="7"/>
  <c r="Q62" i="7" s="1"/>
  <c r="Q86" i="7" s="1"/>
  <c r="R57" i="7"/>
  <c r="S44" i="7"/>
  <c r="S57" i="7" s="1"/>
  <c r="R10" i="7"/>
  <c r="S6" i="7"/>
  <c r="S10" i="7" s="1"/>
  <c r="N24" i="1"/>
  <c r="M8" i="1"/>
  <c r="N6" i="1"/>
  <c r="N10" i="1" s="1"/>
  <c r="N12" i="1" s="1"/>
  <c r="N13" i="1" s="1"/>
  <c r="N15" i="1" s="1"/>
  <c r="N5" i="1"/>
  <c r="M6" i="1"/>
  <c r="M10" i="1" s="1"/>
  <c r="M12" i="1" s="1"/>
  <c r="M13" i="1" s="1"/>
  <c r="M15" i="1" s="1"/>
  <c r="AE25" i="7" l="1"/>
  <c r="AT7" i="1"/>
  <c r="AG8" i="7"/>
  <c r="S59" i="7"/>
  <c r="S62" i="7" s="1"/>
  <c r="S86" i="7" s="1"/>
  <c r="AF8" i="7"/>
  <c r="R59" i="7"/>
  <c r="R62" i="7" s="1"/>
  <c r="R86" i="7" s="1"/>
  <c r="M5" i="1"/>
  <c r="AF25" i="7" l="1"/>
  <c r="AU7" i="1"/>
  <c r="AG25" i="7" s="1"/>
  <c r="U73" i="7" l="1" a="1"/>
  <c r="U77" i="7" a="1"/>
  <c r="U69" i="7" a="1"/>
  <c r="U81" i="7" a="1"/>
  <c r="X86" i="7" l="1"/>
  <c r="U69" i="7"/>
  <c r="U86" i="7" s="1"/>
  <c r="U73" i="7"/>
  <c r="U77" i="7"/>
  <c r="U81" i="7"/>
  <c r="W86" i="7"/>
  <c r="Y86" i="7"/>
  <c r="V8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<sst xmlns="http://schemas.openxmlformats.org/spreadsheetml/2006/main" count="326" uniqueCount="212">
  <si>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</si>
  <si>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</si>
  <si>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</si>
  <si>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</si>
  <si>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</si>
  <si>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</si>
  <si>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</si>
  <si>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</si>
  <si>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</si>
  <si>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</si>
  <si>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</si>
  <si>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</si>
  <si>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</si>
  <si>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</si>
  <si>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</si>
  <si>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</si>
  <si>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</si>
  <si>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</si>
  <si>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</si>
  <si>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</si>
  <si>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</si>
  <si>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</si>
  <si>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</si>
  <si>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</si>
  <si>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</si>
  <si>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</si>
  <si>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</si>
  <si>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</si>
  <si>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</si>
  <si>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</si>
  <si>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</si>
  <si>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</si>
  <si>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</si>
  <si>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</si>
  <si>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</si>
  <si>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</si>
  <si>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</si>
  <si>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</si>
  <si>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</si>
  <si>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</si>
  <si>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</si>
  <si>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</si>
  <si>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</si>
  <si>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</si>
  <si>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</si>
  <si>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</si>
  <si>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</si>
  <si>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</si>
  <si>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</si>
  <si>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</si>
  <si>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</si>
  <si>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</si>
  <si>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</si>
  <si>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</si>
  <si>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</si>
  <si>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</si>
  <si>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</si>
  <si>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</si>
  <si>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</si>
  <si>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</si>
  <si>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</si>
  <si>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</si>
  <si>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</si>
  <si>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UNILEVER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</si>
  <si>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</si>
  <si>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</si>
  <si>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</si>
  <si>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</si>
  <si>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</si>
  <si>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</si>
  <si>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</si>
  <si>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</si>
  <si>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</si>
  <si>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</si>
  <si>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</si>
  <si>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</si>
  <si>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</si>
  <si>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</si>
  <si>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</si>
  <si>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</si>
  <si>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</si>
  <si>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</si>
  <si>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</si>
  <si>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</si>
  <si>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</si>
  <si>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</si>
  <si>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</si>
  <si>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</si>
  <si>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</si>
  <si>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</si>
  <si>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</si>
  <si>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</si>
  <si>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</si>
  <si>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Minimum</t>
  </si>
  <si>
    <t>Maximum</t>
  </si>
  <si>
    <t>Median</t>
  </si>
  <si>
    <t>Mean</t>
  </si>
  <si>
    <t>Convert either total assets or liabilities into 100</t>
  </si>
  <si>
    <t>Trend analysis</t>
  </si>
  <si>
    <t>sales</t>
  </si>
  <si>
    <t>CAGR</t>
  </si>
  <si>
    <t>Sales projection</t>
  </si>
  <si>
    <t>Percentage of sales</t>
  </si>
  <si>
    <t>Trend change overtime</t>
  </si>
  <si>
    <t>projection</t>
  </si>
  <si>
    <t>Projection using forecast function</t>
  </si>
  <si>
    <t>Hindustan Unilever</t>
  </si>
  <si>
    <t>Revenue from operation from product segements</t>
  </si>
  <si>
    <t>Home care</t>
  </si>
  <si>
    <t>Beauty and personal care</t>
  </si>
  <si>
    <t>Food &amp; refreshments</t>
  </si>
  <si>
    <t>Others</t>
  </si>
  <si>
    <t>Products</t>
  </si>
  <si>
    <t>Cost of revenue</t>
  </si>
  <si>
    <t>Cost of material consumed</t>
  </si>
  <si>
    <t>Packaged goods</t>
  </si>
  <si>
    <t xml:space="preserve">     Raw material</t>
  </si>
  <si>
    <t>Purchase of stock in trade</t>
  </si>
  <si>
    <t>Opening Inventory</t>
  </si>
  <si>
    <t>Finished goods</t>
  </si>
  <si>
    <t>Work in progress</t>
  </si>
  <si>
    <t>Closing inventory</t>
  </si>
  <si>
    <t>Share based payments</t>
  </si>
  <si>
    <t>Salaries and wages</t>
  </si>
  <si>
    <t>Contribution to provident and other funds</t>
  </si>
  <si>
    <t>Defined benefit plan expense</t>
  </si>
  <si>
    <t>Share based payments to employees</t>
  </si>
  <si>
    <t>Staff welfare expenses</t>
  </si>
  <si>
    <t>Finance costs</t>
  </si>
  <si>
    <t>Depreciation and Amortization</t>
  </si>
  <si>
    <t>Exise</t>
  </si>
  <si>
    <t>Year</t>
  </si>
  <si>
    <t>Forecast_screener</t>
  </si>
  <si>
    <t>Fin_CAGR_SALES</t>
  </si>
  <si>
    <t>SALES_CAGR_SCR</t>
  </si>
  <si>
    <t>Fin_forecast_sales</t>
  </si>
  <si>
    <t>Other expenses</t>
  </si>
  <si>
    <t>Advertising and promotion</t>
  </si>
  <si>
    <t>Carriage and frieght</t>
  </si>
  <si>
    <t xml:space="preserve">Fees </t>
  </si>
  <si>
    <t>Processing charges</t>
  </si>
  <si>
    <t>Rent</t>
  </si>
  <si>
    <t>Power, fuel, light, water</t>
  </si>
  <si>
    <t>Travelling expenses</t>
  </si>
  <si>
    <t>Repairs</t>
  </si>
  <si>
    <t>CSR</t>
  </si>
  <si>
    <t>Miscellaneous exp</t>
  </si>
  <si>
    <t>Administrative expense</t>
  </si>
  <si>
    <t>Audit fees</t>
  </si>
  <si>
    <t>Royality</t>
  </si>
  <si>
    <t>Net exceptional items</t>
  </si>
  <si>
    <t>R&amp;D</t>
  </si>
  <si>
    <t>TAX</t>
  </si>
  <si>
    <t>Current tax</t>
  </si>
  <si>
    <t>Deffered tax</t>
  </si>
  <si>
    <t>Q2</t>
  </si>
  <si>
    <t>Q3</t>
  </si>
  <si>
    <t>Q4 March</t>
  </si>
  <si>
    <t>Q1' June</t>
  </si>
  <si>
    <t>in crores</t>
  </si>
  <si>
    <t>PAT</t>
  </si>
  <si>
    <t>Interest Income on</t>
  </si>
  <si>
    <t>Bank deposit</t>
  </si>
  <si>
    <t>Current investment</t>
  </si>
  <si>
    <t>Dividend income</t>
  </si>
  <si>
    <t>Other non operating income</t>
  </si>
  <si>
    <t>PBT</t>
  </si>
  <si>
    <t>Profit before exceptional items</t>
  </si>
  <si>
    <t>Tax % (of PBT)</t>
  </si>
  <si>
    <t>TAX amount</t>
  </si>
  <si>
    <t>Profit before tax (report)</t>
  </si>
  <si>
    <t>Total Tax</t>
  </si>
  <si>
    <t>Charts</t>
  </si>
  <si>
    <t>&gt;&gt;&gt;&gt;</t>
  </si>
  <si>
    <t>&gt;&gt;&gt;</t>
  </si>
  <si>
    <t>Expenses_cagr_scr</t>
  </si>
  <si>
    <t>forecast_scr</t>
  </si>
  <si>
    <t>FS_CAGR_expense</t>
  </si>
  <si>
    <t>FS_forecast_expense</t>
  </si>
  <si>
    <t>Other_Inc_cagr_scr</t>
  </si>
  <si>
    <t>Forecast_Inc_scr</t>
  </si>
  <si>
    <t>FS_OI_cagr</t>
  </si>
  <si>
    <t>FS_OI_forecast</t>
  </si>
  <si>
    <t>Finance cost</t>
  </si>
  <si>
    <t>Interest_cagr_scr</t>
  </si>
  <si>
    <t>Interest_forecast_scr</t>
  </si>
  <si>
    <t>Interest_cagr_FS</t>
  </si>
  <si>
    <t>Interest_forecast_FS</t>
  </si>
  <si>
    <t>Projection of sales from CAGR</t>
  </si>
  <si>
    <t>Other Income (Other income + exceptional items)</t>
  </si>
  <si>
    <t>Total Income (Revenue + other income)</t>
  </si>
  <si>
    <t>Expenses (cost of revenue + other expenses)</t>
  </si>
  <si>
    <t>Revenue from operations</t>
  </si>
  <si>
    <t>Tax rate</t>
  </si>
  <si>
    <t>Tax_cagr_scr</t>
  </si>
  <si>
    <t>Tax_forecast_scr</t>
  </si>
  <si>
    <t>Tax_cagr_FS</t>
  </si>
  <si>
    <t>Tax_forecast_FS</t>
  </si>
  <si>
    <t>Total cost of revenue</t>
  </si>
  <si>
    <t>Total other expenses</t>
  </si>
  <si>
    <t>PBT_cagr_scr</t>
  </si>
  <si>
    <t>PBT_forecast_scr</t>
  </si>
  <si>
    <t>PBT_CAGR_FS</t>
  </si>
  <si>
    <t>PBT_forecast_FS</t>
  </si>
  <si>
    <t>PAT_cagr_scr</t>
  </si>
  <si>
    <t>PAT_forecast_scr</t>
  </si>
  <si>
    <t>PAT_CAGR_FS</t>
  </si>
  <si>
    <t>PAT_forecast_FS</t>
  </si>
  <si>
    <t>Total of march quarter</t>
  </si>
  <si>
    <t>PBT from report</t>
  </si>
  <si>
    <t>Total of sales</t>
  </si>
  <si>
    <t>Total of 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</si>
</sst>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0.000%"/>
    <numFmt numFmtId="167" formatCode="_ * #,##0.000_ ;_ * \-#,##0.000_ ;_ * &quot;-&quot;???_ ;_ @_ "/>
    <numFmt numFmtId="168" formatCode="_ * #,##0_ ;_ * \-#,##0_ ;_ * &quot;-&quot;??_ ;_ @_ "/>
    <numFmt numFmtId="169" formatCode="#,##0.0;\-#,##0.0"/>
    <numFmt numFmtId="170" formatCode="0.000"/>
    <numFmt numFmtId="171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361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n">
        <color indexed="64"/>
      </top>
      <bottom style="thick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  <xf numFmtId="0" fontId="10" fillId="0" borderId="0"/>
  </cellStyleXfs>
  <cellXfs count="179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165" fontId="1" fillId="0" borderId="0" xfId="0" applyNumberFormat="1" applyFont="1"/>
    <xf numFmtId="165" fontId="0" fillId="0" borderId="0" xfId="0" applyNumberFormat="1"/>
    <xf numFmtId="10" fontId="0" fillId="0" borderId="0" xfId="6" applyNumberFormat="1" applyFont="1"/>
    <xf numFmtId="17" fontId="1" fillId="0" borderId="0" xfId="0" applyNumberFormat="1" applyFont="1"/>
    <xf numFmtId="167" fontId="1" fillId="0" borderId="0" xfId="0" applyNumberFormat="1" applyFont="1"/>
    <xf numFmtId="43" fontId="1" fillId="0" borderId="0" xfId="0" applyNumberFormat="1" applyFont="1"/>
    <xf numFmtId="167" fontId="0" fillId="0" borderId="0" xfId="0" applyNumberFormat="1"/>
    <xf numFmtId="43" fontId="0" fillId="0" borderId="0" xfId="0" applyNumberFormat="1"/>
    <xf numFmtId="0" fontId="1" fillId="7" borderId="0" xfId="0" applyFont="1" applyFill="1"/>
    <xf numFmtId="17" fontId="0" fillId="0" borderId="0" xfId="0" applyNumberFormat="1"/>
    <xf numFmtId="166" fontId="1" fillId="7" borderId="0" xfId="6" applyNumberFormat="1" applyFont="1" applyFill="1"/>
    <xf numFmtId="0" fontId="11" fillId="0" borderId="0" xfId="7" applyFont="1"/>
    <xf numFmtId="37" fontId="11" fillId="0" borderId="0" xfId="7" applyNumberFormat="1" applyFont="1"/>
    <xf numFmtId="0" fontId="11" fillId="0" borderId="0" xfId="7" applyFont="1" applyAlignment="1">
      <alignment horizontal="left"/>
    </xf>
    <xf numFmtId="0" fontId="12" fillId="0" borderId="0" xfId="7" applyFont="1"/>
    <xf numFmtId="0" fontId="13" fillId="0" borderId="0" xfId="0" applyFont="1"/>
    <xf numFmtId="0" fontId="12" fillId="0" borderId="0" xfId="7" applyFont="1" applyAlignment="1">
      <alignment horizontal="center"/>
    </xf>
    <xf numFmtId="10" fontId="14" fillId="7" borderId="0" xfId="6" applyNumberFormat="1" applyFont="1" applyFill="1" applyBorder="1"/>
    <xf numFmtId="0" fontId="14" fillId="7" borderId="0" xfId="0" applyFont="1" applyFill="1"/>
    <xf numFmtId="17" fontId="1" fillId="0" borderId="0" xfId="0" applyNumberFormat="1" applyFont="1" applyAlignment="1">
      <alignment horizontal="center"/>
    </xf>
    <xf numFmtId="0" fontId="1" fillId="0" borderId="1" xfId="0" applyFont="1" applyBorder="1"/>
    <xf numFmtId="0" fontId="13" fillId="0" borderId="0" xfId="0" applyFont="1" applyAlignment="1">
      <alignment horizontal="center"/>
    </xf>
    <xf numFmtId="0" fontId="0" fillId="0" borderId="2" xfId="0" applyBorder="1"/>
    <xf numFmtId="165" fontId="13" fillId="0" borderId="3" xfId="0" applyNumberFormat="1" applyFont="1" applyBorder="1"/>
    <xf numFmtId="165" fontId="13" fillId="0" borderId="4" xfId="0" applyNumberFormat="1" applyFont="1" applyBorder="1"/>
    <xf numFmtId="0" fontId="12" fillId="0" borderId="5" xfId="7" applyFont="1" applyBorder="1"/>
    <xf numFmtId="0" fontId="11" fillId="0" borderId="6" xfId="7" applyFont="1" applyBorder="1"/>
    <xf numFmtId="0" fontId="0" fillId="0" borderId="6" xfId="0" applyBorder="1"/>
    <xf numFmtId="0" fontId="0" fillId="0" borderId="7" xfId="0" applyBorder="1"/>
    <xf numFmtId="0" fontId="11" fillId="0" borderId="5" xfId="7" applyFont="1" applyBorder="1" applyAlignment="1">
      <alignment horizontal="left"/>
    </xf>
    <xf numFmtId="37" fontId="11" fillId="0" borderId="6" xfId="7" applyNumberFormat="1" applyFont="1" applyBorder="1"/>
    <xf numFmtId="168" fontId="11" fillId="0" borderId="6" xfId="1" applyNumberFormat="1" applyFont="1" applyFill="1" applyBorder="1"/>
    <xf numFmtId="43" fontId="11" fillId="0" borderId="6" xfId="1" applyFont="1" applyFill="1" applyBorder="1"/>
    <xf numFmtId="3" fontId="0" fillId="0" borderId="6" xfId="0" applyNumberFormat="1" applyBorder="1"/>
    <xf numFmtId="3" fontId="0" fillId="0" borderId="7" xfId="0" applyNumberFormat="1" applyBorder="1"/>
    <xf numFmtId="0" fontId="11" fillId="0" borderId="5" xfId="7" applyFont="1" applyBorder="1"/>
    <xf numFmtId="3" fontId="11" fillId="0" borderId="6" xfId="7" applyNumberFormat="1" applyFont="1" applyBorder="1"/>
    <xf numFmtId="0" fontId="12" fillId="0" borderId="8" xfId="7" applyFont="1" applyBorder="1" applyAlignment="1">
      <alignment horizontal="center"/>
    </xf>
    <xf numFmtId="0" fontId="0" fillId="7" borderId="0" xfId="0" applyFill="1"/>
    <xf numFmtId="0" fontId="15" fillId="0" borderId="0" xfId="7" applyFont="1" applyAlignment="1">
      <alignment horizontal="left"/>
    </xf>
    <xf numFmtId="3" fontId="0" fillId="0" borderId="1" xfId="0" applyNumberFormat="1" applyBorder="1"/>
    <xf numFmtId="10" fontId="14" fillId="7" borderId="0" xfId="6" applyNumberFormat="1" applyFont="1" applyFill="1"/>
    <xf numFmtId="0" fontId="13" fillId="7" borderId="0" xfId="0" applyFont="1" applyFill="1"/>
    <xf numFmtId="0" fontId="11" fillId="0" borderId="5" xfId="7" applyFont="1" applyBorder="1" applyAlignment="1">
      <alignment horizontal="left" indent="2"/>
    </xf>
    <xf numFmtId="0" fontId="12" fillId="0" borderId="5" xfId="7" applyFont="1" applyBorder="1" applyAlignment="1">
      <alignment horizontal="left"/>
    </xf>
    <xf numFmtId="0" fontId="11" fillId="0" borderId="5" xfId="7" applyFont="1" applyBorder="1" applyAlignment="1">
      <alignment horizontal="center"/>
    </xf>
    <xf numFmtId="0" fontId="14" fillId="0" borderId="6" xfId="0" applyFont="1" applyBorder="1"/>
    <xf numFmtId="0" fontId="14" fillId="0" borderId="7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0" fontId="0" fillId="0" borderId="10" xfId="0" applyBorder="1"/>
    <xf numFmtId="2" fontId="0" fillId="0" borderId="0" xfId="0" applyNumberFormat="1"/>
    <xf numFmtId="3" fontId="0" fillId="0" borderId="0" xfId="0" applyNumberFormat="1"/>
    <xf numFmtId="0" fontId="16" fillId="0" borderId="0" xfId="0" applyFont="1"/>
    <xf numFmtId="3" fontId="1" fillId="0" borderId="1" xfId="0" applyNumberFormat="1" applyFont="1" applyBorder="1"/>
    <xf numFmtId="3" fontId="11" fillId="0" borderId="15" xfId="7" applyNumberFormat="1" applyFont="1" applyBorder="1"/>
    <xf numFmtId="3" fontId="0" fillId="0" borderId="15" xfId="0" applyNumberFormat="1" applyBorder="1"/>
    <xf numFmtId="3" fontId="0" fillId="0" borderId="16" xfId="0" applyNumberFormat="1" applyBorder="1"/>
    <xf numFmtId="37" fontId="11" fillId="0" borderId="17" xfId="7" applyNumberFormat="1" applyFont="1" applyBorder="1"/>
    <xf numFmtId="37" fontId="11" fillId="0" borderId="14" xfId="7" applyNumberFormat="1" applyFont="1" applyBorder="1"/>
    <xf numFmtId="0" fontId="1" fillId="7" borderId="0" xfId="0" applyFont="1" applyFill="1" applyAlignment="1">
      <alignment horizontal="center"/>
    </xf>
    <xf numFmtId="0" fontId="15" fillId="0" borderId="0" xfId="7" applyFont="1" applyAlignment="1">
      <alignment horizontal="center"/>
    </xf>
    <xf numFmtId="17" fontId="1" fillId="8" borderId="18" xfId="0" applyNumberFormat="1" applyFont="1" applyFill="1" applyBorder="1" applyAlignment="1">
      <alignment horizontal="center"/>
    </xf>
    <xf numFmtId="17" fontId="1" fillId="8" borderId="19" xfId="0" applyNumberFormat="1" applyFont="1" applyFill="1" applyBorder="1" applyAlignment="1">
      <alignment horizontal="center"/>
    </xf>
    <xf numFmtId="17" fontId="1" fillId="8" borderId="20" xfId="0" applyNumberFormat="1" applyFont="1" applyFill="1" applyBorder="1" applyAlignment="1">
      <alignment horizontal="center"/>
    </xf>
    <xf numFmtId="0" fontId="1" fillId="8" borderId="19" xfId="0" applyFont="1" applyFill="1" applyBorder="1"/>
    <xf numFmtId="17" fontId="1" fillId="8" borderId="11" xfId="0" applyNumberFormat="1" applyFont="1" applyFill="1" applyBorder="1" applyAlignment="1">
      <alignment horizontal="center"/>
    </xf>
    <xf numFmtId="17" fontId="1" fillId="8" borderId="12" xfId="0" applyNumberFormat="1" applyFont="1" applyFill="1" applyBorder="1" applyAlignment="1">
      <alignment horizontal="center"/>
    </xf>
    <xf numFmtId="17" fontId="1" fillId="8" borderId="13" xfId="0" applyNumberFormat="1" applyFont="1" applyFill="1" applyBorder="1" applyAlignment="1">
      <alignment horizontal="center"/>
    </xf>
    <xf numFmtId="0" fontId="0" fillId="8" borderId="0" xfId="0" applyFill="1"/>
    <xf numFmtId="3" fontId="1" fillId="7" borderId="1" xfId="0" applyNumberFormat="1" applyFont="1" applyFill="1" applyBorder="1"/>
    <xf numFmtId="17" fontId="1" fillId="8" borderId="2" xfId="0" applyNumberFormat="1" applyFont="1" applyFill="1" applyBorder="1" applyAlignment="1">
      <alignment horizontal="center"/>
    </xf>
    <xf numFmtId="17" fontId="1" fillId="8" borderId="3" xfId="0" applyNumberFormat="1" applyFont="1" applyFill="1" applyBorder="1" applyAlignment="1">
      <alignment horizontal="center"/>
    </xf>
    <xf numFmtId="17" fontId="1" fillId="8" borderId="4" xfId="0" applyNumberFormat="1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8" borderId="3" xfId="0" applyFill="1" applyBorder="1"/>
    <xf numFmtId="0" fontId="1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17" fontId="1" fillId="0" borderId="22" xfId="0" applyNumberFormat="1" applyFont="1" applyBorder="1"/>
    <xf numFmtId="0" fontId="0" fillId="0" borderId="24" xfId="0" applyBorder="1"/>
    <xf numFmtId="2" fontId="0" fillId="0" borderId="0" xfId="0" applyNumberFormat="1" applyBorder="1"/>
    <xf numFmtId="2" fontId="0" fillId="0" borderId="25" xfId="0" applyNumberFormat="1" applyBorder="1"/>
    <xf numFmtId="0" fontId="0" fillId="0" borderId="26" xfId="0" applyBorder="1"/>
    <xf numFmtId="2" fontId="0" fillId="0" borderId="27" xfId="0" applyNumberFormat="1" applyBorder="1"/>
    <xf numFmtId="2" fontId="0" fillId="0" borderId="28" xfId="0" applyNumberFormat="1" applyBorder="1"/>
    <xf numFmtId="17" fontId="1" fillId="0" borderId="23" xfId="0" applyNumberFormat="1" applyFont="1" applyBorder="1"/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" fontId="1" fillId="0" borderId="3" xfId="0" applyNumberFormat="1" applyFont="1" applyBorder="1"/>
    <xf numFmtId="17" fontId="1" fillId="0" borderId="4" xfId="0" applyNumberFormat="1" applyFon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170" fontId="0" fillId="0" borderId="0" xfId="0" applyNumberFormat="1"/>
    <xf numFmtId="170" fontId="0" fillId="0" borderId="6" xfId="0" applyNumberFormat="1" applyBorder="1"/>
    <xf numFmtId="170" fontId="0" fillId="0" borderId="7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1" fontId="0" fillId="0" borderId="0" xfId="0" applyNumberFormat="1"/>
    <xf numFmtId="171" fontId="0" fillId="0" borderId="6" xfId="0" applyNumberFormat="1" applyBorder="1"/>
    <xf numFmtId="171" fontId="0" fillId="0" borderId="7" xfId="0" applyNumberFormat="1" applyBorder="1"/>
    <xf numFmtId="171" fontId="0" fillId="0" borderId="9" xfId="0" applyNumberFormat="1" applyBorder="1"/>
    <xf numFmtId="171" fontId="0" fillId="0" borderId="10" xfId="0" applyNumberFormat="1" applyBorder="1"/>
    <xf numFmtId="3" fontId="1" fillId="9" borderId="1" xfId="0" applyNumberFormat="1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9" borderId="18" xfId="0" applyFont="1" applyFill="1" applyBorder="1"/>
    <xf numFmtId="3" fontId="1" fillId="9" borderId="19" xfId="0" applyNumberFormat="1" applyFont="1" applyFill="1" applyBorder="1"/>
    <xf numFmtId="3" fontId="1" fillId="9" borderId="20" xfId="0" applyNumberFormat="1" applyFont="1" applyFill="1" applyBorder="1"/>
    <xf numFmtId="3" fontId="0" fillId="0" borderId="10" xfId="0" applyNumberFormat="1" applyBorder="1"/>
    <xf numFmtId="0" fontId="15" fillId="0" borderId="2" xfId="7" applyFont="1" applyBorder="1" applyAlignment="1">
      <alignment horizontal="center"/>
    </xf>
    <xf numFmtId="169" fontId="11" fillId="0" borderId="6" xfId="7" applyNumberFormat="1" applyFont="1" applyBorder="1"/>
    <xf numFmtId="37" fontId="11" fillId="0" borderId="7" xfId="7" applyNumberFormat="1" applyFont="1" applyBorder="1"/>
    <xf numFmtId="0" fontId="12" fillId="0" borderId="8" xfId="7" applyFont="1" applyBorder="1"/>
    <xf numFmtId="37" fontId="12" fillId="0" borderId="9" xfId="7" applyNumberFormat="1" applyFont="1" applyBorder="1"/>
    <xf numFmtId="37" fontId="12" fillId="0" borderId="10" xfId="7" applyNumberFormat="1" applyFont="1" applyBorder="1"/>
    <xf numFmtId="0" fontId="1" fillId="0" borderId="8" xfId="0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0" fontId="1" fillId="0" borderId="2" xfId="0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7" fontId="1" fillId="0" borderId="6" xfId="0" applyNumberFormat="1" applyFont="1" applyBorder="1"/>
    <xf numFmtId="3" fontId="1" fillId="0" borderId="6" xfId="0" applyNumberFormat="1" applyFont="1" applyBorder="1"/>
    <xf numFmtId="37" fontId="1" fillId="0" borderId="7" xfId="0" applyNumberFormat="1" applyFont="1" applyBorder="1"/>
    <xf numFmtId="3" fontId="1" fillId="0" borderId="7" xfId="0" applyNumberFormat="1" applyFont="1" applyBorder="1"/>
    <xf numFmtId="4" fontId="9" fillId="0" borderId="6" xfId="0" applyNumberFormat="1" applyFont="1" applyBorder="1"/>
    <xf numFmtId="3" fontId="9" fillId="0" borderId="6" xfId="0" applyNumberFormat="1" applyFont="1" applyBorder="1"/>
    <xf numFmtId="0" fontId="9" fillId="0" borderId="6" xfId="0" applyFont="1" applyBorder="1"/>
    <xf numFmtId="4" fontId="17" fillId="0" borderId="6" xfId="0" applyNumberFormat="1" applyFont="1" applyBorder="1"/>
    <xf numFmtId="4" fontId="17" fillId="0" borderId="7" xfId="0" applyNumberFormat="1" applyFont="1" applyBorder="1"/>
    <xf numFmtId="3" fontId="17" fillId="0" borderId="6" xfId="0" applyNumberFormat="1" applyFont="1" applyBorder="1"/>
    <xf numFmtId="3" fontId="17" fillId="0" borderId="7" xfId="0" applyNumberFormat="1" applyFont="1" applyBorder="1"/>
    <xf numFmtId="0" fontId="1" fillId="0" borderId="33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0" fontId="13" fillId="0" borderId="34" xfId="0" applyFont="1" applyBorder="1"/>
    <xf numFmtId="3" fontId="13" fillId="0" borderId="17" xfId="0" applyNumberFormat="1" applyFont="1" applyBorder="1"/>
    <xf numFmtId="3" fontId="13" fillId="0" borderId="14" xfId="0" applyNumberFormat="1" applyFont="1" applyBorder="1"/>
    <xf numFmtId="10" fontId="0" fillId="7" borderId="0" xfId="6" applyNumberFormat="1" applyFont="1" applyFill="1"/>
    <xf numFmtId="0" fontId="13" fillId="7" borderId="18" xfId="0" applyFont="1" applyFill="1" applyBorder="1" applyAlignment="1">
      <alignment horizontal="center"/>
    </xf>
    <xf numFmtId="3" fontId="1" fillId="7" borderId="19" xfId="0" applyNumberFormat="1" applyFont="1" applyFill="1" applyBorder="1"/>
    <xf numFmtId="3" fontId="1" fillId="7" borderId="20" xfId="0" applyNumberFormat="1" applyFont="1" applyFill="1" applyBorder="1"/>
  </cellXfs>
  <cellStyles count="8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Normal_REVPROJ.XLS" xfId="7" xr:uid="{4602B34C-2315-4B0A-8A07-1A2A940C76CD}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3618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2060"/>
                </a:solidFill>
              </a:rPr>
              <a:t>Revenue</a:t>
            </a:r>
            <a:r>
              <a:rPr lang="en-IN" b="1" baseline="0">
                <a:solidFill>
                  <a:srgbClr val="002060"/>
                </a:solidFill>
              </a:rPr>
              <a:t> from operation</a:t>
            </a:r>
          </a:p>
        </c:rich>
      </c:tx>
      <c:layout>
        <c:manualLayout>
          <c:xMode val="edge"/>
          <c:yMode val="edge"/>
          <c:x val="3.662489063867017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projection'!$AB$6</c:f>
              <c:strCache>
                <c:ptCount val="1"/>
                <c:pt idx="0">
                  <c:v>SALES_CAGR_SCR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projection'!$AC$5:$AG$5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projection'!$AC$6:$AG$6</c:f>
              <c:numCache>
                <c:formatCode>0.00</c:formatCode>
                <c:ptCount val="5"/>
                <c:pt idx="0">
                  <c:v>66609.975296574165</c:v>
                </c:pt>
                <c:pt idx="1">
                  <c:v>71682.965119074259</c:v>
                </c:pt>
                <c:pt idx="2">
                  <c:v>77142.311874220046</c:v>
                </c:pt>
                <c:pt idx="3">
                  <c:v>83017.440355797095</c:v>
                </c:pt>
                <c:pt idx="4">
                  <c:v>89340.016338446163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E-452E-9DD1-5C6F47FC4F3B}"/>
            </c:ext>
          </c:extLst>
        </c:ser>
        <c:ser>
          <c:idx val="1"/>
          <c:order val="1"/>
          <c:tx>
            <c:strRef>
              <c:f>'Revenue projection'!$AB$7</c:f>
              <c:strCache>
                <c:ptCount val="1"/>
                <c:pt idx="0">
                  <c:v>Forecast_screener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projection'!$AC$5:$AG$5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projection'!$AC$7:$AG$7</c:f>
              <c:numCache>
                <c:formatCode>0.00</c:formatCode>
                <c:ptCount val="5"/>
                <c:pt idx="0">
                  <c:v>65412.031946040341</c:v>
                </c:pt>
                <c:pt idx="1">
                  <c:v>69042.028320564103</c:v>
                </c:pt>
                <c:pt idx="2">
                  <c:v>72672.02469508785</c:v>
                </c:pt>
                <c:pt idx="3">
                  <c:v>76302.836249574451</c:v>
                </c:pt>
                <c:pt idx="4">
                  <c:v>79932.017444135359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E-452E-9DD1-5C6F47FC4F3B}"/>
            </c:ext>
          </c:extLst>
        </c:ser>
        <c:ser>
          <c:idx val="2"/>
          <c:order val="2"/>
          <c:tx>
            <c:strRef>
              <c:f>'Revenue projection'!$AB$8</c:f>
              <c:strCache>
                <c:ptCount val="1"/>
                <c:pt idx="0">
                  <c:v>Fin_CAGR_SALES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projection'!$AC$5:$AG$5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projection'!$AC$8:$AG$8</c:f>
              <c:numCache>
                <c:formatCode>0.00</c:formatCode>
                <c:ptCount val="5"/>
                <c:pt idx="0">
                  <c:v>65476.847890906327</c:v>
                </c:pt>
                <c:pt idx="1">
                  <c:v>70993.510712984542</c:v>
                </c:pt>
                <c:pt idx="2">
                  <c:v>77071.463847196501</c:v>
                </c:pt>
                <c:pt idx="3">
                  <c:v>83769.056635351692</c:v>
                </c:pt>
                <c:pt idx="4">
                  <c:v>91151.159078152632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0E-452E-9DD1-5C6F47FC4F3B}"/>
            </c:ext>
          </c:extLst>
        </c:ser>
        <c:ser>
          <c:idx val="3"/>
          <c:order val="3"/>
          <c:tx>
            <c:strRef>
              <c:f>'Revenue projection'!$AB$9</c:f>
              <c:strCache>
                <c:ptCount val="1"/>
                <c:pt idx="0">
                  <c:v>Fin_forecast_sales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projection'!$AC$5:$AG$5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projection'!$AC$9:$AG$9</c:f>
              <c:numCache>
                <c:formatCode>0.00</c:formatCode>
                <c:ptCount val="5"/>
                <c:pt idx="0">
                  <c:v>63848.099829415471</c:v>
                </c:pt>
                <c:pt idx="1">
                  <c:v>67153.611271131129</c:v>
                </c:pt>
                <c:pt idx="2">
                  <c:v>70459.122712846773</c:v>
                </c:pt>
                <c:pt idx="3">
                  <c:v>73765.376465687892</c:v>
                </c:pt>
                <c:pt idx="4">
                  <c:v>77070.14559627806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0E-452E-9DD1-5C6F47FC4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010976"/>
        <c:axId val="721011936"/>
      </c:lineChart>
      <c:dateAx>
        <c:axId val="7210109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11936"/>
        <c:crosses val="autoZero"/>
        <c:auto val="1"/>
        <c:lblOffset val="100"/>
        <c:baseTimeUnit val="years"/>
      </c:dateAx>
      <c:valAx>
        <c:axId val="721011936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Expenses</a:t>
            </a:r>
          </a:p>
        </c:rich>
      </c:tx>
      <c:layout>
        <c:manualLayout>
          <c:xMode val="edge"/>
          <c:yMode val="edge"/>
          <c:x val="3.9126274117399489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projection'!$AB$33</c:f>
              <c:strCache>
                <c:ptCount val="1"/>
                <c:pt idx="0">
                  <c:v>Expenses_cagr_scr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projection'!$AC$32:$AG$32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projection'!$AC$33:$AG$33</c:f>
              <c:numCache>
                <c:formatCode>0.00</c:formatCode>
                <c:ptCount val="5"/>
                <c:pt idx="0">
                  <c:v>50357.774643961304</c:v>
                </c:pt>
                <c:pt idx="1">
                  <c:v>53684.727376674891</c:v>
                </c:pt>
                <c:pt idx="2">
                  <c:v>57231.479625232212</c:v>
                </c:pt>
                <c:pt idx="3">
                  <c:v>61012.552734252953</c:v>
                </c:pt>
                <c:pt idx="4">
                  <c:v>65043.427420122258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8-4BE0-A1A8-854AE7BE4D46}"/>
            </c:ext>
          </c:extLst>
        </c:ser>
        <c:ser>
          <c:idx val="1"/>
          <c:order val="1"/>
          <c:tx>
            <c:strRef>
              <c:f>'Revenue projection'!$AB$34</c:f>
              <c:strCache>
                <c:ptCount val="1"/>
                <c:pt idx="0">
                  <c:v>forecast_scr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projection'!$AC$32:$AG$32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projection'!$AC$34:$AG$34</c:f>
              <c:numCache>
                <c:formatCode>0.00</c:formatCode>
                <c:ptCount val="5"/>
                <c:pt idx="0">
                  <c:v>49654.098284309963</c:v>
                </c:pt>
                <c:pt idx="1">
                  <c:v>52152.433860517922</c:v>
                </c:pt>
                <c:pt idx="2">
                  <c:v>54650.769436725888</c:v>
                </c:pt>
                <c:pt idx="3">
                  <c:v>57149.666058425923</c:v>
                </c:pt>
                <c:pt idx="4">
                  <c:v>59647.440589141814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8-4BE0-A1A8-854AE7BE4D46}"/>
            </c:ext>
          </c:extLst>
        </c:ser>
        <c:ser>
          <c:idx val="2"/>
          <c:order val="2"/>
          <c:tx>
            <c:strRef>
              <c:f>'Revenue projection'!$AB$35</c:f>
              <c:strCache>
                <c:ptCount val="1"/>
                <c:pt idx="0">
                  <c:v>FS_CAGR_expense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projection'!$AC$32:$AG$32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projection'!$AC$35:$AG$35</c:f>
              <c:numCache>
                <c:formatCode>0.00</c:formatCode>
                <c:ptCount val="5"/>
                <c:pt idx="0">
                  <c:v>51318.003844906088</c:v>
                </c:pt>
                <c:pt idx="1">
                  <c:v>55310.57505840082</c:v>
                </c:pt>
                <c:pt idx="2">
                  <c:v>59751.564356067378</c:v>
                </c:pt>
                <c:pt idx="3">
                  <c:v>64711.074105885986</c:v>
                </c:pt>
                <c:pt idx="4">
                  <c:v>70273.94189802598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8-4BE0-A1A8-854AE7BE4D46}"/>
            </c:ext>
          </c:extLst>
        </c:ser>
        <c:ser>
          <c:idx val="3"/>
          <c:order val="3"/>
          <c:tx>
            <c:strRef>
              <c:f>'Revenue projection'!$AB$36</c:f>
              <c:strCache>
                <c:ptCount val="1"/>
                <c:pt idx="0">
                  <c:v>FS_forecast_expense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projection'!$AC$32:$AG$32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projection'!$AC$36:$AG$36</c:f>
              <c:numCache>
                <c:formatCode>0.00</c:formatCode>
                <c:ptCount val="5"/>
                <c:pt idx="0">
                  <c:v>49761.968059816762</c:v>
                </c:pt>
                <c:pt idx="1">
                  <c:v>52291.376230813279</c:v>
                </c:pt>
                <c:pt idx="2">
                  <c:v>54949.26610197479</c:v>
                </c:pt>
                <c:pt idx="3">
                  <c:v>57474.670304141488</c:v>
                </c:pt>
                <c:pt idx="4">
                  <c:v>60003.514381852321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8-4BE0-A1A8-854AE7BE4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006608"/>
        <c:axId val="249000848"/>
      </c:lineChart>
      <c:dateAx>
        <c:axId val="2490066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00848"/>
        <c:crosses val="autoZero"/>
        <c:auto val="1"/>
        <c:lblOffset val="100"/>
        <c:baseTimeUnit val="years"/>
      </c:dateAx>
      <c:valAx>
        <c:axId val="249000848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0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Total</a:t>
            </a:r>
            <a:r>
              <a:rPr lang="en-IN" b="1" baseline="0">
                <a:solidFill>
                  <a:schemeClr val="bg2">
                    <a:lumMod val="10000"/>
                  </a:schemeClr>
                </a:solidFill>
              </a:rPr>
              <a:t> Income</a:t>
            </a:r>
            <a:endParaRPr lang="en-IN" b="1">
              <a:solidFill>
                <a:schemeClr val="bg2">
                  <a:lumMod val="10000"/>
                </a:schemeClr>
              </a:solidFill>
            </a:endParaRPr>
          </a:p>
        </c:rich>
      </c:tx>
      <c:layout>
        <c:manualLayout>
          <c:xMode val="edge"/>
          <c:yMode val="edge"/>
          <c:x val="4.5786366076221156E-2"/>
          <c:y val="3.47739692001987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projection'!$AB$17</c:f>
              <c:strCache>
                <c:ptCount val="1"/>
                <c:pt idx="0">
                  <c:v>Other_Inc_cagr_scr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projection'!$AC$16:$AG$16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projection'!$AC$17:$AG$17</c:f>
              <c:numCache>
                <c:formatCode>0.00</c:formatCode>
                <c:ptCount val="5"/>
                <c:pt idx="0">
                  <c:v>66609.975296574165</c:v>
                </c:pt>
                <c:pt idx="1">
                  <c:v>71682.965119074259</c:v>
                </c:pt>
                <c:pt idx="2">
                  <c:v>77142.311874220046</c:v>
                </c:pt>
                <c:pt idx="3">
                  <c:v>83017.440355797095</c:v>
                </c:pt>
                <c:pt idx="4">
                  <c:v>89340.016338446163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8-4140-B6E0-8044DE0BE312}"/>
            </c:ext>
          </c:extLst>
        </c:ser>
        <c:ser>
          <c:idx val="1"/>
          <c:order val="1"/>
          <c:tx>
            <c:strRef>
              <c:f>'Revenue projection'!$AB$18</c:f>
              <c:strCache>
                <c:ptCount val="1"/>
                <c:pt idx="0">
                  <c:v>Forecast_Inc_scr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projection'!$AC$16:$AG$16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projection'!$AC$18:$AG$18</c:f>
              <c:numCache>
                <c:formatCode>0.00</c:formatCode>
                <c:ptCount val="5"/>
                <c:pt idx="0">
                  <c:v>65412.031946040341</c:v>
                </c:pt>
                <c:pt idx="1">
                  <c:v>69042.028320564103</c:v>
                </c:pt>
                <c:pt idx="2">
                  <c:v>72672.02469508785</c:v>
                </c:pt>
                <c:pt idx="3">
                  <c:v>76302.836249574451</c:v>
                </c:pt>
                <c:pt idx="4">
                  <c:v>79932.017444135359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8-4140-B6E0-8044DE0BE312}"/>
            </c:ext>
          </c:extLst>
        </c:ser>
        <c:ser>
          <c:idx val="2"/>
          <c:order val="2"/>
          <c:tx>
            <c:strRef>
              <c:f>'Revenue projection'!$AB$19</c:f>
              <c:strCache>
                <c:ptCount val="1"/>
                <c:pt idx="0">
                  <c:v>FS_OI_cagr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projection'!$AC$16:$AG$16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projection'!$AC$19:$AG$19</c:f>
              <c:numCache>
                <c:formatCode>0.000</c:formatCode>
                <c:ptCount val="5"/>
                <c:pt idx="0">
                  <c:v>66502.831712940388</c:v>
                </c:pt>
                <c:pt idx="1">
                  <c:v>72078.539603512938</c:v>
                </c:pt>
                <c:pt idx="2">
                  <c:v>78222.233264005146</c:v>
                </c:pt>
                <c:pt idx="3">
                  <c:v>84992.966893312245</c:v>
                </c:pt>
                <c:pt idx="4">
                  <c:v>92456.393863789752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8-4140-B6E0-8044DE0BE312}"/>
            </c:ext>
          </c:extLst>
        </c:ser>
        <c:ser>
          <c:idx val="3"/>
          <c:order val="3"/>
          <c:tx>
            <c:strRef>
              <c:f>'Revenue projection'!$AB$20</c:f>
              <c:strCache>
                <c:ptCount val="1"/>
                <c:pt idx="0">
                  <c:v>FS_OI_forecast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projection'!$AC$16:$AG$16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projection'!$AC$20:$AG$20</c:f>
              <c:numCache>
                <c:formatCode>0.000</c:formatCode>
                <c:ptCount val="5"/>
                <c:pt idx="0">
                  <c:v>64668.862432809947</c:v>
                </c:pt>
                <c:pt idx="1">
                  <c:v>67995.189850866853</c:v>
                </c:pt>
                <c:pt idx="2">
                  <c:v>71321.517268923766</c:v>
                </c:pt>
                <c:pt idx="3">
                  <c:v>74648.591672702212</c:v>
                </c:pt>
                <c:pt idx="4">
                  <c:v>77974.172105037564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8-4140-B6E0-8044DE0B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339904"/>
        <c:axId val="296356704"/>
      </c:lineChart>
      <c:dateAx>
        <c:axId val="2963399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56704"/>
        <c:crosses val="autoZero"/>
        <c:auto val="1"/>
        <c:lblOffset val="100"/>
        <c:baseTimeUnit val="years"/>
      </c:dateAx>
      <c:valAx>
        <c:axId val="296356704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projection'!$AB$25</c:f>
              <c:strCache>
                <c:ptCount val="1"/>
                <c:pt idx="0">
                  <c:v>Other_Inc_cagr_scr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projection'!$AC$24:$AG$24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projection'!$AC$25:$AG$25</c:f>
              <c:numCache>
                <c:formatCode>0.0000</c:formatCode>
                <c:ptCount val="5"/>
                <c:pt idx="0">
                  <c:v>779.48930103968041</c:v>
                </c:pt>
                <c:pt idx="1">
                  <c:v>743.7008206062784</c:v>
                </c:pt>
                <c:pt idx="2">
                  <c:v>709.55548694862262</c:v>
                </c:pt>
                <c:pt idx="3">
                  <c:v>676.97785871536337</c:v>
                </c:pt>
                <c:pt idx="4">
                  <c:v>645.89595827341259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1-424D-8B8D-E84A6360173D}"/>
            </c:ext>
          </c:extLst>
        </c:ser>
        <c:ser>
          <c:idx val="1"/>
          <c:order val="1"/>
          <c:tx>
            <c:strRef>
              <c:f>'Revenue projection'!$AB$26</c:f>
              <c:strCache>
                <c:ptCount val="1"/>
                <c:pt idx="0">
                  <c:v>Forecast_Inc_scr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projection'!$AC$24:$AG$24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projection'!$AC$26:$AG$26</c:f>
              <c:numCache>
                <c:formatCode>0.0000</c:formatCode>
                <c:ptCount val="5"/>
                <c:pt idx="0">
                  <c:v>736.95000452744705</c:v>
                </c:pt>
                <c:pt idx="1">
                  <c:v>697.31251204723367</c:v>
                </c:pt>
                <c:pt idx="2">
                  <c:v>657.67501956702029</c:v>
                </c:pt>
                <c:pt idx="3">
                  <c:v>618.02862578600286</c:v>
                </c:pt>
                <c:pt idx="4">
                  <c:v>578.40003460659352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31-424D-8B8D-E84A6360173D}"/>
            </c:ext>
          </c:extLst>
        </c:ser>
        <c:ser>
          <c:idx val="2"/>
          <c:order val="2"/>
          <c:tx>
            <c:strRef>
              <c:f>'Revenue projection'!$AB$27</c:f>
              <c:strCache>
                <c:ptCount val="1"/>
                <c:pt idx="0">
                  <c:v>FS_OI_cagr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projection'!$AC$24:$AG$24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projection'!$AC$27:$AG$27</c:f>
              <c:numCache>
                <c:formatCode>General</c:formatCode>
                <c:ptCount val="5"/>
                <c:pt idx="0">
                  <c:v>1097.1731126355949</c:v>
                </c:pt>
                <c:pt idx="1">
                  <c:v>1028.0860242772746</c:v>
                </c:pt>
                <c:pt idx="2">
                  <c:v>1196.316857856237</c:v>
                </c:pt>
                <c:pt idx="3">
                  <c:v>1187.4777858606294</c:v>
                </c:pt>
                <c:pt idx="4">
                  <c:v>1334.3763793860426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31-424D-8B8D-E84A6360173D}"/>
            </c:ext>
          </c:extLst>
        </c:ser>
        <c:ser>
          <c:idx val="3"/>
          <c:order val="3"/>
          <c:tx>
            <c:strRef>
              <c:f>'Revenue projection'!$AB$28</c:f>
              <c:strCache>
                <c:ptCount val="1"/>
                <c:pt idx="0">
                  <c:v>FS_OI_forecast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projection'!$AC$24:$AG$24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projection'!$AC$28:$AG$28</c:f>
              <c:numCache>
                <c:formatCode>General</c:formatCode>
                <c:ptCount val="5"/>
                <c:pt idx="0">
                  <c:v>670.48264950979512</c:v>
                </c:pt>
                <c:pt idx="1">
                  <c:v>637.84340273728253</c:v>
                </c:pt>
                <c:pt idx="2">
                  <c:v>605.20415596477005</c:v>
                </c:pt>
                <c:pt idx="3">
                  <c:v>572.55757947144593</c:v>
                </c:pt>
                <c:pt idx="4">
                  <c:v>539.92566241974464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31-424D-8B8D-E84A63601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030288"/>
        <c:axId val="297028848"/>
      </c:lineChart>
      <c:dateAx>
        <c:axId val="2970302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28848"/>
        <c:crosses val="autoZero"/>
        <c:auto val="1"/>
        <c:lblOffset val="100"/>
        <c:baseTimeUnit val="years"/>
      </c:dateAx>
      <c:valAx>
        <c:axId val="297028848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3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Finance</a:t>
            </a:r>
            <a:r>
              <a:rPr lang="en-IN" b="1" baseline="0">
                <a:solidFill>
                  <a:schemeClr val="bg2">
                    <a:lumMod val="10000"/>
                  </a:schemeClr>
                </a:solidFill>
              </a:rPr>
              <a:t> cost</a:t>
            </a:r>
            <a:endParaRPr lang="en-IN" b="1">
              <a:solidFill>
                <a:schemeClr val="bg2">
                  <a:lumMod val="10000"/>
                </a:schemeClr>
              </a:solidFill>
            </a:endParaRPr>
          </a:p>
        </c:rich>
      </c:tx>
      <c:layout>
        <c:manualLayout>
          <c:xMode val="edge"/>
          <c:yMode val="edge"/>
          <c:x val="5.985507792387197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projection'!$AB$46</c:f>
              <c:strCache>
                <c:ptCount val="1"/>
                <c:pt idx="0">
                  <c:v>Interest_cagr_scr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projection'!$AC$45:$AG$45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projection'!$AC$46:$AG$46</c:f>
              <c:numCache>
                <c:formatCode>0.0000</c:formatCode>
                <c:ptCount val="5"/>
                <c:pt idx="0">
                  <c:v>462.91264546158533</c:v>
                </c:pt>
                <c:pt idx="1">
                  <c:v>641.58118960551917</c:v>
                </c:pt>
                <c:pt idx="2">
                  <c:v>889.20971784036487</c:v>
                </c:pt>
                <c:pt idx="3">
                  <c:v>1232.4144396875245</c:v>
                </c:pt>
                <c:pt idx="4">
                  <c:v>1708.0845167090101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4-4D22-8956-490588511A6E}"/>
            </c:ext>
          </c:extLst>
        </c:ser>
        <c:ser>
          <c:idx val="1"/>
          <c:order val="1"/>
          <c:tx>
            <c:strRef>
              <c:f>'Revenue projection'!$AB$47</c:f>
              <c:strCache>
                <c:ptCount val="1"/>
                <c:pt idx="0">
                  <c:v>Interest_forecast_scr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projection'!$AC$45:$AG$45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projection'!$AC$47:$AG$47</c:f>
              <c:numCache>
                <c:formatCode>0.0000</c:formatCode>
                <c:ptCount val="5"/>
                <c:pt idx="0">
                  <c:v>241.72513185151212</c:v>
                </c:pt>
                <c:pt idx="1">
                  <c:v>267.29633408405107</c:v>
                </c:pt>
                <c:pt idx="2">
                  <c:v>292.86753631658996</c:v>
                </c:pt>
                <c:pt idx="3">
                  <c:v>318.4444810153837</c:v>
                </c:pt>
                <c:pt idx="4">
                  <c:v>344.00994078166786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4-4D22-8956-490588511A6E}"/>
            </c:ext>
          </c:extLst>
        </c:ser>
        <c:ser>
          <c:idx val="2"/>
          <c:order val="2"/>
          <c:tx>
            <c:strRef>
              <c:f>'Revenue projection'!$AB$48</c:f>
              <c:strCache>
                <c:ptCount val="1"/>
                <c:pt idx="0">
                  <c:v>Interest_cagr_FS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projection'!$AC$45:$AG$45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projection'!$AC$48:$AG$48</c:f>
              <c:numCache>
                <c:formatCode>0.0000</c:formatCode>
                <c:ptCount val="5"/>
                <c:pt idx="0">
                  <c:v>413.13172574806163</c:v>
                </c:pt>
                <c:pt idx="1">
                  <c:v>565.15835370719083</c:v>
                </c:pt>
                <c:pt idx="2">
                  <c:v>773.12862909928867</c:v>
                </c:pt>
                <c:pt idx="3">
                  <c:v>1057.6290224007357</c:v>
                </c:pt>
                <c:pt idx="4">
                  <c:v>1446.8215338597724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4-4D22-8956-490588511A6E}"/>
            </c:ext>
          </c:extLst>
        </c:ser>
        <c:ser>
          <c:idx val="3"/>
          <c:order val="3"/>
          <c:tx>
            <c:strRef>
              <c:f>'Revenue projection'!$AB$49</c:f>
              <c:strCache>
                <c:ptCount val="1"/>
                <c:pt idx="0">
                  <c:v>Interest_forecast_FS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projection'!$AC$45:$AG$45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projection'!$AC$49:$AG$49</c:f>
              <c:numCache>
                <c:formatCode>0.0000</c:formatCode>
                <c:ptCount val="5"/>
                <c:pt idx="0">
                  <c:v>219.21696914594261</c:v>
                </c:pt>
                <c:pt idx="1">
                  <c:v>242.60925740263184</c:v>
                </c:pt>
                <c:pt idx="2">
                  <c:v>266.00154565932098</c:v>
                </c:pt>
                <c:pt idx="3">
                  <c:v>289.39908706854925</c:v>
                </c:pt>
                <c:pt idx="4">
                  <c:v>312.78612217269927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4-4D22-8956-490588511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44288"/>
        <c:axId val="242143808"/>
      </c:lineChart>
      <c:dateAx>
        <c:axId val="2421442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43808"/>
        <c:crosses val="autoZero"/>
        <c:auto val="1"/>
        <c:lblOffset val="100"/>
        <c:baseTimeUnit val="years"/>
      </c:dateAx>
      <c:valAx>
        <c:axId val="2421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Tax</a:t>
            </a:r>
            <a:r>
              <a:rPr lang="en-IN" b="1" baseline="0">
                <a:solidFill>
                  <a:schemeClr val="bg2">
                    <a:lumMod val="10000"/>
                  </a:schemeClr>
                </a:solidFill>
              </a:rPr>
              <a:t> Rate</a:t>
            </a:r>
            <a:endParaRPr lang="en-IN" b="1">
              <a:solidFill>
                <a:schemeClr val="bg2">
                  <a:lumMod val="10000"/>
                </a:schemeClr>
              </a:solidFill>
            </a:endParaRPr>
          </a:p>
        </c:rich>
      </c:tx>
      <c:layout>
        <c:manualLayout>
          <c:xMode val="edge"/>
          <c:yMode val="edge"/>
          <c:x val="3.172403930277943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projection'!$AB$56</c:f>
              <c:strCache>
                <c:ptCount val="1"/>
                <c:pt idx="0">
                  <c:v>Tax_cagr_scr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projection'!$AC$55:$AG$55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projection'!$AC$56:$AG$56</c:f>
              <c:numCache>
                <c:formatCode>0.0000</c:formatCode>
                <c:ptCount val="5"/>
                <c:pt idx="0">
                  <c:v>3907.4965432175086</c:v>
                </c:pt>
                <c:pt idx="1">
                  <c:v>4190.0464421670631</c:v>
                </c:pt>
                <c:pt idx="2">
                  <c:v>4493.0274392669098</c:v>
                </c:pt>
                <c:pt idx="3">
                  <c:v>4817.916901074881</c:v>
                </c:pt>
                <c:pt idx="4">
                  <c:v>5166.299022079942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C-4C17-81EA-8F61CA24A477}"/>
            </c:ext>
          </c:extLst>
        </c:ser>
        <c:ser>
          <c:idx val="1"/>
          <c:order val="1"/>
          <c:tx>
            <c:strRef>
              <c:f>'Revenue projection'!$AB$57</c:f>
              <c:strCache>
                <c:ptCount val="1"/>
                <c:pt idx="0">
                  <c:v>Tax_forecast_scr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projection'!$AC$55:$AG$55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projection'!$AC$57:$AG$57</c:f>
              <c:numCache>
                <c:formatCode>0.0000</c:formatCode>
                <c:ptCount val="5"/>
                <c:pt idx="0">
                  <c:v>3748.6173387489162</c:v>
                </c:pt>
                <c:pt idx="1">
                  <c:v>3936.8889384209774</c:v>
                </c:pt>
                <c:pt idx="2">
                  <c:v>4125.1605380930378</c:v>
                </c:pt>
                <c:pt idx="3">
                  <c:v>4313.4744174865618</c:v>
                </c:pt>
                <c:pt idx="4">
                  <c:v>4501.7037374371603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5C-4C17-81EA-8F61CA24A477}"/>
            </c:ext>
          </c:extLst>
        </c:ser>
        <c:ser>
          <c:idx val="2"/>
          <c:order val="2"/>
          <c:tx>
            <c:strRef>
              <c:f>'Revenue projection'!$AB$58</c:f>
              <c:strCache>
                <c:ptCount val="1"/>
                <c:pt idx="0">
                  <c:v>Tax_cagr_FS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projection'!$AC$55:$AG$55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projection'!$AC$58:$AG$58</c:f>
              <c:numCache>
                <c:formatCode>0.0000</c:formatCode>
                <c:ptCount val="5"/>
                <c:pt idx="0">
                  <c:v>3827.7990100500137</c:v>
                </c:pt>
                <c:pt idx="1">
                  <c:v>4111.256484872948</c:v>
                </c:pt>
                <c:pt idx="2">
                  <c:v>4415.704649076918</c:v>
                </c:pt>
                <c:pt idx="3">
                  <c:v>4742.6979123347191</c:v>
                </c:pt>
                <c:pt idx="4">
                  <c:v>5093.9057919931747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5C-4C17-81EA-8F61CA24A477}"/>
            </c:ext>
          </c:extLst>
        </c:ser>
        <c:ser>
          <c:idx val="3"/>
          <c:order val="3"/>
          <c:tx>
            <c:strRef>
              <c:f>'Revenue projection'!$AB$59</c:f>
              <c:strCache>
                <c:ptCount val="1"/>
                <c:pt idx="0">
                  <c:v>Tax_forecast_FS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projection'!$AC$55:$AG$55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projection'!$AC$59:$AG$59</c:f>
              <c:numCache>
                <c:formatCode>0.0000</c:formatCode>
                <c:ptCount val="5"/>
                <c:pt idx="0">
                  <c:v>3529.7673771758868</c:v>
                </c:pt>
                <c:pt idx="1">
                  <c:v>3715.8206162678316</c:v>
                </c:pt>
                <c:pt idx="2">
                  <c:v>3901.8738553597764</c:v>
                </c:pt>
                <c:pt idx="3">
                  <c:v>4087.968876001034</c:v>
                </c:pt>
                <c:pt idx="4">
                  <c:v>4273.9803335436663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5C-4C17-81EA-8F61CA24A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172064"/>
        <c:axId val="297173984"/>
      </c:lineChart>
      <c:dateAx>
        <c:axId val="2971720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73984"/>
        <c:crosses val="autoZero"/>
        <c:auto val="1"/>
        <c:lblOffset val="100"/>
        <c:baseTimeUnit val="years"/>
      </c:dateAx>
      <c:valAx>
        <c:axId val="297173984"/>
        <c:scaling>
          <c:orientation val="minMax"/>
          <c:min val="2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7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Profit</a:t>
            </a:r>
            <a:r>
              <a:rPr lang="en-IN" b="1" baseline="0">
                <a:solidFill>
                  <a:schemeClr val="bg2">
                    <a:lumMod val="10000"/>
                  </a:schemeClr>
                </a:solidFill>
              </a:rPr>
              <a:t> before tax</a:t>
            </a:r>
            <a:endParaRPr lang="en-IN" b="1">
              <a:solidFill>
                <a:schemeClr val="bg2">
                  <a:lumMod val="10000"/>
                </a:schemeClr>
              </a:solidFill>
            </a:endParaRPr>
          </a:p>
        </c:rich>
      </c:tx>
      <c:layout>
        <c:manualLayout>
          <c:xMode val="edge"/>
          <c:yMode val="edge"/>
          <c:x val="3.493744531933511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projection'!$AB$65</c:f>
              <c:strCache>
                <c:ptCount val="1"/>
                <c:pt idx="0">
                  <c:v>PBT_cagr_scr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projection'!$AC$64:$AG$64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projection'!$AC$65:$AG$65</c:f>
              <c:numCache>
                <c:formatCode>0.0000</c:formatCode>
                <c:ptCount val="5"/>
                <c:pt idx="0">
                  <c:v>15203.843452909592</c:v>
                </c:pt>
                <c:pt idx="1">
                  <c:v>16598.941242322409</c:v>
                </c:pt>
                <c:pt idx="2">
                  <c:v>18122.052573051456</c:v>
                </c:pt>
                <c:pt idx="3">
                  <c:v>19784.923909670531</c:v>
                </c:pt>
                <c:pt idx="4">
                  <c:v>21600.379567022745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4-44F5-B89B-D212648B37F9}"/>
            </c:ext>
          </c:extLst>
        </c:ser>
        <c:ser>
          <c:idx val="1"/>
          <c:order val="1"/>
          <c:tx>
            <c:strRef>
              <c:f>'Revenue projection'!$AB$66</c:f>
              <c:strCache>
                <c:ptCount val="1"/>
                <c:pt idx="0">
                  <c:v>PBT_forecast_scr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projection'!$AC$64:$AG$64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projection'!$AC$66:$AG$66</c:f>
              <c:numCache>
                <c:formatCode>0.0000</c:formatCode>
                <c:ptCount val="5"/>
                <c:pt idx="0">
                  <c:v>14830.991510839356</c:v>
                </c:pt>
                <c:pt idx="1">
                  <c:v>15782.70662544802</c:v>
                </c:pt>
                <c:pt idx="2">
                  <c:v>16734.421740056685</c:v>
                </c:pt>
                <c:pt idx="3">
                  <c:v>17686.35057914651</c:v>
                </c:pt>
                <c:pt idx="4">
                  <c:v>18637.851969274012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4-44F5-B89B-D212648B37F9}"/>
            </c:ext>
          </c:extLst>
        </c:ser>
        <c:ser>
          <c:idx val="2"/>
          <c:order val="2"/>
          <c:tx>
            <c:strRef>
              <c:f>'Revenue projection'!$AB$67</c:f>
              <c:strCache>
                <c:ptCount val="1"/>
                <c:pt idx="0">
                  <c:v>PBT_CAGR_FS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projection'!$AC$64:$AG$64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projection'!$AC$67:$AG$67</c:f>
              <c:numCache>
                <c:formatCode>#,##0</c:formatCode>
                <c:ptCount val="5"/>
                <c:pt idx="0">
                  <c:v>15113.638577432763</c:v>
                </c:pt>
                <c:pt idx="1">
                  <c:v>16824.907411363238</c:v>
                </c:pt>
                <c:pt idx="2">
                  <c:v>18425.121466890178</c:v>
                </c:pt>
                <c:pt idx="3">
                  <c:v>20318.325259526187</c:v>
                </c:pt>
                <c:pt idx="4">
                  <c:v>22153.310372014857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A4-44F5-B89B-D212648B37F9}"/>
            </c:ext>
          </c:extLst>
        </c:ser>
        <c:ser>
          <c:idx val="3"/>
          <c:order val="3"/>
          <c:tx>
            <c:strRef>
              <c:f>'Revenue projection'!$AB$68</c:f>
              <c:strCache>
                <c:ptCount val="1"/>
                <c:pt idx="0">
                  <c:v>PBT_forecast_FS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projection'!$AC$64:$AG$64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projection'!$AC$68:$AG$68</c:f>
              <c:numCache>
                <c:formatCode>#,##0</c:formatCode>
                <c:ptCount val="5"/>
                <c:pt idx="0">
                  <c:v>15057.174326877861</c:v>
                </c:pt>
                <c:pt idx="1">
                  <c:v>15907.548797052024</c:v>
                </c:pt>
                <c:pt idx="2">
                  <c:v>16629.441567061192</c:v>
                </c:pt>
                <c:pt idx="3">
                  <c:v>17484.578996103603</c:v>
                </c:pt>
                <c:pt idx="4">
                  <c:v>18334.758569524995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A4-44F5-B89B-D212648B3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75472"/>
        <c:axId val="248177392"/>
      </c:lineChart>
      <c:dateAx>
        <c:axId val="2481754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77392"/>
        <c:crosses val="autoZero"/>
        <c:auto val="1"/>
        <c:lblOffset val="100"/>
        <c:baseTimeUnit val="years"/>
      </c:dateAx>
      <c:valAx>
        <c:axId val="248177392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7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Profit</a:t>
            </a:r>
            <a:r>
              <a:rPr lang="en-IN" b="1" baseline="0">
                <a:solidFill>
                  <a:schemeClr val="bg2">
                    <a:lumMod val="10000"/>
                  </a:schemeClr>
                </a:solidFill>
              </a:rPr>
              <a:t> after tax</a:t>
            </a:r>
            <a:endParaRPr lang="en-IN" b="1">
              <a:solidFill>
                <a:schemeClr val="bg2">
                  <a:lumMod val="10000"/>
                </a:schemeClr>
              </a:solidFill>
            </a:endParaRPr>
          </a:p>
        </c:rich>
      </c:tx>
      <c:layout>
        <c:manualLayout>
          <c:xMode val="edge"/>
          <c:yMode val="edge"/>
          <c:x val="3.7854111986001727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projection'!$AB$74</c:f>
              <c:strCache>
                <c:ptCount val="1"/>
                <c:pt idx="0">
                  <c:v>PAT_cagr_scr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projection'!$AC$73:$AG$73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projection'!$AC$74:$AG$74</c:f>
              <c:numCache>
                <c:formatCode>0.00</c:formatCode>
                <c:ptCount val="5"/>
                <c:pt idx="0">
                  <c:v>11303.366802833858</c:v>
                </c:pt>
                <c:pt idx="1">
                  <c:v>12432.237139185219</c:v>
                </c:pt>
                <c:pt idx="2">
                  <c:v>13673.848065001885</c:v>
                </c:pt>
                <c:pt idx="3">
                  <c:v>15039.459013811062</c:v>
                </c:pt>
                <c:pt idx="4">
                  <c:v>16541.453901848046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6-48E3-A37B-18690509C04A}"/>
            </c:ext>
          </c:extLst>
        </c:ser>
        <c:ser>
          <c:idx val="1"/>
          <c:order val="1"/>
          <c:tx>
            <c:strRef>
              <c:f>'Revenue projection'!$AB$75</c:f>
              <c:strCache>
                <c:ptCount val="1"/>
                <c:pt idx="0">
                  <c:v>PAT_forecast_scr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projection'!$AC$73:$AG$73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projection'!$AC$75:$AG$75</c:f>
              <c:numCache>
                <c:formatCode>0.00</c:formatCode>
                <c:ptCount val="5"/>
                <c:pt idx="0">
                  <c:v>11033.000533906486</c:v>
                </c:pt>
                <c:pt idx="1">
                  <c:v>11796.00586221626</c:v>
                </c:pt>
                <c:pt idx="2">
                  <c:v>12559.011190526031</c:v>
                </c:pt>
                <c:pt idx="3">
                  <c:v>13322.187865192936</c:v>
                </c:pt>
                <c:pt idx="4">
                  <c:v>14085.021847145576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6-48E3-A37B-18690509C04A}"/>
            </c:ext>
          </c:extLst>
        </c:ser>
        <c:ser>
          <c:idx val="2"/>
          <c:order val="2"/>
          <c:tx>
            <c:strRef>
              <c:f>'Revenue projection'!$AB$76</c:f>
              <c:strCache>
                <c:ptCount val="1"/>
                <c:pt idx="0">
                  <c:v>PAT_CAGR_FS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projection'!$AC$73:$AG$73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projection'!$AC$76:$AG$76</c:f>
              <c:numCache>
                <c:formatCode>#,##0</c:formatCode>
                <c:ptCount val="5"/>
                <c:pt idx="0">
                  <c:v>18941.437587482775</c:v>
                </c:pt>
                <c:pt idx="1">
                  <c:v>20936.163896236187</c:v>
                </c:pt>
                <c:pt idx="2">
                  <c:v>22840.826115967095</c:v>
                </c:pt>
                <c:pt idx="3">
                  <c:v>25061.023171860907</c:v>
                </c:pt>
                <c:pt idx="4">
                  <c:v>27247.21616400803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86-48E3-A37B-18690509C04A}"/>
            </c:ext>
          </c:extLst>
        </c:ser>
        <c:ser>
          <c:idx val="3"/>
          <c:order val="3"/>
          <c:tx>
            <c:strRef>
              <c:f>'Revenue projection'!$AB$77</c:f>
              <c:strCache>
                <c:ptCount val="1"/>
                <c:pt idx="0">
                  <c:v>PAT_forecast_FS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'Revenue projection'!$AC$73:$AG$73</c:f>
              <c:numCache>
                <c:formatCode>mmm\-yy</c:formatCode>
                <c:ptCount val="5"/>
                <c:pt idx="0">
                  <c:v>45717</c:v>
                </c:pt>
                <c:pt idx="1">
                  <c:v>46082</c:v>
                </c:pt>
                <c:pt idx="2">
                  <c:v>46447</c:v>
                </c:pt>
                <c:pt idx="3">
                  <c:v>46813</c:v>
                </c:pt>
                <c:pt idx="4">
                  <c:v>47178</c:v>
                </c:pt>
              </c:numCache>
            </c:numRef>
          </c:cat>
          <c:val>
            <c:numRef>
              <c:f>'Revenue projection'!$AC$77:$AG$77</c:f>
              <c:numCache>
                <c:formatCode>#,##0</c:formatCode>
                <c:ptCount val="5"/>
                <c:pt idx="0">
                  <c:v>18586.941704053748</c:v>
                </c:pt>
                <c:pt idx="1">
                  <c:v>19623.369413319855</c:v>
                </c:pt>
                <c:pt idx="2">
                  <c:v>20531.315422420968</c:v>
                </c:pt>
                <c:pt idx="3">
                  <c:v>21572.547872104638</c:v>
                </c:pt>
                <c:pt idx="4">
                  <c:v>22608.738903068661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86-48E3-A37B-18690509C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307776"/>
        <c:axId val="2139306336"/>
      </c:lineChart>
      <c:dateAx>
        <c:axId val="21393077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06336"/>
        <c:crosses val="autoZero"/>
        <c:auto val="1"/>
        <c:lblOffset val="100"/>
        <c:baseTimeUnit val="years"/>
      </c:dateAx>
      <c:valAx>
        <c:axId val="2139306336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0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'Profit &amp; Loss'!$AE$4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'Profit &amp; Loss'!$AF$3:$AO$3</c:f>
              <c:numCache>
                <c:formatCode>[$-409]mmm\-yy;@</c:formatCode>
                <c:ptCount val="10"/>
                <c:pt idx="0">
                  <c:v>42094</c:v>
                </c:pt>
                <c:pt idx="1">
                  <c:v>42460</c:v>
                </c:pt>
                <c:pt idx="2">
                  <c:v>42825</c:v>
                </c:pt>
                <c:pt idx="3">
                  <c:v>43190</c:v>
                </c:pt>
                <c:pt idx="4">
                  <c:v>43555</c:v>
                </c:pt>
                <c:pt idx="5">
                  <c:v>43921</c:v>
                </c:pt>
                <c:pt idx="6">
                  <c:v>44286</c:v>
                </c:pt>
                <c:pt idx="7">
                  <c:v>44651</c:v>
                </c:pt>
                <c:pt idx="8">
                  <c:v>45016</c:v>
                </c:pt>
                <c:pt idx="9">
                  <c:v>45382</c:v>
                </c:pt>
              </c:numCache>
            </c:numRef>
          </c:cat>
          <c:val>
            <c:numRef>
              <c:f>'Profit &amp; Loss'!$AF$4:$AO$4</c:f>
              <c:numCache>
                <c:formatCode>General</c:formatCode>
                <c:ptCount val="10"/>
                <c:pt idx="0">
                  <c:v>100</c:v>
                </c:pt>
                <c:pt idx="1">
                  <c:v>100.66873742461809</c:v>
                </c:pt>
                <c:pt idx="2">
                  <c:v>103.72139037081915</c:v>
                </c:pt>
                <c:pt idx="3">
                  <c:v>111.17474279991455</c:v>
                </c:pt>
                <c:pt idx="4">
                  <c:v>122.95060175733974</c:v>
                </c:pt>
                <c:pt idx="5">
                  <c:v>124.43001245770152</c:v>
                </c:pt>
                <c:pt idx="6">
                  <c:v>147.09033069051574</c:v>
                </c:pt>
                <c:pt idx="7">
                  <c:v>164.0363078037507</c:v>
                </c:pt>
                <c:pt idx="8">
                  <c:v>189.47716750088125</c:v>
                </c:pt>
                <c:pt idx="9">
                  <c:v>193.59324462916055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1-45A1-A5EB-101DD2470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340623"/>
        <c:axId val="1562340143"/>
      </c:lineChart>
      <c:dateAx>
        <c:axId val="156234062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340143"/>
        <c:crosses val="autoZero"/>
        <c:auto val="1"/>
        <c:lblOffset val="100"/>
        <c:baseTimeUnit val="years"/>
      </c:dateAx>
      <c:valAx>
        <c:axId val="15623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3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7620</xdr:colOff>
      <xdr:row>0</xdr:row>
      <xdr:rowOff>167640</xdr:rowOff>
    </xdr:from>
    <xdr:to>
      <xdr:col>40</xdr:col>
      <xdr:colOff>472440</xdr:colOff>
      <xdr:row>13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E0F625-3966-4DDE-A0F8-2DE2D4952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15240</xdr:colOff>
      <xdr:row>29</xdr:row>
      <xdr:rowOff>72390</xdr:rowOff>
    </xdr:from>
    <xdr:to>
      <xdr:col>40</xdr:col>
      <xdr:colOff>563880</xdr:colOff>
      <xdr:row>42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8E4F6B-D5DF-0508-D7DF-4161BD279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7620</xdr:colOff>
      <xdr:row>13</xdr:row>
      <xdr:rowOff>148590</xdr:rowOff>
    </xdr:from>
    <xdr:to>
      <xdr:col>40</xdr:col>
      <xdr:colOff>510540</xdr:colOff>
      <xdr:row>27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8E930F-029A-76E7-6CCB-C8D56CB62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0</xdr:colOff>
      <xdr:row>1</xdr:row>
      <xdr:rowOff>0</xdr:rowOff>
    </xdr:from>
    <xdr:to>
      <xdr:col>50</xdr:col>
      <xdr:colOff>251460</xdr:colOff>
      <xdr:row>15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81B623-5654-4AE6-979A-ABFC8E472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45720</xdr:colOff>
      <xdr:row>43</xdr:row>
      <xdr:rowOff>148590</xdr:rowOff>
    </xdr:from>
    <xdr:to>
      <xdr:col>40</xdr:col>
      <xdr:colOff>563880</xdr:colOff>
      <xdr:row>56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D80641-0ED9-DD32-243F-CA18EB6FD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53340</xdr:colOff>
      <xdr:row>58</xdr:row>
      <xdr:rowOff>19050</xdr:rowOff>
    </xdr:from>
    <xdr:to>
      <xdr:col>40</xdr:col>
      <xdr:colOff>579120</xdr:colOff>
      <xdr:row>73</xdr:row>
      <xdr:rowOff>3810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EF8E49-5019-2EE6-477A-3589F8339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22860</xdr:colOff>
      <xdr:row>79</xdr:row>
      <xdr:rowOff>163830</xdr:rowOff>
    </xdr:from>
    <xdr:to>
      <xdr:col>32</xdr:col>
      <xdr:colOff>274320</xdr:colOff>
      <xdr:row>94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AED06BA-9BA8-A8F5-63FC-6772B5E88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0</xdr:colOff>
      <xdr:row>80</xdr:row>
      <xdr:rowOff>0</xdr:rowOff>
    </xdr:from>
    <xdr:to>
      <xdr:col>40</xdr:col>
      <xdr:colOff>342900</xdr:colOff>
      <xdr:row>94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0B3C96D-13DA-430F-85A7-FE4F52A3D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13</xdr:row>
      <xdr:rowOff>0</xdr:rowOff>
    </xdr:from>
    <xdr:to>
      <xdr:col>44</xdr:col>
      <xdr:colOff>336550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5183A-03AC-4044-A96A-65AD75763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02D0-DFD3-4780-99AE-767CA8D1E78C}">
  <dimension ref="B2:AK86"/>
  <sheetViews>
    <sheetView tabSelected="1" workbookViewId="0">
      <selection activeCell="B2" sqref="B2"/>
    </sheetView>
  </sheetViews>
  <sheetFormatPr defaultRowHeight="14.4" x14ac:dyDescent="0.3"/>
  <cols>
    <col min="1" max="1" width="4.44140625" customWidth="1"/>
    <col min="2" max="2" width="22" customWidth="1"/>
    <col min="3" max="3" width="10.44140625" customWidth="1"/>
    <col min="4" max="4" width="12.44140625" customWidth="1"/>
    <col min="5" max="5" width="12.5546875" customWidth="1"/>
    <col min="6" max="6" width="12.33203125" customWidth="1"/>
    <col min="7" max="7" width="12.5546875" customWidth="1"/>
    <col min="8" max="8" width="14.33203125" customWidth="1"/>
    <col min="9" max="9" width="14.77734375" customWidth="1"/>
    <col min="10" max="10" width="12.6640625" customWidth="1"/>
    <col min="11" max="11" width="11.21875" customWidth="1"/>
    <col min="12" max="12" width="11.44140625" customWidth="1"/>
    <col min="13" max="13" width="9.33203125" bestFit="1" customWidth="1"/>
    <col min="14" max="14" width="22.21875" bestFit="1" customWidth="1"/>
    <col min="19" max="19" width="12.33203125" customWidth="1"/>
    <col min="20" max="20" width="4.109375" customWidth="1"/>
    <col min="27" max="27" width="6.33203125" customWidth="1"/>
    <col min="28" max="28" width="17.6640625" customWidth="1"/>
    <col min="29" max="29" width="12.109375" bestFit="1" customWidth="1"/>
    <col min="30" max="31" width="10.5546875" bestFit="1" customWidth="1"/>
    <col min="32" max="33" width="12.109375" bestFit="1" customWidth="1"/>
    <col min="34" max="34" width="5.88671875" customWidth="1"/>
    <col min="35" max="35" width="11" bestFit="1" customWidth="1"/>
    <col min="36" max="37" width="12" bestFit="1" customWidth="1"/>
  </cols>
  <sheetData>
    <row r="2" spans="2:37" x14ac:dyDescent="0.3">
      <c r="B2" s="67" t="s">
        <v>106</v>
      </c>
    </row>
    <row r="3" spans="2:37" ht="15" thickBot="1" x14ac:dyDescent="0.35">
      <c r="B3" s="40" t="s">
        <v>107</v>
      </c>
      <c r="O3" s="107" t="s">
        <v>188</v>
      </c>
      <c r="P3" s="107"/>
      <c r="Q3" s="107"/>
      <c r="R3" s="107"/>
      <c r="S3" s="107"/>
      <c r="U3" s="107" t="s">
        <v>105</v>
      </c>
      <c r="V3" s="107"/>
      <c r="W3" s="107"/>
      <c r="X3" s="107"/>
      <c r="Y3" s="107"/>
      <c r="AB3" s="33" t="s">
        <v>172</v>
      </c>
    </row>
    <row r="4" spans="2:37" ht="15.6" thickTop="1" thickBot="1" x14ac:dyDescent="0.35">
      <c r="B4" s="47"/>
      <c r="C4" s="48">
        <v>42094</v>
      </c>
      <c r="D4" s="48">
        <v>42460</v>
      </c>
      <c r="E4" s="48">
        <v>42825</v>
      </c>
      <c r="F4" s="48">
        <v>43190</v>
      </c>
      <c r="G4" s="48">
        <v>43555</v>
      </c>
      <c r="H4" s="48">
        <v>43921</v>
      </c>
      <c r="I4" s="48">
        <v>44286</v>
      </c>
      <c r="J4" s="48">
        <v>44651</v>
      </c>
      <c r="K4" s="48">
        <v>45016</v>
      </c>
      <c r="L4" s="49">
        <v>45382</v>
      </c>
      <c r="M4" s="46" t="s">
        <v>100</v>
      </c>
      <c r="O4" s="44">
        <v>45717</v>
      </c>
      <c r="P4" s="44">
        <v>46082</v>
      </c>
      <c r="Q4" s="44">
        <v>46447</v>
      </c>
      <c r="R4" s="44">
        <v>46813</v>
      </c>
      <c r="S4" s="44">
        <v>47178</v>
      </c>
      <c r="T4" s="34"/>
      <c r="U4" s="44">
        <v>45717</v>
      </c>
      <c r="V4" s="44">
        <v>46082</v>
      </c>
      <c r="W4" s="44">
        <v>46447</v>
      </c>
      <c r="X4" s="44">
        <v>46813</v>
      </c>
      <c r="Y4" s="44">
        <v>47178</v>
      </c>
      <c r="AB4" s="40" t="s">
        <v>192</v>
      </c>
      <c r="AD4" s="34"/>
    </row>
    <row r="5" spans="2:37" x14ac:dyDescent="0.3">
      <c r="B5" s="50" t="s">
        <v>112</v>
      </c>
      <c r="C5" s="51"/>
      <c r="D5" s="52"/>
      <c r="E5" s="52"/>
      <c r="F5" s="52"/>
      <c r="G5" s="52"/>
      <c r="H5" s="52"/>
      <c r="I5" s="52"/>
      <c r="J5" s="52"/>
      <c r="K5" s="52"/>
      <c r="L5" s="53"/>
      <c r="M5" s="63"/>
      <c r="N5" s="39" t="s">
        <v>112</v>
      </c>
      <c r="AA5" t="s">
        <v>174</v>
      </c>
      <c r="AB5" s="119" t="s">
        <v>131</v>
      </c>
      <c r="AC5" s="111">
        <v>45717</v>
      </c>
      <c r="AD5" s="111">
        <v>46082</v>
      </c>
      <c r="AE5" s="111">
        <v>46447</v>
      </c>
      <c r="AF5" s="111">
        <v>46813</v>
      </c>
      <c r="AG5" s="118">
        <v>47178</v>
      </c>
      <c r="AH5" t="s">
        <v>173</v>
      </c>
    </row>
    <row r="6" spans="2:37" x14ac:dyDescent="0.3">
      <c r="B6" s="54" t="s">
        <v>108</v>
      </c>
      <c r="C6" s="55">
        <v>14876</v>
      </c>
      <c r="D6" s="56">
        <v>15053</v>
      </c>
      <c r="E6" s="57">
        <v>11346</v>
      </c>
      <c r="F6" s="56">
        <v>11626</v>
      </c>
      <c r="G6" s="56">
        <v>12874</v>
      </c>
      <c r="H6" s="58">
        <v>13642</v>
      </c>
      <c r="I6" s="58">
        <v>13959</v>
      </c>
      <c r="J6" s="58">
        <v>16578</v>
      </c>
      <c r="K6" s="58">
        <v>21230</v>
      </c>
      <c r="L6" s="59">
        <v>21900</v>
      </c>
      <c r="M6" s="42">
        <f>(L6/C6)^(1/9)-1</f>
        <v>4.3907442554565357E-2</v>
      </c>
      <c r="N6" s="38" t="s">
        <v>108</v>
      </c>
      <c r="O6">
        <f>L6*(1+M6)</f>
        <v>22861.57299194498</v>
      </c>
      <c r="P6">
        <f>O6*(1+$M6)</f>
        <v>23865.366194795806</v>
      </c>
      <c r="Q6">
        <f t="shared" ref="Q6:S6" si="0">P6*(1+$M6)</f>
        <v>24913.233390037469</v>
      </c>
      <c r="R6">
        <f t="shared" si="0"/>
        <v>26007.109753959019</v>
      </c>
      <c r="S6">
        <f t="shared" si="0"/>
        <v>27149.015431491251</v>
      </c>
      <c r="U6" cm="1">
        <f t="array" ref="U6:Y6">_xlfn.FORECAST.ETS($U$4:$Y$4,C6:L6,$C$4:$L$4,1,0,1)</f>
        <v>22658.447918585709</v>
      </c>
      <c r="V6">
        <v>23508.561024979532</v>
      </c>
      <c r="W6">
        <v>24358.674131373351</v>
      </c>
      <c r="X6">
        <v>25208.978145718309</v>
      </c>
      <c r="Y6">
        <v>26058.900344160993</v>
      </c>
      <c r="AB6" s="112" t="s">
        <v>134</v>
      </c>
      <c r="AC6" s="113">
        <v>66609.975296574165</v>
      </c>
      <c r="AD6" s="113">
        <v>71682.965119074259</v>
      </c>
      <c r="AE6" s="113">
        <v>77142.311874220046</v>
      </c>
      <c r="AF6" s="113">
        <v>83017.440355797095</v>
      </c>
      <c r="AG6" s="114">
        <v>89340.016338446163</v>
      </c>
      <c r="AH6" s="34"/>
      <c r="AI6" s="34"/>
      <c r="AJ6" s="34"/>
      <c r="AK6" s="34"/>
    </row>
    <row r="7" spans="2:37" x14ac:dyDescent="0.3">
      <c r="B7" s="60" t="s">
        <v>109</v>
      </c>
      <c r="C7" s="61">
        <v>9100</v>
      </c>
      <c r="D7" s="58">
        <v>9771</v>
      </c>
      <c r="E7" s="58">
        <v>16432</v>
      </c>
      <c r="F7" s="58">
        <v>16588</v>
      </c>
      <c r="G7" s="58">
        <v>17800</v>
      </c>
      <c r="H7" s="58">
        <v>17345</v>
      </c>
      <c r="I7" s="58">
        <v>17964</v>
      </c>
      <c r="J7" s="58">
        <v>19460</v>
      </c>
      <c r="K7" s="58">
        <v>21831</v>
      </c>
      <c r="L7" s="59">
        <v>22165</v>
      </c>
      <c r="M7" s="42">
        <f t="shared" ref="M7:M9" si="1">(L7/C7)^(1/9)-1</f>
        <v>0.10397307793648825</v>
      </c>
      <c r="N7" s="36" t="s">
        <v>109</v>
      </c>
      <c r="O7">
        <f>L7*(1+M7)</f>
        <v>24469.563272462263</v>
      </c>
      <c r="P7">
        <f t="shared" ref="P7:S7" si="2">O7*(1+$M7)</f>
        <v>27013.739081661814</v>
      </c>
      <c r="Q7">
        <f t="shared" si="2"/>
        <v>29822.440680555395</v>
      </c>
      <c r="R7">
        <f t="shared" si="2"/>
        <v>32923.171629691082</v>
      </c>
      <c r="S7">
        <f t="shared" si="2"/>
        <v>36346.295119461334</v>
      </c>
      <c r="U7" cm="1">
        <f t="array" ref="U7:Y7">_xlfn.FORECAST.ETS($U$4:$Y$4,C7:L7,$C$4:$L$4,1,0,1)</f>
        <v>23715.928308458835</v>
      </c>
      <c r="V7">
        <v>25056.842497610211</v>
      </c>
      <c r="W7">
        <v>26397.756686761582</v>
      </c>
      <c r="X7">
        <v>27738.972001937917</v>
      </c>
      <c r="Y7">
        <v>29079.585065064326</v>
      </c>
      <c r="AB7" s="112" t="s">
        <v>132</v>
      </c>
      <c r="AC7" s="113">
        <v>65412.031946040341</v>
      </c>
      <c r="AD7" s="113">
        <v>69042.028320564103</v>
      </c>
      <c r="AE7" s="113">
        <v>72672.02469508785</v>
      </c>
      <c r="AF7" s="113">
        <v>76302.836249574451</v>
      </c>
      <c r="AG7" s="114">
        <v>79932.017444135359</v>
      </c>
    </row>
    <row r="8" spans="2:37" x14ac:dyDescent="0.3">
      <c r="B8" s="54" t="s">
        <v>110</v>
      </c>
      <c r="C8" s="55">
        <v>5522</v>
      </c>
      <c r="D8" s="58">
        <v>5997</v>
      </c>
      <c r="E8" s="58">
        <v>5972</v>
      </c>
      <c r="F8" s="58">
        <v>6476</v>
      </c>
      <c r="G8" s="58">
        <v>7131</v>
      </c>
      <c r="H8" s="58">
        <v>7450</v>
      </c>
      <c r="I8" s="58">
        <v>13204</v>
      </c>
      <c r="J8" s="58">
        <v>14105</v>
      </c>
      <c r="K8" s="58">
        <v>14876</v>
      </c>
      <c r="L8" s="59">
        <v>15292</v>
      </c>
      <c r="M8" s="42">
        <f t="shared" si="1"/>
        <v>0.11982971502536222</v>
      </c>
      <c r="N8" s="38" t="s">
        <v>110</v>
      </c>
      <c r="O8">
        <f t="shared" ref="O8:O9" si="3">L8*(1+M8)</f>
        <v>17124.43600216784</v>
      </c>
      <c r="P8">
        <f t="shared" ref="P8:S8" si="4">O8*(1+$M8)</f>
        <v>19176.452288277666</v>
      </c>
      <c r="Q8">
        <f t="shared" si="4"/>
        <v>21474.361101179435</v>
      </c>
      <c r="R8">
        <f t="shared" si="4"/>
        <v>24047.627672285489</v>
      </c>
      <c r="S8">
        <f t="shared" si="4"/>
        <v>26929.248043291474</v>
      </c>
      <c r="U8" cm="1">
        <f t="array" ref="U8:Y8">_xlfn.FORECAST.ETS($U$4:$Y$4,C8:L8,$C$4:$L$4,1,0,1)</f>
        <v>16556.77057594313</v>
      </c>
      <c r="V8">
        <v>17835.252047653252</v>
      </c>
      <c r="W8">
        <v>19113.733519363373</v>
      </c>
      <c r="X8">
        <v>20392.50209672625</v>
      </c>
      <c r="Y8">
        <v>21670.696462783617</v>
      </c>
      <c r="AB8" s="112" t="s">
        <v>133</v>
      </c>
      <c r="AC8" s="113">
        <f>O10</f>
        <v>65476.847890906327</v>
      </c>
      <c r="AD8" s="113">
        <f>P10</f>
        <v>70993.510712984542</v>
      </c>
      <c r="AE8" s="113">
        <f>Q10</f>
        <v>77071.463847196501</v>
      </c>
      <c r="AF8" s="113">
        <f>R10</f>
        <v>83769.056635351692</v>
      </c>
      <c r="AG8" s="114">
        <f>S10</f>
        <v>91151.159078152632</v>
      </c>
    </row>
    <row r="9" spans="2:37" ht="15" thickBot="1" x14ac:dyDescent="0.35">
      <c r="B9" s="60" t="s">
        <v>111</v>
      </c>
      <c r="C9" s="85">
        <v>2392</v>
      </c>
      <c r="D9" s="86">
        <v>2332</v>
      </c>
      <c r="E9" s="86">
        <v>1960</v>
      </c>
      <c r="F9" s="86">
        <v>1533</v>
      </c>
      <c r="G9" s="86">
        <v>1505</v>
      </c>
      <c r="H9" s="86">
        <v>348</v>
      </c>
      <c r="I9" s="86">
        <v>869</v>
      </c>
      <c r="J9" s="86">
        <v>1050</v>
      </c>
      <c r="K9" s="86">
        <v>1207</v>
      </c>
      <c r="L9" s="87">
        <v>1112</v>
      </c>
      <c r="M9" s="42">
        <f t="shared" si="1"/>
        <v>-8.1586668766865489E-2</v>
      </c>
      <c r="N9" s="36" t="s">
        <v>111</v>
      </c>
      <c r="O9">
        <f t="shared" si="3"/>
        <v>1021.2756243312456</v>
      </c>
      <c r="P9">
        <f t="shared" ref="P9:S9" si="5">O9*(1+$M9)</f>
        <v>937.95314824925845</v>
      </c>
      <c r="Q9">
        <f t="shared" si="5"/>
        <v>861.42867542420754</v>
      </c>
      <c r="R9">
        <f t="shared" si="5"/>
        <v>791.14757941609309</v>
      </c>
      <c r="S9">
        <f t="shared" si="5"/>
        <v>726.60048390856491</v>
      </c>
      <c r="U9" cm="1">
        <f t="array" ref="U9:Y9">_xlfn.FORECAST.ETS($U$4:$Y$4,C9:L9,$C$4:$L$4,1,0,1)</f>
        <v>916.95302642780348</v>
      </c>
      <c r="V9">
        <v>752.95570088813304</v>
      </c>
      <c r="W9">
        <v>588.95837534846316</v>
      </c>
      <c r="X9">
        <v>424.92422130541524</v>
      </c>
      <c r="Y9">
        <v>260.96372426912285</v>
      </c>
      <c r="AB9" s="115" t="s">
        <v>135</v>
      </c>
      <c r="AC9" s="116">
        <f>U10</f>
        <v>63848.099829415471</v>
      </c>
      <c r="AD9" s="116">
        <f>V10</f>
        <v>67153.611271131129</v>
      </c>
      <c r="AE9" s="116">
        <f>W10</f>
        <v>70459.122712846773</v>
      </c>
      <c r="AF9" s="116">
        <f>X10</f>
        <v>73765.376465687892</v>
      </c>
      <c r="AG9" s="117">
        <f>Y10</f>
        <v>77070.14559627806</v>
      </c>
    </row>
    <row r="10" spans="2:37" ht="15" thickBot="1" x14ac:dyDescent="0.35">
      <c r="B10" s="62" t="s">
        <v>26</v>
      </c>
      <c r="C10" s="88">
        <f>SUM(C6:C9)</f>
        <v>31890</v>
      </c>
      <c r="D10" s="88">
        <f t="shared" ref="D10:L10" si="6">SUM(D6:D9)</f>
        <v>33153</v>
      </c>
      <c r="E10" s="88">
        <f t="shared" si="6"/>
        <v>35710</v>
      </c>
      <c r="F10" s="88">
        <f t="shared" si="6"/>
        <v>36223</v>
      </c>
      <c r="G10" s="88">
        <f t="shared" si="6"/>
        <v>39310</v>
      </c>
      <c r="H10" s="88">
        <f t="shared" si="6"/>
        <v>38785</v>
      </c>
      <c r="I10" s="88">
        <f t="shared" si="6"/>
        <v>45996</v>
      </c>
      <c r="J10" s="88">
        <f t="shared" si="6"/>
        <v>51193</v>
      </c>
      <c r="K10" s="88">
        <f t="shared" si="6"/>
        <v>59144</v>
      </c>
      <c r="L10" s="89">
        <f t="shared" si="6"/>
        <v>60469</v>
      </c>
      <c r="M10" s="43"/>
      <c r="N10" s="91" t="s">
        <v>210</v>
      </c>
      <c r="O10" s="45">
        <f>SUM(O6:O9)</f>
        <v>65476.847890906327</v>
      </c>
      <c r="P10" s="45">
        <f>SUM(P6:P9)</f>
        <v>70993.510712984542</v>
      </c>
      <c r="Q10" s="45">
        <f>SUM(Q6:Q9)</f>
        <v>77071.463847196501</v>
      </c>
      <c r="R10" s="45">
        <f>SUM(R6:R9)</f>
        <v>83769.056635351692</v>
      </c>
      <c r="S10" s="45">
        <f>SUM(S6:S9)</f>
        <v>91151.159078152632</v>
      </c>
      <c r="T10" s="45"/>
      <c r="U10" s="45">
        <f>SUM(U6:U9)</f>
        <v>63848.099829415471</v>
      </c>
      <c r="V10" s="45">
        <f>SUM(V6:V9)</f>
        <v>67153.611271131129</v>
      </c>
      <c r="W10" s="45">
        <f>SUM(W6:W9)</f>
        <v>70459.122712846773</v>
      </c>
      <c r="X10" s="45">
        <f>SUM(X6:X9)</f>
        <v>73765.376465687892</v>
      </c>
      <c r="Y10" s="45">
        <f>SUM(Y6:Y9)</f>
        <v>77070.14559627806</v>
      </c>
    </row>
    <row r="11" spans="2:37" ht="15.6" thickTop="1" thickBot="1" x14ac:dyDescent="0.35">
      <c r="B11" s="91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3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C11" s="81"/>
      <c r="AD11" s="81"/>
      <c r="AE11" s="81"/>
      <c r="AF11" s="81"/>
      <c r="AG11" s="81"/>
    </row>
    <row r="12" spans="2:37" ht="15.6" thickTop="1" thickBot="1" x14ac:dyDescent="0.35">
      <c r="B12" s="146" t="s">
        <v>9</v>
      </c>
      <c r="C12" s="48">
        <v>42094</v>
      </c>
      <c r="D12" s="48">
        <v>42460</v>
      </c>
      <c r="E12" s="48">
        <v>42825</v>
      </c>
      <c r="F12" s="48">
        <v>43190</v>
      </c>
      <c r="G12" s="48">
        <v>43555</v>
      </c>
      <c r="H12" s="48">
        <v>43921</v>
      </c>
      <c r="I12" s="48">
        <v>44286</v>
      </c>
      <c r="J12" s="48">
        <v>44651</v>
      </c>
      <c r="K12" s="48">
        <v>45016</v>
      </c>
      <c r="L12" s="49">
        <v>45382</v>
      </c>
      <c r="M12" s="43"/>
      <c r="N12" s="41"/>
      <c r="O12" s="92">
        <v>45717</v>
      </c>
      <c r="P12" s="93">
        <v>46082</v>
      </c>
      <c r="Q12" s="93">
        <v>46447</v>
      </c>
      <c r="R12" s="93">
        <v>46813</v>
      </c>
      <c r="S12" s="93">
        <v>47178</v>
      </c>
      <c r="T12" s="95"/>
      <c r="U12" s="93">
        <v>45717</v>
      </c>
      <c r="V12" s="93">
        <v>46082</v>
      </c>
      <c r="W12" s="93">
        <v>46447</v>
      </c>
      <c r="X12" s="93">
        <v>46813</v>
      </c>
      <c r="Y12" s="94">
        <v>47178</v>
      </c>
    </row>
    <row r="13" spans="2:37" x14ac:dyDescent="0.3">
      <c r="B13" s="69" t="s">
        <v>161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43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37" x14ac:dyDescent="0.3">
      <c r="B14" s="54" t="s">
        <v>162</v>
      </c>
      <c r="C14" s="55">
        <v>168</v>
      </c>
      <c r="D14" s="147">
        <v>204.9</v>
      </c>
      <c r="E14" s="55">
        <v>173</v>
      </c>
      <c r="F14" s="55">
        <v>130</v>
      </c>
      <c r="G14" s="55">
        <v>236</v>
      </c>
      <c r="H14" s="55">
        <v>284</v>
      </c>
      <c r="I14" s="55">
        <v>213</v>
      </c>
      <c r="J14" s="55">
        <v>95</v>
      </c>
      <c r="K14" s="55">
        <v>162</v>
      </c>
      <c r="L14" s="148">
        <v>438</v>
      </c>
      <c r="M14" s="66">
        <f>(L14/C14)^(1/9)-1</f>
        <v>0.112347636927423</v>
      </c>
      <c r="N14" s="41"/>
      <c r="O14">
        <f>L14*(1+M14)</f>
        <v>487.20826497421126</v>
      </c>
      <c r="P14">
        <f>O14*(1+$M14)</f>
        <v>541.9449622355736</v>
      </c>
      <c r="Q14">
        <f t="shared" ref="Q14:S14" si="7">P14*(1+$M14)</f>
        <v>602.83119808746176</v>
      </c>
      <c r="R14">
        <f t="shared" si="7"/>
        <v>670.5578586587153</v>
      </c>
      <c r="S14">
        <f t="shared" si="7"/>
        <v>745.8934495021349</v>
      </c>
      <c r="T14" s="2"/>
      <c r="U14" cm="1">
        <f t="array" ref="U14:Y14">_xlfn.FORECAST.ETS($U$12:$Y$12,C14:L14,$C$12:$L$12,1,0,1)</f>
        <v>289.45496845327943</v>
      </c>
      <c r="V14">
        <v>301.66939539559326</v>
      </c>
      <c r="W14">
        <v>313.88382233790713</v>
      </c>
      <c r="X14">
        <v>326.1009922460737</v>
      </c>
      <c r="Y14">
        <v>338.31267622253472</v>
      </c>
    </row>
    <row r="15" spans="2:37" ht="15" thickBot="1" x14ac:dyDescent="0.35">
      <c r="B15" s="54" t="s">
        <v>163</v>
      </c>
      <c r="C15" s="55">
        <v>0</v>
      </c>
      <c r="D15" s="55">
        <v>0</v>
      </c>
      <c r="E15" s="55">
        <v>74</v>
      </c>
      <c r="F15" s="55">
        <v>122</v>
      </c>
      <c r="G15" s="55">
        <v>70</v>
      </c>
      <c r="H15" s="55">
        <v>39</v>
      </c>
      <c r="I15" s="55">
        <v>6</v>
      </c>
      <c r="J15" s="55">
        <v>80</v>
      </c>
      <c r="K15" s="55">
        <v>126</v>
      </c>
      <c r="L15" s="148">
        <v>88</v>
      </c>
      <c r="M15" s="66">
        <f>(L15/E15)^(1/9)-1</f>
        <v>1.9438936268951768E-2</v>
      </c>
      <c r="N15" s="41"/>
      <c r="O15">
        <f t="shared" ref="O15:O18" si="8">L15*(1+M15)</f>
        <v>89.710626391667759</v>
      </c>
      <c r="P15">
        <f t="shared" ref="P15:S15" si="9">O15*(1+$M15)</f>
        <v>91.454505540743128</v>
      </c>
      <c r="Q15">
        <f t="shared" si="9"/>
        <v>93.232283845458127</v>
      </c>
      <c r="R15">
        <f t="shared" si="9"/>
        <v>95.044620269338807</v>
      </c>
      <c r="S15">
        <f t="shared" si="9"/>
        <v>96.892186585461204</v>
      </c>
      <c r="T15" s="2"/>
      <c r="U15" cm="1">
        <f t="array" ref="U15:Y15">_xlfn.FORECAST.ETS($U$12:$Y$12,C15:L15,$C$12:$L$12,1,0,1)</f>
        <v>98.136176801815338</v>
      </c>
      <c r="V15">
        <v>106.30586343302048</v>
      </c>
      <c r="W15">
        <v>114.47555006422562</v>
      </c>
      <c r="X15">
        <v>122.64707134322578</v>
      </c>
      <c r="Y15">
        <v>130.81492332663589</v>
      </c>
      <c r="AA15" t="s">
        <v>174</v>
      </c>
      <c r="AB15" s="40" t="s">
        <v>190</v>
      </c>
    </row>
    <row r="16" spans="2:37" ht="15" thickTop="1" x14ac:dyDescent="0.3">
      <c r="B16" s="54" t="s">
        <v>111</v>
      </c>
      <c r="C16" s="55">
        <v>37</v>
      </c>
      <c r="D16" s="55">
        <v>29.07</v>
      </c>
      <c r="E16" s="55">
        <v>15</v>
      </c>
      <c r="F16" s="55">
        <v>14</v>
      </c>
      <c r="G16" s="55">
        <v>75</v>
      </c>
      <c r="H16" s="55">
        <v>169</v>
      </c>
      <c r="I16" s="55">
        <v>131</v>
      </c>
      <c r="J16" s="55">
        <v>32</v>
      </c>
      <c r="K16" s="55">
        <v>137</v>
      </c>
      <c r="L16" s="148">
        <v>25</v>
      </c>
      <c r="M16" s="66">
        <f t="shared" ref="M16:M18" si="10">(L16/C16)^(1/9)-1</f>
        <v>-4.2625112226108652E-2</v>
      </c>
      <c r="N16" s="41"/>
      <c r="O16">
        <f t="shared" si="8"/>
        <v>23.934372194347283</v>
      </c>
      <c r="P16">
        <f t="shared" ref="P16:S16" si="11">O16*(1+$M16)</f>
        <v>22.914166893501775</v>
      </c>
      <c r="Q16">
        <f t="shared" si="11"/>
        <v>21.937447958098478</v>
      </c>
      <c r="R16">
        <f t="shared" si="11"/>
        <v>21.002361776930112</v>
      </c>
      <c r="S16">
        <f t="shared" si="11"/>
        <v>20.10713374917513</v>
      </c>
      <c r="T16" s="2"/>
      <c r="U16" cm="1">
        <f t="array" ref="U16:Y16">_xlfn.FORECAST.ETS($U$12:$Y$12,C16:L16,$C$12:$L$12,1,0,1)</f>
        <v>107.58669342082882</v>
      </c>
      <c r="V16">
        <v>114.69746547703288</v>
      </c>
      <c r="W16">
        <v>121.808237533237</v>
      </c>
      <c r="X16">
        <v>128.92060643921786</v>
      </c>
      <c r="Y16">
        <v>136.02978164564519</v>
      </c>
      <c r="AB16" s="120" t="s">
        <v>131</v>
      </c>
      <c r="AC16" s="121">
        <v>45717</v>
      </c>
      <c r="AD16" s="121">
        <v>46082</v>
      </c>
      <c r="AE16" s="121">
        <v>46447</v>
      </c>
      <c r="AF16" s="121">
        <v>46813</v>
      </c>
      <c r="AG16" s="122">
        <v>47178</v>
      </c>
      <c r="AH16" t="s">
        <v>174</v>
      </c>
    </row>
    <row r="17" spans="2:34" x14ac:dyDescent="0.3">
      <c r="B17" s="54" t="s">
        <v>164</v>
      </c>
      <c r="C17" s="55">
        <v>118.23</v>
      </c>
      <c r="D17" s="55">
        <v>166</v>
      </c>
      <c r="E17" s="55">
        <v>178</v>
      </c>
      <c r="F17" s="55">
        <v>190</v>
      </c>
      <c r="G17" s="55">
        <v>1</v>
      </c>
      <c r="H17" s="55">
        <v>1</v>
      </c>
      <c r="I17" s="55">
        <v>102</v>
      </c>
      <c r="J17" s="55">
        <v>131</v>
      </c>
      <c r="K17" s="55">
        <v>118</v>
      </c>
      <c r="L17" s="148">
        <v>176</v>
      </c>
      <c r="M17" s="66">
        <f t="shared" si="10"/>
        <v>4.5197424535636799E-2</v>
      </c>
      <c r="N17" s="41"/>
      <c r="O17">
        <f t="shared" si="8"/>
        <v>183.95474671827208</v>
      </c>
      <c r="P17">
        <f t="shared" ref="P17:S17" si="12">O17*(1+$M17)</f>
        <v>192.26902750104335</v>
      </c>
      <c r="Q17">
        <f t="shared" si="12"/>
        <v>200.95909236206202</v>
      </c>
      <c r="R17">
        <f t="shared" si="12"/>
        <v>210.04192577384637</v>
      </c>
      <c r="S17">
        <f t="shared" si="12"/>
        <v>219.53527986332961</v>
      </c>
      <c r="T17" s="2"/>
      <c r="U17" cm="1">
        <f t="array" ref="U17:Y17">_xlfn.FORECAST.ETS($U$12:$Y$12,C17:L17,$C$12:$L$12,1,0,1)</f>
        <v>99.900361652926279</v>
      </c>
      <c r="V17">
        <v>98.072455870567268</v>
      </c>
      <c r="W17">
        <v>96.244550088208243</v>
      </c>
      <c r="X17">
        <v>94.416233817238776</v>
      </c>
      <c r="Y17">
        <v>92.588738523490193</v>
      </c>
      <c r="AB17" s="76" t="s">
        <v>179</v>
      </c>
      <c r="AC17" s="123">
        <f>'Profit &amp; Loss'!AQ4</f>
        <v>66609.975296574165</v>
      </c>
      <c r="AD17" s="123">
        <f>'Profit &amp; Loss'!AR4</f>
        <v>71682.965119074259</v>
      </c>
      <c r="AE17" s="123">
        <f>'Profit &amp; Loss'!AS4</f>
        <v>77142.311874220046</v>
      </c>
      <c r="AF17" s="123">
        <f>'Profit &amp; Loss'!AT4</f>
        <v>83017.440355797095</v>
      </c>
      <c r="AG17" s="124">
        <f>'Profit &amp; Loss'!AU4</f>
        <v>89340.016338446163</v>
      </c>
    </row>
    <row r="18" spans="2:34" x14ac:dyDescent="0.3">
      <c r="B18" s="54" t="s">
        <v>165</v>
      </c>
      <c r="C18" s="55">
        <v>294</v>
      </c>
      <c r="D18" s="55">
        <v>100.85</v>
      </c>
      <c r="E18" s="55">
        <v>86</v>
      </c>
      <c r="F18" s="55">
        <v>113</v>
      </c>
      <c r="G18" s="55">
        <v>164</v>
      </c>
      <c r="H18" s="55">
        <v>137</v>
      </c>
      <c r="I18" s="55">
        <v>61</v>
      </c>
      <c r="J18" s="55">
        <v>55</v>
      </c>
      <c r="K18" s="55">
        <v>97</v>
      </c>
      <c r="L18" s="148">
        <v>246</v>
      </c>
      <c r="M18" s="66">
        <f t="shared" si="10"/>
        <v>-1.9610521318858432E-2</v>
      </c>
      <c r="N18" s="41"/>
      <c r="O18">
        <f t="shared" si="8"/>
        <v>241.17581175556083</v>
      </c>
      <c r="P18">
        <f t="shared" ref="P18:R18" si="13">O18*(1+$M18)</f>
        <v>236.4462283575354</v>
      </c>
      <c r="Q18">
        <f t="shared" si="13"/>
        <v>231.80939455556629</v>
      </c>
      <c r="R18">
        <f t="shared" si="13"/>
        <v>227.2634914817227</v>
      </c>
      <c r="S18">
        <f>R18*(1+$M18)</f>
        <v>222.80673593702218</v>
      </c>
      <c r="T18" s="2"/>
      <c r="U18" cm="1">
        <f t="array" ref="U18:Y18">_xlfn.FORECAST.ETS($U$12:$Y$12,C18:L18,$C$12:$L$12,1,0,1)</f>
        <v>225.68440306562505</v>
      </c>
      <c r="V18">
        <v>220.83339955951695</v>
      </c>
      <c r="W18">
        <v>215.98239605340885</v>
      </c>
      <c r="X18">
        <v>211.13030316856592</v>
      </c>
      <c r="Y18">
        <v>206.28038904119265</v>
      </c>
      <c r="AB18" s="76" t="s">
        <v>180</v>
      </c>
      <c r="AC18" s="123">
        <f>'Profit &amp; Loss'!AW4</f>
        <v>65412.031946040341</v>
      </c>
      <c r="AD18" s="123">
        <f>'Profit &amp; Loss'!AX4</f>
        <v>69042.028320564103</v>
      </c>
      <c r="AE18" s="123">
        <f>'Profit &amp; Loss'!AY4</f>
        <v>72672.02469508785</v>
      </c>
      <c r="AF18" s="123">
        <f>'Profit &amp; Loss'!AZ4</f>
        <v>76302.836249574451</v>
      </c>
      <c r="AG18" s="124">
        <f>'Profit &amp; Loss'!BA4</f>
        <v>79932.017444135359</v>
      </c>
    </row>
    <row r="19" spans="2:34" ht="15" thickBot="1" x14ac:dyDescent="0.35">
      <c r="B19" s="149" t="s">
        <v>26</v>
      </c>
      <c r="C19" s="150">
        <f>SUM(C14:C18)</f>
        <v>617.23</v>
      </c>
      <c r="D19" s="150">
        <f t="shared" ref="D19:L19" si="14">SUM(D14:D18)</f>
        <v>500.82000000000005</v>
      </c>
      <c r="E19" s="150">
        <f t="shared" si="14"/>
        <v>526</v>
      </c>
      <c r="F19" s="150">
        <f t="shared" si="14"/>
        <v>569</v>
      </c>
      <c r="G19" s="150">
        <f t="shared" si="14"/>
        <v>546</v>
      </c>
      <c r="H19" s="150">
        <f t="shared" si="14"/>
        <v>630</v>
      </c>
      <c r="I19" s="150">
        <f t="shared" si="14"/>
        <v>513</v>
      </c>
      <c r="J19" s="150">
        <f t="shared" si="14"/>
        <v>393</v>
      </c>
      <c r="K19" s="150">
        <f t="shared" si="14"/>
        <v>640</v>
      </c>
      <c r="L19" s="151">
        <f t="shared" si="14"/>
        <v>973</v>
      </c>
      <c r="M19" s="63"/>
      <c r="N19" s="46" t="s">
        <v>211</v>
      </c>
      <c r="O19" s="45">
        <f>SUM(O14:O18)</f>
        <v>1025.9838220340591</v>
      </c>
      <c r="P19" s="45">
        <f t="shared" ref="P19:Y19" si="15">SUM(P14:P18)</f>
        <v>1085.0288905283971</v>
      </c>
      <c r="Q19" s="45">
        <f t="shared" si="15"/>
        <v>1150.7694168086466</v>
      </c>
      <c r="R19" s="45">
        <f t="shared" si="15"/>
        <v>1223.9102579605533</v>
      </c>
      <c r="S19" s="45">
        <f t="shared" si="15"/>
        <v>1305.2347856371232</v>
      </c>
      <c r="T19" s="45"/>
      <c r="U19" s="45">
        <f t="shared" si="15"/>
        <v>820.76260339447481</v>
      </c>
      <c r="V19" s="45">
        <f t="shared" si="15"/>
        <v>841.57857973573084</v>
      </c>
      <c r="W19" s="45">
        <f t="shared" si="15"/>
        <v>862.39455607698687</v>
      </c>
      <c r="X19" s="45">
        <f t="shared" si="15"/>
        <v>883.215207014322</v>
      </c>
      <c r="Y19" s="45">
        <f t="shared" si="15"/>
        <v>904.0265087594986</v>
      </c>
      <c r="AB19" s="76" t="s">
        <v>181</v>
      </c>
      <c r="AC19" s="128">
        <f>O10+O19</f>
        <v>66502.831712940388</v>
      </c>
      <c r="AD19" s="128">
        <f t="shared" ref="AD19:AG19" si="16">P10+P19</f>
        <v>72078.539603512938</v>
      </c>
      <c r="AE19" s="128">
        <f t="shared" si="16"/>
        <v>78222.233264005146</v>
      </c>
      <c r="AF19" s="128">
        <f t="shared" si="16"/>
        <v>84992.966893312245</v>
      </c>
      <c r="AG19" s="129">
        <f t="shared" si="16"/>
        <v>92456.393863789752</v>
      </c>
    </row>
    <row r="20" spans="2:34" ht="15.6" thickTop="1" thickBot="1" x14ac:dyDescent="0.35">
      <c r="B20" s="64" t="s">
        <v>113</v>
      </c>
      <c r="C20" s="37"/>
      <c r="M20" s="63"/>
      <c r="AB20" s="77" t="s">
        <v>182</v>
      </c>
      <c r="AC20" s="130">
        <f>U10+U19</f>
        <v>64668.862432809947</v>
      </c>
      <c r="AD20" s="130">
        <f t="shared" ref="AD20:AH20" si="17">V10+V19</f>
        <v>67995.189850866853</v>
      </c>
      <c r="AE20" s="130">
        <f t="shared" si="17"/>
        <v>71321.517268923766</v>
      </c>
      <c r="AF20" s="130">
        <f t="shared" si="17"/>
        <v>74648.591672702212</v>
      </c>
      <c r="AG20" s="131">
        <f t="shared" si="17"/>
        <v>77974.172105037564</v>
      </c>
      <c r="AH20" s="127"/>
    </row>
    <row r="21" spans="2:34" ht="15" thickTop="1" x14ac:dyDescent="0.3">
      <c r="B21" s="47" t="s">
        <v>112</v>
      </c>
      <c r="C21" s="48">
        <v>42094</v>
      </c>
      <c r="D21" s="48">
        <v>42460</v>
      </c>
      <c r="E21" s="48">
        <v>42825</v>
      </c>
      <c r="F21" s="48">
        <v>43190</v>
      </c>
      <c r="G21" s="48">
        <v>43555</v>
      </c>
      <c r="H21" s="48">
        <v>43921</v>
      </c>
      <c r="I21" s="48">
        <v>44286</v>
      </c>
      <c r="J21" s="48">
        <v>44651</v>
      </c>
      <c r="K21" s="48">
        <v>45016</v>
      </c>
      <c r="L21" s="49">
        <v>45382</v>
      </c>
      <c r="M21" s="90"/>
      <c r="O21" s="96">
        <v>45717</v>
      </c>
      <c r="P21" s="97">
        <v>46082</v>
      </c>
      <c r="Q21" s="97">
        <v>46447</v>
      </c>
      <c r="R21" s="97">
        <v>46813</v>
      </c>
      <c r="S21" s="98">
        <v>47178</v>
      </c>
      <c r="T21" s="99"/>
      <c r="U21" s="96">
        <v>45717</v>
      </c>
      <c r="V21" s="97">
        <v>46082</v>
      </c>
      <c r="W21" s="97">
        <v>46447</v>
      </c>
      <c r="X21" s="97">
        <v>46813</v>
      </c>
      <c r="Y21" s="98">
        <v>47178</v>
      </c>
    </row>
    <row r="22" spans="2:34" x14ac:dyDescent="0.3">
      <c r="B22" s="54" t="s">
        <v>114</v>
      </c>
      <c r="C22" s="55"/>
      <c r="D22" s="52"/>
      <c r="E22" s="52"/>
      <c r="F22" s="52"/>
      <c r="G22" s="52"/>
      <c r="H22" s="52"/>
      <c r="I22" s="52"/>
      <c r="J22" s="52"/>
      <c r="K22" s="52"/>
      <c r="L22" s="53"/>
      <c r="M22" s="63"/>
    </row>
    <row r="23" spans="2:34" ht="15" thickBot="1" x14ac:dyDescent="0.35">
      <c r="B23" s="54" t="s">
        <v>116</v>
      </c>
      <c r="C23" s="61">
        <v>9850</v>
      </c>
      <c r="D23" s="52">
        <v>8896</v>
      </c>
      <c r="E23" s="58">
        <v>8999</v>
      </c>
      <c r="F23" s="58">
        <v>10047</v>
      </c>
      <c r="G23" s="58">
        <v>10722</v>
      </c>
      <c r="H23" s="58">
        <v>9036</v>
      </c>
      <c r="I23" s="58">
        <v>12667</v>
      </c>
      <c r="J23" s="58">
        <v>13124</v>
      </c>
      <c r="K23" s="58">
        <v>16074</v>
      </c>
      <c r="L23" s="59">
        <v>15054</v>
      </c>
      <c r="M23" s="66">
        <f>(L23/C23)^(1/9)-1</f>
        <v>4.8258539523010624E-2</v>
      </c>
      <c r="O23">
        <f>L23*(1+M23)</f>
        <v>15780.484053979402</v>
      </c>
      <c r="P23">
        <f>O23*(1+$M23)</f>
        <v>16542.027167390606</v>
      </c>
      <c r="Q23">
        <f t="shared" ref="Q23:S23" si="18">P23*(1+$M23)</f>
        <v>17340.321239238841</v>
      </c>
      <c r="R23">
        <f t="shared" si="18"/>
        <v>18177.139817104351</v>
      </c>
      <c r="S23">
        <f t="shared" si="18"/>
        <v>19054.342037383372</v>
      </c>
      <c r="U23" cm="1">
        <f t="array" ref="U23:Y23">_xlfn.FORECAST.ETS($U$21:$Y$21,C23:L23,$C$21:$L$21,1,0,1)</f>
        <v>16010.637921231921</v>
      </c>
      <c r="V23">
        <v>16758.926001321212</v>
      </c>
      <c r="W23">
        <v>17507.214081410508</v>
      </c>
      <c r="X23">
        <v>18255.67020283825</v>
      </c>
      <c r="Y23">
        <v>19003.790241589097</v>
      </c>
      <c r="AA23" t="s">
        <v>174</v>
      </c>
      <c r="AB23" s="40" t="s">
        <v>189</v>
      </c>
    </row>
    <row r="24" spans="2:34" ht="15" thickTop="1" x14ac:dyDescent="0.3">
      <c r="B24" s="68" t="s">
        <v>115</v>
      </c>
      <c r="C24" s="55">
        <v>2609</v>
      </c>
      <c r="D24" s="52">
        <v>2371</v>
      </c>
      <c r="E24" s="58">
        <v>2364</v>
      </c>
      <c r="F24" s="58">
        <v>2444</v>
      </c>
      <c r="G24" s="58">
        <v>2518</v>
      </c>
      <c r="H24" s="58">
        <v>2536</v>
      </c>
      <c r="I24" s="58">
        <v>2284</v>
      </c>
      <c r="J24" s="58">
        <v>2745</v>
      </c>
      <c r="K24" s="52">
        <v>3155</v>
      </c>
      <c r="L24" s="53">
        <v>2737</v>
      </c>
      <c r="M24" s="66">
        <f t="shared" ref="M24:M56" si="19">(L24/C24)^(1/9)-1</f>
        <v>5.3358992383241155E-3</v>
      </c>
      <c r="O24">
        <f t="shared" ref="O24:O39" si="20">L24*(1+M24)</f>
        <v>2751.6043562152931</v>
      </c>
      <c r="P24">
        <f t="shared" ref="P24:S24" si="21">O24*(1+$M24)</f>
        <v>2766.2866398037918</v>
      </c>
      <c r="Q24">
        <f t="shared" si="21"/>
        <v>2781.0472665781072</v>
      </c>
      <c r="R24">
        <f t="shared" si="21"/>
        <v>2795.8866545695846</v>
      </c>
      <c r="S24">
        <f t="shared" si="21"/>
        <v>2810.805224040143</v>
      </c>
      <c r="U24" cm="1">
        <f t="array" ref="U24:Y24">_xlfn.FORECAST.ETS($U$21:$Y$21,C24:L24,$C$21:$L$21,1,0,1)</f>
        <v>2892.8303561430171</v>
      </c>
      <c r="V24">
        <v>2941.4233882140347</v>
      </c>
      <c r="W24">
        <v>2990.0164202850528</v>
      </c>
      <c r="X24">
        <v>3038.620364781867</v>
      </c>
      <c r="Y24">
        <v>3087.2024844270882</v>
      </c>
      <c r="AB24" s="120" t="s">
        <v>131</v>
      </c>
      <c r="AC24" s="121">
        <v>45717</v>
      </c>
      <c r="AD24" s="121">
        <v>46082</v>
      </c>
      <c r="AE24" s="121">
        <v>46447</v>
      </c>
      <c r="AF24" s="121">
        <v>46813</v>
      </c>
      <c r="AG24" s="122">
        <v>47178</v>
      </c>
    </row>
    <row r="25" spans="2:34" x14ac:dyDescent="0.3">
      <c r="B25" s="54" t="s">
        <v>117</v>
      </c>
      <c r="C25" s="55">
        <v>3548</v>
      </c>
      <c r="D25" s="52">
        <v>3951</v>
      </c>
      <c r="E25" s="58">
        <v>4166</v>
      </c>
      <c r="F25" s="58">
        <v>3812</v>
      </c>
      <c r="G25" s="58">
        <v>4708</v>
      </c>
      <c r="H25" s="58">
        <v>6342</v>
      </c>
      <c r="I25" s="58">
        <v>7117</v>
      </c>
      <c r="J25" s="58">
        <v>9274</v>
      </c>
      <c r="K25" s="58">
        <v>11968</v>
      </c>
      <c r="L25" s="59">
        <v>11554</v>
      </c>
      <c r="M25" s="66">
        <f t="shared" si="19"/>
        <v>0.14017649468655469</v>
      </c>
      <c r="O25">
        <f t="shared" si="20"/>
        <v>13173.599219608453</v>
      </c>
      <c r="P25">
        <f t="shared" ref="P25:S25" si="22">O25*(1+$M25)</f>
        <v>15020.228180618698</v>
      </c>
      <c r="Q25">
        <f t="shared" si="22"/>
        <v>17125.711116370036</v>
      </c>
      <c r="R25">
        <f t="shared" si="22"/>
        <v>19526.33326967735</v>
      </c>
      <c r="S25">
        <f t="shared" si="22"/>
        <v>22263.466221502174</v>
      </c>
      <c r="U25" cm="1">
        <f t="array" ref="U25:Y25">_xlfn.FORECAST.ETS($U$21:$Y$21,C25:L25,$C$21:$L$21,1,0,1)</f>
        <v>12595.88238889656</v>
      </c>
      <c r="V25">
        <v>13596.503314294243</v>
      </c>
      <c r="W25">
        <v>14597.124239691926</v>
      </c>
      <c r="X25">
        <v>15597.969872236563</v>
      </c>
      <c r="Y25">
        <v>16598.366090487289</v>
      </c>
      <c r="AB25" s="76" t="s">
        <v>179</v>
      </c>
      <c r="AC25" s="132">
        <f>'Profit &amp; Loss'!AQ7</f>
        <v>779.48930103968041</v>
      </c>
      <c r="AD25" s="132">
        <f>'Profit &amp; Loss'!AR7</f>
        <v>743.7008206062784</v>
      </c>
      <c r="AE25" s="132">
        <f>'Profit &amp; Loss'!AS7</f>
        <v>709.55548694862262</v>
      </c>
      <c r="AF25" s="132">
        <f>'Profit &amp; Loss'!AT7</f>
        <v>676.97785871536337</v>
      </c>
      <c r="AG25" s="132">
        <f>'Profit &amp; Loss'!AU7</f>
        <v>645.89595827341259</v>
      </c>
    </row>
    <row r="26" spans="2:34" x14ac:dyDescent="0.3">
      <c r="B26" s="69" t="s">
        <v>118</v>
      </c>
      <c r="C26" s="55"/>
      <c r="D26" s="52"/>
      <c r="E26" s="52"/>
      <c r="F26" s="52"/>
      <c r="G26" s="52"/>
      <c r="H26" s="52"/>
      <c r="I26" s="52"/>
      <c r="J26" s="52"/>
      <c r="K26" s="52"/>
      <c r="L26" s="53"/>
      <c r="M26" s="66"/>
      <c r="AB26" s="76" t="s">
        <v>180</v>
      </c>
      <c r="AC26" s="132">
        <f>'Profit &amp; Loss'!AW7</f>
        <v>736.95000452744705</v>
      </c>
      <c r="AD26" s="132">
        <f>'Profit &amp; Loss'!AX7</f>
        <v>697.31251204723367</v>
      </c>
      <c r="AE26" s="132">
        <f>'Profit &amp; Loss'!AY7</f>
        <v>657.67501956702029</v>
      </c>
      <c r="AF26" s="132">
        <f>'Profit &amp; Loss'!AZ7</f>
        <v>618.02862578600286</v>
      </c>
      <c r="AG26" s="132">
        <f>'Profit &amp; Loss'!BA7</f>
        <v>578.40003460659352</v>
      </c>
    </row>
    <row r="27" spans="2:34" x14ac:dyDescent="0.3">
      <c r="B27" s="70" t="s">
        <v>119</v>
      </c>
      <c r="C27" s="61">
        <v>1389</v>
      </c>
      <c r="D27" s="52">
        <v>1361</v>
      </c>
      <c r="E27" s="52">
        <v>1206</v>
      </c>
      <c r="F27" s="58">
        <v>1214</v>
      </c>
      <c r="G27" s="58">
        <v>1221</v>
      </c>
      <c r="H27" s="58">
        <v>1206</v>
      </c>
      <c r="I27" s="58">
        <v>1325</v>
      </c>
      <c r="J27" s="58">
        <v>1542</v>
      </c>
      <c r="K27" s="71">
        <v>1580</v>
      </c>
      <c r="L27" s="72">
        <v>1651</v>
      </c>
      <c r="M27" s="66">
        <f t="shared" si="19"/>
        <v>1.9385176995556197E-2</v>
      </c>
      <c r="O27">
        <f t="shared" si="20"/>
        <v>1683.0049272196634</v>
      </c>
      <c r="P27">
        <f t="shared" ref="P27:S27" si="23">O27*(1+$M27)</f>
        <v>1715.6302756182097</v>
      </c>
      <c r="Q27">
        <f t="shared" si="23"/>
        <v>1748.8880721700036</v>
      </c>
      <c r="R27">
        <f t="shared" si="23"/>
        <v>1782.7905769944362</v>
      </c>
      <c r="S27">
        <f t="shared" si="23"/>
        <v>1817.350287875483</v>
      </c>
      <c r="U27" cm="1">
        <f t="array" ref="U27:Y27">_xlfn.FORECAST.ETS($U$21:$Y$21,C27:L27,$C$21:$L$21,1,0,1)</f>
        <v>1689.2265993979258</v>
      </c>
      <c r="V27">
        <v>1730.9472889615147</v>
      </c>
      <c r="W27">
        <v>1772.6679785251035</v>
      </c>
      <c r="X27">
        <v>1814.3980372082888</v>
      </c>
      <c r="Y27">
        <v>1856.1093576522812</v>
      </c>
      <c r="AB27" s="76" t="s">
        <v>181</v>
      </c>
      <c r="AC27">
        <f>O19+O60</f>
        <v>1097.1731126355949</v>
      </c>
      <c r="AD27">
        <f t="shared" ref="AD27:AG27" si="24">P19+P60</f>
        <v>1028.0860242772746</v>
      </c>
      <c r="AE27">
        <f t="shared" si="24"/>
        <v>1196.316857856237</v>
      </c>
      <c r="AF27">
        <f t="shared" si="24"/>
        <v>1187.4777858606294</v>
      </c>
      <c r="AG27">
        <f t="shared" si="24"/>
        <v>1334.3763793860426</v>
      </c>
    </row>
    <row r="28" spans="2:34" ht="15" thickBot="1" x14ac:dyDescent="0.35">
      <c r="B28" s="73" t="s">
        <v>120</v>
      </c>
      <c r="C28" s="55">
        <v>338</v>
      </c>
      <c r="D28" s="52">
        <v>295</v>
      </c>
      <c r="E28" s="52">
        <v>355</v>
      </c>
      <c r="F28" s="58">
        <v>205</v>
      </c>
      <c r="G28" s="58">
        <v>249</v>
      </c>
      <c r="H28" s="58">
        <v>252</v>
      </c>
      <c r="I28" s="58">
        <v>254</v>
      </c>
      <c r="J28" s="58">
        <v>428</v>
      </c>
      <c r="K28" s="71">
        <v>409</v>
      </c>
      <c r="L28" s="72">
        <v>391</v>
      </c>
      <c r="M28" s="66">
        <f t="shared" si="19"/>
        <v>1.6316309944547802E-2</v>
      </c>
      <c r="O28">
        <f t="shared" si="20"/>
        <v>397.37967718831817</v>
      </c>
      <c r="P28">
        <f t="shared" ref="P28:S28" si="25">O28*(1+$M28)</f>
        <v>403.8634471669871</v>
      </c>
      <c r="Q28">
        <f t="shared" si="25"/>
        <v>410.45300834623714</v>
      </c>
      <c r="R28">
        <f t="shared" si="25"/>
        <v>417.1500868480864</v>
      </c>
      <c r="S28">
        <f t="shared" si="25"/>
        <v>423.95643695849481</v>
      </c>
      <c r="U28" cm="1">
        <f t="array" ref="U28:Y28">_xlfn.FORECAST.ETS($U$21:$Y$21,C28:L28,$C$21:$L$21,1,0,1)</f>
        <v>407.47116749733379</v>
      </c>
      <c r="V28">
        <v>418.27001916666757</v>
      </c>
      <c r="W28">
        <v>429.06887083600134</v>
      </c>
      <c r="X28">
        <v>439.87014757869451</v>
      </c>
      <c r="Y28">
        <v>450.66657417466888</v>
      </c>
      <c r="AB28" s="77" t="s">
        <v>182</v>
      </c>
      <c r="AC28">
        <f>U19+U60</f>
        <v>670.48264950979512</v>
      </c>
      <c r="AD28">
        <f t="shared" ref="AD28:AG28" si="26">V19+V60</f>
        <v>637.84340273728253</v>
      </c>
      <c r="AE28">
        <f t="shared" si="26"/>
        <v>605.20415596477005</v>
      </c>
      <c r="AF28">
        <f t="shared" si="26"/>
        <v>572.55757947144593</v>
      </c>
      <c r="AG28">
        <f t="shared" si="26"/>
        <v>539.92566241974464</v>
      </c>
    </row>
    <row r="29" spans="2:34" ht="15" thickTop="1" x14ac:dyDescent="0.3">
      <c r="B29" s="74" t="s">
        <v>121</v>
      </c>
      <c r="C29" s="52"/>
      <c r="D29" s="52"/>
      <c r="E29" s="52"/>
      <c r="F29" s="52"/>
      <c r="G29" s="52"/>
      <c r="H29" s="52"/>
      <c r="I29" s="52"/>
      <c r="J29" s="52"/>
      <c r="K29" s="52"/>
      <c r="L29" s="53"/>
      <c r="M29" s="66"/>
    </row>
    <row r="30" spans="2:34" x14ac:dyDescent="0.3">
      <c r="B30" s="73" t="s">
        <v>119</v>
      </c>
      <c r="C30" s="58">
        <v>-1399</v>
      </c>
      <c r="D30" s="52">
        <v>-1206</v>
      </c>
      <c r="E30" s="52">
        <v>-1214</v>
      </c>
      <c r="F30" s="58">
        <v>-1221</v>
      </c>
      <c r="G30" s="58">
        <v>-1206</v>
      </c>
      <c r="H30" s="58">
        <v>-1325</v>
      </c>
      <c r="I30" s="58">
        <v>-1542</v>
      </c>
      <c r="J30" s="58">
        <v>-1580</v>
      </c>
      <c r="K30" s="71">
        <v>-1651</v>
      </c>
      <c r="L30" s="72">
        <v>-1498</v>
      </c>
      <c r="M30" s="66">
        <f t="shared" si="19"/>
        <v>7.6259516257979332E-3</v>
      </c>
      <c r="O30">
        <f t="shared" si="20"/>
        <v>-1509.4236755354452</v>
      </c>
      <c r="P30">
        <f t="shared" ref="P30:S30" si="27">O30*(1+$M30)</f>
        <v>-1520.9344674679126</v>
      </c>
      <c r="Q30">
        <f t="shared" si="27"/>
        <v>-1532.5330401428316</v>
      </c>
      <c r="R30">
        <f t="shared" si="27"/>
        <v>-1544.220062971898</v>
      </c>
      <c r="S30">
        <f t="shared" si="27"/>
        <v>-1555.9962104717083</v>
      </c>
      <c r="U30" cm="1">
        <f t="array" ref="U30:Y30">_xlfn.FORECAST.ETS($U$21:$Y$21,C30:L30,$C$21:$L$21,1,0,1)</f>
        <v>-1555.3957520025492</v>
      </c>
      <c r="V30">
        <v>-1597.037206535151</v>
      </c>
      <c r="W30">
        <v>-1638.678661067753</v>
      </c>
      <c r="X30">
        <v>-1680.3294669263221</v>
      </c>
      <c r="Y30">
        <v>-1721.9615701329565</v>
      </c>
    </row>
    <row r="31" spans="2:34" ht="15" thickBot="1" x14ac:dyDescent="0.35">
      <c r="B31" s="73" t="s">
        <v>120</v>
      </c>
      <c r="C31" s="52">
        <v>-267</v>
      </c>
      <c r="D31" s="52">
        <v>-363</v>
      </c>
      <c r="E31" s="52">
        <v>-219</v>
      </c>
      <c r="F31" s="58">
        <v>-269</v>
      </c>
      <c r="G31" s="58">
        <v>-252</v>
      </c>
      <c r="H31" s="58">
        <v>-254</v>
      </c>
      <c r="I31" s="58">
        <v>-428</v>
      </c>
      <c r="J31" s="58">
        <v>-409</v>
      </c>
      <c r="K31" s="71">
        <v>-391</v>
      </c>
      <c r="L31" s="72">
        <v>-552</v>
      </c>
      <c r="M31" s="66">
        <f t="shared" si="19"/>
        <v>8.4045560359666815E-2</v>
      </c>
      <c r="O31">
        <f t="shared" si="20"/>
        <v>-598.39314931853608</v>
      </c>
      <c r="P31">
        <f t="shared" ref="P31:S31" si="28">O31*(1+$M31)</f>
        <v>-648.68543686839826</v>
      </c>
      <c r="Q31">
        <f t="shared" si="28"/>
        <v>-703.20456790715809</v>
      </c>
      <c r="R31">
        <f t="shared" si="28"/>
        <v>-762.30578986439252</v>
      </c>
      <c r="S31">
        <f t="shared" si="28"/>
        <v>-826.37420713896381</v>
      </c>
      <c r="U31" cm="1">
        <f t="array" ref="U31:Y31">_xlfn.FORECAST.ETS($U$21:$Y$21,C31:L31,$C$21:$L$21,1,0,1)</f>
        <v>-489.5630163960692</v>
      </c>
      <c r="V31">
        <v>-514.73776222658182</v>
      </c>
      <c r="W31">
        <v>-539.91250805709456</v>
      </c>
      <c r="X31">
        <v>-565.09290732255681</v>
      </c>
      <c r="Y31">
        <v>-590.2619997181198</v>
      </c>
      <c r="AB31" s="40" t="s">
        <v>191</v>
      </c>
    </row>
    <row r="32" spans="2:34" ht="15" thickTop="1" x14ac:dyDescent="0.3">
      <c r="B32" s="75" t="s">
        <v>122</v>
      </c>
      <c r="C32" s="52"/>
      <c r="D32" s="52"/>
      <c r="E32" s="52"/>
      <c r="F32" s="52"/>
      <c r="G32" s="52"/>
      <c r="H32" s="52"/>
      <c r="I32" s="52"/>
      <c r="J32" s="52"/>
      <c r="K32" s="52"/>
      <c r="L32" s="53"/>
      <c r="M32" s="66"/>
      <c r="AA32" t="s">
        <v>174</v>
      </c>
      <c r="AB32" s="120" t="s">
        <v>131</v>
      </c>
      <c r="AC32" s="121">
        <v>45717</v>
      </c>
      <c r="AD32" s="121">
        <v>46082</v>
      </c>
      <c r="AE32" s="121">
        <v>46447</v>
      </c>
      <c r="AF32" s="121">
        <v>46813</v>
      </c>
      <c r="AG32" s="122">
        <v>47178</v>
      </c>
      <c r="AH32" t="s">
        <v>174</v>
      </c>
    </row>
    <row r="33" spans="2:34" x14ac:dyDescent="0.3">
      <c r="B33" s="76" t="s">
        <v>123</v>
      </c>
      <c r="C33" s="52">
        <v>1510</v>
      </c>
      <c r="D33" s="52">
        <v>1245</v>
      </c>
      <c r="E33" s="52">
        <v>1330</v>
      </c>
      <c r="F33" s="58">
        <v>1425</v>
      </c>
      <c r="G33" s="58">
        <v>1442</v>
      </c>
      <c r="H33" s="58">
        <v>1431</v>
      </c>
      <c r="I33" s="58">
        <v>1830</v>
      </c>
      <c r="J33" s="58">
        <v>1883</v>
      </c>
      <c r="K33" s="58">
        <v>2137</v>
      </c>
      <c r="L33" s="59">
        <v>2268</v>
      </c>
      <c r="M33" s="66">
        <f t="shared" si="19"/>
        <v>4.6235776867879386E-2</v>
      </c>
      <c r="O33">
        <f t="shared" si="20"/>
        <v>2372.8627419363506</v>
      </c>
      <c r="P33">
        <f t="shared" ref="P33:S33" si="29">O33*(1+$M33)</f>
        <v>2482.5738942106241</v>
      </c>
      <c r="Q33">
        <f t="shared" si="29"/>
        <v>2597.357626841369</v>
      </c>
      <c r="R33">
        <f t="shared" si="29"/>
        <v>2717.4484745220911</v>
      </c>
      <c r="S33">
        <f t="shared" si="29"/>
        <v>2843.0918158400536</v>
      </c>
      <c r="U33" cm="1">
        <f t="array" ref="U33:Y33">_xlfn.FORECAST.ETS($U$21:$Y$21,C33:L33,$C$21:$L$21,1,0,1)</f>
        <v>2358.2921343791204</v>
      </c>
      <c r="V33">
        <v>2461.3433413955881</v>
      </c>
      <c r="W33">
        <v>2564.3945484120559</v>
      </c>
      <c r="X33">
        <v>2667.4688974018036</v>
      </c>
      <c r="Y33">
        <v>2770.4969624449909</v>
      </c>
      <c r="AB33" s="76" t="s">
        <v>175</v>
      </c>
      <c r="AC33" s="123">
        <f>'Profit &amp; Loss'!AQ5</f>
        <v>50357.774643961304</v>
      </c>
      <c r="AD33" s="123">
        <f>'Profit &amp; Loss'!AR5</f>
        <v>53684.727376674891</v>
      </c>
      <c r="AE33" s="123">
        <f>'Profit &amp; Loss'!AS5</f>
        <v>57231.479625232212</v>
      </c>
      <c r="AF33" s="123">
        <f>'Profit &amp; Loss'!AT5</f>
        <v>61012.552734252953</v>
      </c>
      <c r="AG33" s="124">
        <f>'Profit &amp; Loss'!AU5</f>
        <v>65043.427420122258</v>
      </c>
      <c r="AH33" s="81"/>
    </row>
    <row r="34" spans="2:34" x14ac:dyDescent="0.3">
      <c r="B34" s="76" t="s">
        <v>124</v>
      </c>
      <c r="C34" s="52">
        <v>62</v>
      </c>
      <c r="D34" s="52">
        <v>77</v>
      </c>
      <c r="E34" s="52">
        <v>81</v>
      </c>
      <c r="F34" s="58">
        <v>88</v>
      </c>
      <c r="G34" s="58">
        <v>105</v>
      </c>
      <c r="H34" s="58">
        <v>116</v>
      </c>
      <c r="I34" s="58">
        <v>155</v>
      </c>
      <c r="J34" s="58">
        <v>162</v>
      </c>
      <c r="K34" s="52">
        <v>153</v>
      </c>
      <c r="L34" s="53">
        <v>164</v>
      </c>
      <c r="M34" s="66">
        <f t="shared" si="19"/>
        <v>0.11413836358372742</v>
      </c>
      <c r="O34">
        <f t="shared" si="20"/>
        <v>182.71869162773129</v>
      </c>
      <c r="P34">
        <f t="shared" ref="P34:S34" si="30">O34*(1+$M34)</f>
        <v>203.57390408628027</v>
      </c>
      <c r="Q34">
        <f t="shared" si="30"/>
        <v>226.80949636703897</v>
      </c>
      <c r="R34">
        <f t="shared" si="30"/>
        <v>252.69716112762217</v>
      </c>
      <c r="S34">
        <f t="shared" si="30"/>
        <v>281.53960158098243</v>
      </c>
      <c r="U34" cm="1">
        <f t="array" ref="U34:Y34">_xlfn.FORECAST.ETS($U$21:$Y$21,C34:L34,$C$21:$L$21,1,0,1)</f>
        <v>186.09223515629344</v>
      </c>
      <c r="V34">
        <v>198.5993439618689</v>
      </c>
      <c r="W34">
        <v>211.10645276744432</v>
      </c>
      <c r="X34">
        <v>223.61637026576747</v>
      </c>
      <c r="Y34">
        <v>236.12067037859521</v>
      </c>
      <c r="AB34" s="76" t="s">
        <v>176</v>
      </c>
      <c r="AC34" s="123">
        <f>'Profit &amp; Loss'!AW5</f>
        <v>49654.098284309963</v>
      </c>
      <c r="AD34" s="123">
        <f>'Profit &amp; Loss'!AX5</f>
        <v>52152.433860517922</v>
      </c>
      <c r="AE34" s="123">
        <f>'Profit &amp; Loss'!AY5</f>
        <v>54650.769436725888</v>
      </c>
      <c r="AF34" s="123">
        <f>'Profit &amp; Loss'!AZ5</f>
        <v>57149.666058425923</v>
      </c>
      <c r="AG34" s="124">
        <f>'Profit &amp; Loss'!BA5</f>
        <v>59647.440589141814</v>
      </c>
    </row>
    <row r="35" spans="2:34" x14ac:dyDescent="0.3">
      <c r="B35" s="76" t="s">
        <v>125</v>
      </c>
      <c r="C35" s="52">
        <v>12</v>
      </c>
      <c r="D35" s="52">
        <v>19</v>
      </c>
      <c r="E35" s="52">
        <v>18</v>
      </c>
      <c r="F35" s="58">
        <v>65</v>
      </c>
      <c r="G35" s="58">
        <v>28</v>
      </c>
      <c r="H35" s="58">
        <v>32</v>
      </c>
      <c r="I35" s="58">
        <v>40</v>
      </c>
      <c r="J35" s="58">
        <v>91</v>
      </c>
      <c r="K35" s="52">
        <v>42</v>
      </c>
      <c r="L35" s="53">
        <v>39</v>
      </c>
      <c r="M35" s="66">
        <f t="shared" si="19"/>
        <v>0.13992408292122827</v>
      </c>
      <c r="O35">
        <f t="shared" si="20"/>
        <v>44.457039233927901</v>
      </c>
      <c r="P35">
        <f t="shared" ref="P35:S35" si="31">O35*(1+$M35)</f>
        <v>50.677649678128326</v>
      </c>
      <c r="Q35">
        <f t="shared" si="31"/>
        <v>57.76867333394371</v>
      </c>
      <c r="R35">
        <f t="shared" si="31"/>
        <v>65.851901971771795</v>
      </c>
      <c r="S35">
        <f t="shared" si="31"/>
        <v>75.066168963790588</v>
      </c>
      <c r="U35" cm="1">
        <f t="array" ref="U35:Y35">_xlfn.FORECAST.ETS($U$21:$Y$21,C35:L35,$C$21:$L$21,1,0,1)</f>
        <v>54.508619299406725</v>
      </c>
      <c r="V35">
        <v>58.812877855712713</v>
      </c>
      <c r="W35">
        <v>63.117136412018688</v>
      </c>
      <c r="X35">
        <v>67.422361565799719</v>
      </c>
      <c r="Y35">
        <v>71.725653524630658</v>
      </c>
      <c r="AB35" s="76" t="s">
        <v>177</v>
      </c>
      <c r="AC35" s="123">
        <f>(O40+O57)</f>
        <v>51318.003844906088</v>
      </c>
      <c r="AD35" s="123">
        <f t="shared" ref="AD35:AG35" si="32">(P40+P57)</f>
        <v>55310.57505840082</v>
      </c>
      <c r="AE35" s="123">
        <f t="shared" si="32"/>
        <v>59751.564356067378</v>
      </c>
      <c r="AF35" s="123">
        <f t="shared" si="32"/>
        <v>64711.074105885986</v>
      </c>
      <c r="AG35" s="124">
        <f>(S40+S57)</f>
        <v>70273.94189802598</v>
      </c>
    </row>
    <row r="36" spans="2:34" ht="15" thickBot="1" x14ac:dyDescent="0.35">
      <c r="B36" s="76" t="s">
        <v>126</v>
      </c>
      <c r="C36" s="52">
        <v>19</v>
      </c>
      <c r="D36" s="52">
        <v>127</v>
      </c>
      <c r="E36" s="52">
        <v>94</v>
      </c>
      <c r="F36" s="58">
        <v>79</v>
      </c>
      <c r="G36" s="58">
        <v>93</v>
      </c>
      <c r="H36" s="58">
        <v>45</v>
      </c>
      <c r="I36" s="58">
        <v>56</v>
      </c>
      <c r="J36" s="58">
        <v>101</v>
      </c>
      <c r="K36" s="52">
        <v>156</v>
      </c>
      <c r="L36" s="53">
        <v>169</v>
      </c>
      <c r="M36" s="66">
        <f t="shared" si="19"/>
        <v>0.2748504269446681</v>
      </c>
      <c r="O36">
        <f t="shared" si="20"/>
        <v>215.44972215364891</v>
      </c>
      <c r="P36">
        <f t="shared" ref="P36:S36" si="33">O36*(1+$M36)</f>
        <v>274.66617027268944</v>
      </c>
      <c r="Q36">
        <f t="shared" si="33"/>
        <v>350.15828443939506</v>
      </c>
      <c r="R36">
        <f t="shared" si="33"/>
        <v>446.39943841577531</v>
      </c>
      <c r="S36">
        <f t="shared" si="33"/>
        <v>569.09251465221121</v>
      </c>
      <c r="U36" cm="1">
        <f t="array" ref="U36:Y36">_xlfn.FORECAST.ETS($U$21:$Y$21,C36:L36,$C$21:$L$21,1,0,1)</f>
        <v>176.35413830623858</v>
      </c>
      <c r="V36">
        <v>185.34547373949019</v>
      </c>
      <c r="W36">
        <v>194.33680917274179</v>
      </c>
      <c r="X36">
        <v>203.33016376957599</v>
      </c>
      <c r="Y36">
        <v>212.31948003924498</v>
      </c>
      <c r="AB36" s="77" t="s">
        <v>178</v>
      </c>
      <c r="AC36" s="125">
        <f>(U40+U57)</f>
        <v>49761.968059816762</v>
      </c>
      <c r="AD36" s="125">
        <f t="shared" ref="AD36:AG36" si="34">(V40+V57)</f>
        <v>52291.376230813279</v>
      </c>
      <c r="AE36" s="125">
        <f t="shared" si="34"/>
        <v>54949.26610197479</v>
      </c>
      <c r="AF36" s="125">
        <f t="shared" si="34"/>
        <v>57474.670304141488</v>
      </c>
      <c r="AG36" s="126">
        <f t="shared" si="34"/>
        <v>60003.514381852321</v>
      </c>
    </row>
    <row r="37" spans="2:34" ht="15" thickTop="1" x14ac:dyDescent="0.3">
      <c r="B37" s="76" t="s">
        <v>127</v>
      </c>
      <c r="C37" s="52">
        <v>107</v>
      </c>
      <c r="D37" s="52">
        <v>105</v>
      </c>
      <c r="E37" s="52">
        <v>97</v>
      </c>
      <c r="F37" s="58">
        <v>88</v>
      </c>
      <c r="G37" s="58">
        <v>79</v>
      </c>
      <c r="H37" s="58">
        <v>67</v>
      </c>
      <c r="I37" s="58">
        <v>148</v>
      </c>
      <c r="J37" s="58">
        <v>162</v>
      </c>
      <c r="K37" s="52">
        <v>177</v>
      </c>
      <c r="L37" s="53">
        <v>142</v>
      </c>
      <c r="M37" s="66">
        <f t="shared" si="19"/>
        <v>3.1943840042836014E-2</v>
      </c>
      <c r="O37">
        <f t="shared" si="20"/>
        <v>146.53602528608272</v>
      </c>
      <c r="P37">
        <f t="shared" ref="P37:S37" si="35">O37*(1+$M37)</f>
        <v>151.21694863833432</v>
      </c>
      <c r="Q37">
        <f t="shared" si="35"/>
        <v>156.04739865740302</v>
      </c>
      <c r="R37">
        <f t="shared" si="35"/>
        <v>161.03215179921577</v>
      </c>
      <c r="S37">
        <f t="shared" si="35"/>
        <v>166.1761370980436</v>
      </c>
      <c r="U37" cm="1">
        <f t="array" ref="U37:Y37">_xlfn.FORECAST.ETS($U$21:$Y$21,C37:L37,$C$21:$L$21,1,0,1)</f>
        <v>153.47735497364999</v>
      </c>
      <c r="V37">
        <v>161.39319424851004</v>
      </c>
      <c r="W37">
        <v>169.30903352337012</v>
      </c>
      <c r="X37">
        <v>177.2266504401064</v>
      </c>
      <c r="Y37">
        <v>185.14071207309021</v>
      </c>
    </row>
    <row r="38" spans="2:34" x14ac:dyDescent="0.3">
      <c r="B38" s="74" t="s">
        <v>128</v>
      </c>
      <c r="C38" s="52">
        <v>18</v>
      </c>
      <c r="D38" s="52">
        <v>15</v>
      </c>
      <c r="E38" s="52">
        <v>22</v>
      </c>
      <c r="F38" s="52">
        <v>20</v>
      </c>
      <c r="G38" s="52">
        <v>28</v>
      </c>
      <c r="H38" s="58">
        <v>106</v>
      </c>
      <c r="I38" s="58">
        <v>108</v>
      </c>
      <c r="J38" s="58">
        <v>98</v>
      </c>
      <c r="K38" s="52">
        <v>101</v>
      </c>
      <c r="L38" s="53">
        <v>302</v>
      </c>
      <c r="M38" s="66">
        <f t="shared" si="19"/>
        <v>0.36798584684788627</v>
      </c>
      <c r="O38">
        <f t="shared" si="20"/>
        <v>413.13172574806163</v>
      </c>
      <c r="P38">
        <f t="shared" ref="P38:S38" si="36">O38*(1+$M38)</f>
        <v>565.15835370719083</v>
      </c>
      <c r="Q38">
        <f t="shared" si="36"/>
        <v>773.12862909928867</v>
      </c>
      <c r="R38">
        <f t="shared" si="36"/>
        <v>1057.6290224007357</v>
      </c>
      <c r="S38">
        <f t="shared" si="36"/>
        <v>1446.8215338597724</v>
      </c>
      <c r="U38" cm="1">
        <f t="array" ref="U38:Y38">_xlfn.FORECAST.ETS($U$21:$Y$21,C38:L38,$C$21:$L$21,1,0,1)</f>
        <v>219.21696914594261</v>
      </c>
      <c r="V38">
        <v>242.60925740263184</v>
      </c>
      <c r="W38">
        <v>266.00154565932098</v>
      </c>
      <c r="X38">
        <v>289.39908706854925</v>
      </c>
      <c r="Y38">
        <v>312.78612217269927</v>
      </c>
    </row>
    <row r="39" spans="2:34" ht="15" thickBot="1" x14ac:dyDescent="0.35">
      <c r="B39" s="77" t="s">
        <v>129</v>
      </c>
      <c r="C39" s="78">
        <v>322</v>
      </c>
      <c r="D39" s="78">
        <v>321</v>
      </c>
      <c r="E39" s="78">
        <v>396</v>
      </c>
      <c r="F39" s="78">
        <v>478</v>
      </c>
      <c r="G39" s="78">
        <v>524</v>
      </c>
      <c r="H39" s="79">
        <v>938</v>
      </c>
      <c r="I39" s="79">
        <v>1012</v>
      </c>
      <c r="J39" s="79">
        <v>1025</v>
      </c>
      <c r="K39" s="78">
        <v>1030</v>
      </c>
      <c r="L39" s="80">
        <v>1097</v>
      </c>
      <c r="M39" s="66">
        <f t="shared" si="19"/>
        <v>0.14590887753538961</v>
      </c>
      <c r="O39">
        <f t="shared" si="20"/>
        <v>1257.0620386563223</v>
      </c>
      <c r="P39">
        <f t="shared" ref="P39:S39" si="37">O39*(1+$M39)</f>
        <v>1440.4785497090149</v>
      </c>
      <c r="Q39">
        <f t="shared" si="37"/>
        <v>1650.6571580108632</v>
      </c>
      <c r="R39">
        <f t="shared" si="37"/>
        <v>1891.5026911319844</v>
      </c>
      <c r="S39">
        <f t="shared" si="37"/>
        <v>2167.4897256502209</v>
      </c>
      <c r="U39" cm="1">
        <f t="array" ref="U39:Y39">_xlfn.FORECAST.ETS($U$21:$Y$21,C39:L39,$C$21:$L$21,1,0,1)</f>
        <v>1292.2139263518288</v>
      </c>
      <c r="V39">
        <v>1395.4090753637961</v>
      </c>
      <c r="W39">
        <v>1498.6042243757636</v>
      </c>
      <c r="X39">
        <v>1601.8225476857351</v>
      </c>
      <c r="Y39">
        <v>1704.9945223996983</v>
      </c>
    </row>
    <row r="40" spans="2:34" ht="15" thickTop="1" x14ac:dyDescent="0.3">
      <c r="B40" s="45" t="s">
        <v>26</v>
      </c>
      <c r="C40" s="65">
        <f>SUM(C23:C39)</f>
        <v>18118</v>
      </c>
      <c r="D40" s="65">
        <f t="shared" ref="D40:L40" si="38">SUM(D23:D39)</f>
        <v>17214</v>
      </c>
      <c r="E40" s="65">
        <f t="shared" si="38"/>
        <v>17695</v>
      </c>
      <c r="F40" s="65">
        <f t="shared" si="38"/>
        <v>18475</v>
      </c>
      <c r="G40" s="65">
        <f t="shared" si="38"/>
        <v>20259</v>
      </c>
      <c r="H40" s="65">
        <f t="shared" si="38"/>
        <v>20528</v>
      </c>
      <c r="I40" s="65">
        <f t="shared" si="38"/>
        <v>25026</v>
      </c>
      <c r="J40" s="65">
        <f t="shared" si="38"/>
        <v>28646</v>
      </c>
      <c r="K40" s="65">
        <f t="shared" si="38"/>
        <v>34940</v>
      </c>
      <c r="L40" s="65">
        <f t="shared" si="38"/>
        <v>33518</v>
      </c>
      <c r="M40" s="66"/>
      <c r="N40" s="46" t="s">
        <v>198</v>
      </c>
      <c r="O40" s="45">
        <f>SUM(O23:O39)</f>
        <v>36310.47339399928</v>
      </c>
      <c r="P40" s="45">
        <f t="shared" ref="P40:Y40" si="39">SUM(P23:P39)</f>
        <v>39446.761276564248</v>
      </c>
      <c r="Q40" s="45">
        <f t="shared" si="39"/>
        <v>42982.610361402527</v>
      </c>
      <c r="R40" s="45">
        <f t="shared" si="39"/>
        <v>46985.335393726724</v>
      </c>
      <c r="S40" s="45">
        <f t="shared" si="39"/>
        <v>51536.827287794076</v>
      </c>
      <c r="U40" s="45">
        <f t="shared" si="39"/>
        <v>35991.245042380615</v>
      </c>
      <c r="V40" s="45">
        <f t="shared" si="39"/>
        <v>38037.807607163537</v>
      </c>
      <c r="W40" s="45">
        <f t="shared" si="39"/>
        <v>40084.370171946466</v>
      </c>
      <c r="X40" s="45">
        <f t="shared" si="39"/>
        <v>42131.392328592119</v>
      </c>
      <c r="Y40" s="45">
        <f t="shared" si="39"/>
        <v>44177.495301512303</v>
      </c>
    </row>
    <row r="41" spans="2:34" ht="15" thickBot="1" x14ac:dyDescent="0.35">
      <c r="B41" t="s">
        <v>130</v>
      </c>
      <c r="D41">
        <v>2430</v>
      </c>
      <c r="E41">
        <v>2597</v>
      </c>
      <c r="M41" s="66"/>
    </row>
    <row r="42" spans="2:34" ht="15" thickTop="1" x14ac:dyDescent="0.3">
      <c r="B42" s="47"/>
      <c r="C42" s="48">
        <v>42094</v>
      </c>
      <c r="D42" s="48">
        <v>42460</v>
      </c>
      <c r="E42" s="48">
        <v>42825</v>
      </c>
      <c r="F42" s="48">
        <v>43190</v>
      </c>
      <c r="G42" s="48">
        <v>43555</v>
      </c>
      <c r="H42" s="48">
        <v>43921</v>
      </c>
      <c r="I42" s="48">
        <v>44286</v>
      </c>
      <c r="J42" s="48">
        <v>44651</v>
      </c>
      <c r="K42" s="48">
        <v>45016</v>
      </c>
      <c r="L42" s="49">
        <v>45382</v>
      </c>
      <c r="M42" s="66"/>
      <c r="O42" s="101">
        <v>45717</v>
      </c>
      <c r="P42" s="102">
        <v>46082</v>
      </c>
      <c r="Q42" s="102">
        <v>46447</v>
      </c>
      <c r="R42" s="102">
        <v>46813</v>
      </c>
      <c r="S42" s="102">
        <v>47178</v>
      </c>
      <c r="T42" s="106"/>
      <c r="U42" s="102">
        <v>45717</v>
      </c>
      <c r="V42" s="102">
        <v>46082</v>
      </c>
      <c r="W42" s="102">
        <v>46447</v>
      </c>
      <c r="X42" s="102">
        <v>46813</v>
      </c>
      <c r="Y42" s="103">
        <v>47178</v>
      </c>
    </row>
    <row r="43" spans="2:34" x14ac:dyDescent="0.3">
      <c r="B43" s="74" t="s">
        <v>136</v>
      </c>
      <c r="C43" s="52"/>
      <c r="D43" s="52"/>
      <c r="E43" s="52"/>
      <c r="F43" s="52"/>
      <c r="G43" s="52"/>
      <c r="H43" s="52"/>
      <c r="I43" s="52"/>
      <c r="J43" s="52"/>
      <c r="K43" s="52"/>
      <c r="L43" s="53"/>
      <c r="M43" s="66"/>
      <c r="O43" s="138"/>
      <c r="P43" s="52"/>
      <c r="Q43" s="52"/>
      <c r="R43" s="52"/>
      <c r="S43" s="52"/>
      <c r="T43" s="52"/>
      <c r="U43" s="52"/>
      <c r="V43" s="52"/>
      <c r="W43" s="52"/>
      <c r="X43" s="52"/>
      <c r="Y43" s="139"/>
    </row>
    <row r="44" spans="2:34" ht="15" thickBot="1" x14ac:dyDescent="0.35">
      <c r="B44" s="76" t="s">
        <v>137</v>
      </c>
      <c r="C44" s="58">
        <v>3872</v>
      </c>
      <c r="D44" s="58">
        <v>4526</v>
      </c>
      <c r="E44" s="58">
        <v>3470</v>
      </c>
      <c r="F44" s="58">
        <v>4105</v>
      </c>
      <c r="G44" s="58">
        <v>4607</v>
      </c>
      <c r="H44" s="58">
        <v>4713</v>
      </c>
      <c r="I44" s="58">
        <v>4737</v>
      </c>
      <c r="J44" s="58">
        <v>4718</v>
      </c>
      <c r="K44" s="58">
        <v>4859</v>
      </c>
      <c r="L44" s="59">
        <v>6380</v>
      </c>
      <c r="M44" s="66">
        <f t="shared" si="19"/>
        <v>5.7056911110783481E-2</v>
      </c>
      <c r="O44" s="138">
        <f>L44*(1+M44)</f>
        <v>6744.0230928867986</v>
      </c>
      <c r="P44" s="52">
        <f>O44*(1+$M$44)</f>
        <v>7128.8162190267121</v>
      </c>
      <c r="Q44" s="52">
        <f t="shared" ref="Q44:S44" si="40">P44*(1+$M$44)</f>
        <v>7535.5644523608307</v>
      </c>
      <c r="R44" s="52">
        <f t="shared" si="40"/>
        <v>7965.5204834887627</v>
      </c>
      <c r="S44" s="52">
        <f t="shared" si="40"/>
        <v>8420.0084776663061</v>
      </c>
      <c r="T44" s="52"/>
      <c r="U44" s="52" cm="1">
        <f t="array" ref="U44:Y44">_xlfn.FORECAST.ETS($U$42:$Y$42,C44:L44,$C$42:$L$42,1,0,1)</f>
        <v>5851.2866997667306</v>
      </c>
      <c r="V44" s="52">
        <v>6050.429664147051</v>
      </c>
      <c r="W44" s="52">
        <v>6249.5726285273704</v>
      </c>
      <c r="X44" s="52">
        <v>6448.7603139865996</v>
      </c>
      <c r="Y44" s="139">
        <v>6647.8585572880102</v>
      </c>
      <c r="AB44" s="40" t="s">
        <v>183</v>
      </c>
    </row>
    <row r="45" spans="2:34" ht="15" thickTop="1" x14ac:dyDescent="0.3">
      <c r="B45" s="76" t="s">
        <v>138</v>
      </c>
      <c r="C45" s="58">
        <v>1411</v>
      </c>
      <c r="D45" s="58">
        <v>1473</v>
      </c>
      <c r="E45" s="58">
        <v>1457</v>
      </c>
      <c r="F45" s="58">
        <v>1492</v>
      </c>
      <c r="G45" s="58">
        <v>1599</v>
      </c>
      <c r="H45" s="58">
        <v>1507</v>
      </c>
      <c r="I45" s="58">
        <v>1674</v>
      </c>
      <c r="J45" s="58">
        <v>1801</v>
      </c>
      <c r="K45" s="58">
        <v>1901</v>
      </c>
      <c r="L45" s="59">
        <v>1917</v>
      </c>
      <c r="M45" s="66">
        <f t="shared" si="19"/>
        <v>3.4637807723073788E-2</v>
      </c>
      <c r="O45" s="138">
        <f t="shared" ref="O45:O56" si="41">L45*(1+M45)</f>
        <v>1983.4006774051325</v>
      </c>
      <c r="P45" s="52">
        <f t="shared" ref="P45:S45" si="42">O45*(1+$M$44)</f>
        <v>2096.5673935529048</v>
      </c>
      <c r="Q45" s="52">
        <f t="shared" si="42"/>
        <v>2216.1910529646198</v>
      </c>
      <c r="R45" s="52">
        <f t="shared" si="42"/>
        <v>2342.6400688781359</v>
      </c>
      <c r="S45" s="52">
        <f t="shared" si="42"/>
        <v>2476.3038750526753</v>
      </c>
      <c r="T45" s="52"/>
      <c r="U45" s="52" cm="1">
        <f t="array" ref="U45:Y45">_xlfn.FORECAST.ETS($U$42:$Y$42,C45:L45,$C$42:$L$42,1,0,1)</f>
        <v>1971.3190529571568</v>
      </c>
      <c r="V45" s="52">
        <v>2030.2060499246097</v>
      </c>
      <c r="W45" s="52">
        <v>2089.0930468920624</v>
      </c>
      <c r="X45" s="52">
        <v>2147.9932679774065</v>
      </c>
      <c r="Y45" s="139">
        <v>2206.8670408269686</v>
      </c>
      <c r="AA45" t="s">
        <v>174</v>
      </c>
      <c r="AB45" s="120" t="s">
        <v>131</v>
      </c>
      <c r="AC45" s="121">
        <v>45717</v>
      </c>
      <c r="AD45" s="121">
        <v>46082</v>
      </c>
      <c r="AE45" s="121">
        <v>46447</v>
      </c>
      <c r="AF45" s="121">
        <v>46813</v>
      </c>
      <c r="AG45" s="122">
        <v>47178</v>
      </c>
      <c r="AH45" t="s">
        <v>174</v>
      </c>
    </row>
    <row r="46" spans="2:34" x14ac:dyDescent="0.3">
      <c r="B46" s="76" t="s">
        <v>149</v>
      </c>
      <c r="C46" s="52">
        <v>735</v>
      </c>
      <c r="D46" s="52">
        <v>886</v>
      </c>
      <c r="E46" s="52">
        <v>680</v>
      </c>
      <c r="F46" s="52">
        <v>645</v>
      </c>
      <c r="G46" s="52">
        <v>690</v>
      </c>
      <c r="H46" s="52">
        <v>699</v>
      </c>
      <c r="I46" s="52">
        <v>730</v>
      </c>
      <c r="J46" s="52">
        <v>839</v>
      </c>
      <c r="K46" s="52">
        <v>990</v>
      </c>
      <c r="L46" s="59">
        <v>1129</v>
      </c>
      <c r="M46" s="66">
        <f t="shared" si="19"/>
        <v>4.8846286165410202E-2</v>
      </c>
      <c r="O46" s="138">
        <f t="shared" si="41"/>
        <v>1184.1474570807482</v>
      </c>
      <c r="P46" s="52">
        <f t="shared" ref="P46:S46" si="43">O46*(1+$M$44)</f>
        <v>1251.7112532814647</v>
      </c>
      <c r="Q46" s="52">
        <f t="shared" si="43"/>
        <v>1323.1300309963126</v>
      </c>
      <c r="R46" s="52">
        <f t="shared" si="43"/>
        <v>1398.6237435628775</v>
      </c>
      <c r="S46" s="52">
        <f t="shared" si="43"/>
        <v>1478.4248941767758</v>
      </c>
      <c r="T46" s="52"/>
      <c r="U46" s="52" cm="1">
        <f t="array" ref="U46:Y46">_xlfn.FORECAST.ETS($U$42:$Y$42,C46:L46,$C$42:$L$42,1,0,1)</f>
        <v>1146.8242930396493</v>
      </c>
      <c r="V46" s="52">
        <v>1179.2478969074309</v>
      </c>
      <c r="W46" s="52">
        <v>1211.6715007752127</v>
      </c>
      <c r="X46" s="52">
        <v>1244.1023859373731</v>
      </c>
      <c r="Y46" s="139">
        <v>1276.5187085107764</v>
      </c>
      <c r="AB46" s="76" t="s">
        <v>184</v>
      </c>
      <c r="AC46" s="133">
        <f>'Profit &amp; Loss'!AQ9</f>
        <v>462.91264546158533</v>
      </c>
      <c r="AD46" s="133">
        <f>'Profit &amp; Loss'!AR9</f>
        <v>641.58118960551917</v>
      </c>
      <c r="AE46" s="133">
        <f>'Profit &amp; Loss'!AS9</f>
        <v>889.20971784036487</v>
      </c>
      <c r="AF46" s="133">
        <f>'Profit &amp; Loss'!AT9</f>
        <v>1232.4144396875245</v>
      </c>
      <c r="AG46" s="134">
        <f>'Profit &amp; Loss'!AU9</f>
        <v>1708.0845167090101</v>
      </c>
    </row>
    <row r="47" spans="2:34" x14ac:dyDescent="0.3">
      <c r="B47" s="76" t="s">
        <v>139</v>
      </c>
      <c r="C47" s="52">
        <v>350</v>
      </c>
      <c r="D47" s="52">
        <v>365</v>
      </c>
      <c r="E47" s="52">
        <v>364</v>
      </c>
      <c r="F47" s="52">
        <v>348</v>
      </c>
      <c r="G47" s="52">
        <v>383</v>
      </c>
      <c r="H47" s="52">
        <v>387</v>
      </c>
      <c r="I47" s="52">
        <v>446</v>
      </c>
      <c r="J47" s="52">
        <v>497</v>
      </c>
      <c r="K47" s="52">
        <v>601</v>
      </c>
      <c r="L47" s="59">
        <v>780</v>
      </c>
      <c r="M47" s="66"/>
      <c r="O47" s="138">
        <f t="shared" si="41"/>
        <v>780</v>
      </c>
      <c r="P47" s="52">
        <f t="shared" ref="P47:S47" si="44">O47*(1+$M$44)</f>
        <v>824.50439066641115</v>
      </c>
      <c r="Q47" s="52">
        <f t="shared" si="44"/>
        <v>871.54806439511526</v>
      </c>
      <c r="R47" s="52">
        <f t="shared" si="44"/>
        <v>921.27590483408278</v>
      </c>
      <c r="S47" s="52">
        <f t="shared" si="44"/>
        <v>973.8410622447077</v>
      </c>
      <c r="T47" s="52"/>
      <c r="U47" s="52" cm="1">
        <f t="array" ref="U47:Y47">_xlfn.FORECAST.ETS($U$42:$Y$42,C47:L47,$C$42:$L$42,1,0,1)</f>
        <v>816.0726442507264</v>
      </c>
      <c r="V47" s="52">
        <v>855.37567455375677</v>
      </c>
      <c r="W47" s="52">
        <v>894.67870485678702</v>
      </c>
      <c r="X47" s="52">
        <v>933.99056135121714</v>
      </c>
      <c r="Y47" s="139">
        <v>973.28476546284764</v>
      </c>
      <c r="AB47" s="76" t="s">
        <v>185</v>
      </c>
      <c r="AC47" s="133">
        <f>'Profit &amp; Loss'!AW9</f>
        <v>241.72513185151212</v>
      </c>
      <c r="AD47" s="133">
        <f>'Profit &amp; Loss'!AX9</f>
        <v>267.29633408405107</v>
      </c>
      <c r="AE47" s="133">
        <f>'Profit &amp; Loss'!AY9</f>
        <v>292.86753631658996</v>
      </c>
      <c r="AF47" s="133">
        <f>'Profit &amp; Loss'!AZ9</f>
        <v>318.4444810153837</v>
      </c>
      <c r="AG47" s="134">
        <f>'Profit &amp; Loss'!BA9</f>
        <v>344.00994078166786</v>
      </c>
    </row>
    <row r="48" spans="2:34" x14ac:dyDescent="0.3">
      <c r="B48" s="76" t="s">
        <v>140</v>
      </c>
      <c r="C48" s="52">
        <v>380</v>
      </c>
      <c r="D48" s="52">
        <v>332</v>
      </c>
      <c r="E48" s="52">
        <v>290</v>
      </c>
      <c r="F48" s="52">
        <v>405</v>
      </c>
      <c r="G48" s="52">
        <v>308</v>
      </c>
      <c r="H48" s="52">
        <v>299</v>
      </c>
      <c r="I48" s="52">
        <v>413</v>
      </c>
      <c r="J48" s="52">
        <v>395</v>
      </c>
      <c r="K48" s="52">
        <v>349</v>
      </c>
      <c r="L48" s="59">
        <v>354</v>
      </c>
      <c r="M48" s="66">
        <f t="shared" si="19"/>
        <v>-7.8440006193417622E-3</v>
      </c>
      <c r="O48" s="138">
        <f t="shared" si="41"/>
        <v>351.22322378075302</v>
      </c>
      <c r="P48" s="52">
        <f t="shared" ref="P48:S48" si="45">O48*(1+$M$44)</f>
        <v>371.26293604005429</v>
      </c>
      <c r="Q48" s="52">
        <f t="shared" si="45"/>
        <v>392.44605238042016</v>
      </c>
      <c r="R48" s="52">
        <f t="shared" si="45"/>
        <v>414.83781190686767</v>
      </c>
      <c r="S48" s="52">
        <f t="shared" si="45"/>
        <v>438.50717606622976</v>
      </c>
      <c r="T48" s="52"/>
      <c r="U48" s="52" cm="1">
        <f t="array" ref="U48:Y48">_xlfn.FORECAST.ETS($U$42:$Y$42,C48:L48,$C$42:$L$42,1,0,1)</f>
        <v>363.41086407788498</v>
      </c>
      <c r="V48" s="52">
        <v>330.58669815178513</v>
      </c>
      <c r="W48" s="52">
        <v>429.31064276426235</v>
      </c>
      <c r="X48" s="52">
        <v>377.66146772113495</v>
      </c>
      <c r="Y48" s="139">
        <v>344.8521525221928</v>
      </c>
      <c r="AB48" s="76" t="s">
        <v>186</v>
      </c>
      <c r="AC48" s="133">
        <f>O38</f>
        <v>413.13172574806163</v>
      </c>
      <c r="AD48" s="133">
        <f t="shared" ref="AD48:AG48" si="46">P38</f>
        <v>565.15835370719083</v>
      </c>
      <c r="AE48" s="133">
        <f t="shared" si="46"/>
        <v>773.12862909928867</v>
      </c>
      <c r="AF48" s="133">
        <f t="shared" si="46"/>
        <v>1057.6290224007357</v>
      </c>
      <c r="AG48" s="134">
        <f t="shared" si="46"/>
        <v>1446.8215338597724</v>
      </c>
    </row>
    <row r="49" spans="2:34" ht="15" thickBot="1" x14ac:dyDescent="0.35">
      <c r="B49" s="76" t="s">
        <v>142</v>
      </c>
      <c r="C49" s="52">
        <v>304</v>
      </c>
      <c r="D49" s="52">
        <v>271</v>
      </c>
      <c r="E49" s="52">
        <v>257</v>
      </c>
      <c r="F49" s="52">
        <v>259</v>
      </c>
      <c r="G49" s="52">
        <v>315</v>
      </c>
      <c r="H49" s="52">
        <v>110</v>
      </c>
      <c r="I49" s="52">
        <v>304</v>
      </c>
      <c r="J49" s="52">
        <v>277</v>
      </c>
      <c r="K49" s="52">
        <v>325</v>
      </c>
      <c r="L49" s="59">
        <v>384</v>
      </c>
      <c r="M49" s="66">
        <f t="shared" si="19"/>
        <v>2.6297027857260957E-2</v>
      </c>
      <c r="O49" s="138">
        <f t="shared" si="41"/>
        <v>394.09805869718821</v>
      </c>
      <c r="P49" s="52">
        <f t="shared" ref="P49:S49" si="47">O49*(1+$M$44)</f>
        <v>416.58407660120599</v>
      </c>
      <c r="Q49" s="52">
        <f t="shared" si="47"/>
        <v>440.35307723000881</v>
      </c>
      <c r="R49" s="52">
        <f t="shared" si="47"/>
        <v>465.47826361488137</v>
      </c>
      <c r="S49" s="52">
        <f t="shared" si="47"/>
        <v>492.03701552595749</v>
      </c>
      <c r="T49" s="52"/>
      <c r="U49" s="52" cm="1">
        <f t="array" ref="U49:Y49">_xlfn.FORECAST.ETS($U$42:$Y$42,C49:L49,$C$42:$L$42,1,0,1)</f>
        <v>329.52109071880977</v>
      </c>
      <c r="V49" s="52">
        <v>336.19491033685301</v>
      </c>
      <c r="W49" s="52">
        <v>342.86872995489625</v>
      </c>
      <c r="X49" s="52">
        <v>349.54404829730919</v>
      </c>
      <c r="Y49" s="139">
        <v>356.21636919098279</v>
      </c>
      <c r="AB49" s="77" t="s">
        <v>187</v>
      </c>
      <c r="AC49" s="135">
        <f>U38</f>
        <v>219.21696914594261</v>
      </c>
      <c r="AD49" s="135">
        <f t="shared" ref="AD49:AG49" si="48">V38</f>
        <v>242.60925740263184</v>
      </c>
      <c r="AE49" s="135">
        <f t="shared" si="48"/>
        <v>266.00154565932098</v>
      </c>
      <c r="AF49" s="135">
        <f t="shared" si="48"/>
        <v>289.39908706854925</v>
      </c>
      <c r="AG49" s="136">
        <f t="shared" si="48"/>
        <v>312.78612217269927</v>
      </c>
    </row>
    <row r="50" spans="2:34" ht="15" thickTop="1" x14ac:dyDescent="0.3">
      <c r="B50" s="76" t="s">
        <v>141</v>
      </c>
      <c r="C50" s="52">
        <v>196</v>
      </c>
      <c r="D50" s="52">
        <v>233</v>
      </c>
      <c r="E50" s="52">
        <v>241</v>
      </c>
      <c r="F50" s="52">
        <v>260</v>
      </c>
      <c r="G50" s="52">
        <v>281</v>
      </c>
      <c r="H50" s="52">
        <v>80</v>
      </c>
      <c r="I50" s="52">
        <v>101</v>
      </c>
      <c r="J50" s="52">
        <v>79</v>
      </c>
      <c r="K50" s="52">
        <v>80</v>
      </c>
      <c r="L50" s="59">
        <v>81</v>
      </c>
      <c r="M50" s="66">
        <f t="shared" si="19"/>
        <v>-9.3518861598355763E-2</v>
      </c>
      <c r="O50" s="138">
        <f t="shared" si="41"/>
        <v>73.424972210533184</v>
      </c>
      <c r="P50" s="52">
        <f t="shared" ref="P50:S50" si="49">O50*(1+$M$44)</f>
        <v>77.61437432326133</v>
      </c>
      <c r="Q50" s="52">
        <f t="shared" si="49"/>
        <v>82.042810779942727</v>
      </c>
      <c r="R50" s="52">
        <f t="shared" si="49"/>
        <v>86.723920141892748</v>
      </c>
      <c r="S50" s="52">
        <f t="shared" si="49"/>
        <v>91.672119144607407</v>
      </c>
      <c r="T50" s="52"/>
      <c r="U50" s="52" cm="1">
        <f t="array" ref="U50:Y50">_xlfn.FORECAST.ETS($U$42:$Y$42,C50:L50,$C$42:$L$42,1,0,1)</f>
        <v>45.879489242643956</v>
      </c>
      <c r="V50" s="52">
        <v>24.227176652401536</v>
      </c>
      <c r="W50" s="52">
        <v>2.5748640621591576</v>
      </c>
      <c r="X50" s="52">
        <v>-19.082310938276439</v>
      </c>
      <c r="Y50" s="139">
        <v>-40.729761118325612</v>
      </c>
    </row>
    <row r="51" spans="2:34" x14ac:dyDescent="0.3">
      <c r="B51" s="76" t="s">
        <v>143</v>
      </c>
      <c r="C51" s="52">
        <v>166</v>
      </c>
      <c r="D51" s="52">
        <v>176</v>
      </c>
      <c r="E51" s="52">
        <v>176</v>
      </c>
      <c r="F51" s="52">
        <v>157</v>
      </c>
      <c r="G51" s="52">
        <v>166</v>
      </c>
      <c r="H51" s="52">
        <v>165</v>
      </c>
      <c r="I51" s="52">
        <v>90</v>
      </c>
      <c r="J51" s="52">
        <v>107</v>
      </c>
      <c r="K51" s="52">
        <v>238</v>
      </c>
      <c r="L51" s="59">
        <v>269</v>
      </c>
      <c r="M51" s="66">
        <f t="shared" si="19"/>
        <v>5.5100427755459203E-2</v>
      </c>
      <c r="O51" s="138">
        <f t="shared" si="41"/>
        <v>283.82201506621851</v>
      </c>
      <c r="P51" s="52">
        <f t="shared" ref="P51:S51" si="50">O51*(1+$M$44)</f>
        <v>300.01602255113517</v>
      </c>
      <c r="Q51" s="52">
        <f t="shared" si="50"/>
        <v>317.13401008164612</v>
      </c>
      <c r="R51" s="52">
        <f t="shared" si="50"/>
        <v>335.22869710508093</v>
      </c>
      <c r="S51" s="52">
        <f t="shared" si="50"/>
        <v>354.35581107758929</v>
      </c>
      <c r="T51" s="52"/>
      <c r="U51" s="52" cm="1">
        <f t="array" ref="U51:Y51">_xlfn.FORECAST.ETS($U$42:$Y$42,C51:L51,$C$42:$L$42,1,0,1)</f>
        <v>269.71366703439247</v>
      </c>
      <c r="V51" s="52">
        <v>274.70809793679615</v>
      </c>
      <c r="W51" s="52">
        <v>279.70252883919983</v>
      </c>
      <c r="X51" s="52">
        <v>284.69808132949981</v>
      </c>
      <c r="Y51" s="139">
        <v>289.69139064400724</v>
      </c>
    </row>
    <row r="52" spans="2:34" x14ac:dyDescent="0.3">
      <c r="B52" s="76" t="s">
        <v>144</v>
      </c>
      <c r="C52" s="52">
        <v>105.37</v>
      </c>
      <c r="D52" s="52">
        <v>119.27</v>
      </c>
      <c r="E52" s="52">
        <v>117</v>
      </c>
      <c r="F52" s="52">
        <v>109</v>
      </c>
      <c r="G52" s="52">
        <v>143</v>
      </c>
      <c r="H52" s="52">
        <v>156</v>
      </c>
      <c r="I52" s="52">
        <v>150</v>
      </c>
      <c r="J52" s="52">
        <v>189</v>
      </c>
      <c r="K52" s="52">
        <v>201</v>
      </c>
      <c r="L52" s="59">
        <v>202</v>
      </c>
      <c r="M52" s="66">
        <f t="shared" si="19"/>
        <v>7.4988506827118773E-2</v>
      </c>
      <c r="O52" s="138">
        <f t="shared" si="41"/>
        <v>217.147678379078</v>
      </c>
      <c r="P52" s="52">
        <f t="shared" ref="P52:S52" si="51">O52*(1+$M$44)</f>
        <v>229.53745416226604</v>
      </c>
      <c r="Q52" s="52">
        <f t="shared" si="51"/>
        <v>242.63415228099799</v>
      </c>
      <c r="R52" s="52">
        <f t="shared" si="51"/>
        <v>256.47810754013523</v>
      </c>
      <c r="S52" s="52">
        <f t="shared" si="51"/>
        <v>271.11195612391469</v>
      </c>
      <c r="T52" s="52"/>
      <c r="U52" s="52" cm="1">
        <f t="array" ref="U52:Y52">_xlfn.FORECAST.ETS($U$42:$Y$42,C52:L52,$C$42:$L$42,1,0,1)</f>
        <v>232.38924692054496</v>
      </c>
      <c r="V52" s="52">
        <v>243.52613216693342</v>
      </c>
      <c r="W52" s="52">
        <v>251.25771461198411</v>
      </c>
      <c r="X52" s="52">
        <v>277.03556687297646</v>
      </c>
      <c r="Y52" s="139">
        <v>288.16629832223265</v>
      </c>
    </row>
    <row r="53" spans="2:34" x14ac:dyDescent="0.3">
      <c r="B53" s="76" t="s">
        <v>145</v>
      </c>
      <c r="C53" s="52">
        <v>82</v>
      </c>
      <c r="D53" s="52">
        <v>92</v>
      </c>
      <c r="E53" s="52">
        <v>104</v>
      </c>
      <c r="F53" s="52">
        <v>116</v>
      </c>
      <c r="G53" s="52">
        <v>129</v>
      </c>
      <c r="H53" s="52">
        <v>146</v>
      </c>
      <c r="I53" s="52">
        <v>165</v>
      </c>
      <c r="J53" s="52">
        <v>186</v>
      </c>
      <c r="K53" s="52">
        <v>209</v>
      </c>
      <c r="L53" s="59">
        <v>234</v>
      </c>
      <c r="M53" s="66">
        <f t="shared" si="19"/>
        <v>0.12357022772378312</v>
      </c>
      <c r="O53" s="138">
        <f t="shared" si="41"/>
        <v>262.91543328736526</v>
      </c>
      <c r="P53" s="52">
        <f t="shared" ref="P53:S53" si="52">O53*(1+$M$44)</f>
        <v>277.91657579409559</v>
      </c>
      <c r="Q53" s="52">
        <f t="shared" si="52"/>
        <v>293.77363715539263</v>
      </c>
      <c r="R53" s="52">
        <f t="shared" si="52"/>
        <v>310.53545345725945</v>
      </c>
      <c r="S53" s="52">
        <f t="shared" si="52"/>
        <v>328.25364722191716</v>
      </c>
      <c r="T53" s="52"/>
      <c r="U53" s="52" cm="1">
        <f t="array" ref="U53:Y53">_xlfn.FORECAST.ETS($U$42:$Y$42,C53:L53,$C$42:$L$42,1,0,1)</f>
        <v>256.73860649672247</v>
      </c>
      <c r="V53" s="52">
        <v>281.51835417365902</v>
      </c>
      <c r="W53" s="52">
        <v>306.29810185059557</v>
      </c>
      <c r="X53" s="52">
        <v>331.083414258652</v>
      </c>
      <c r="Y53" s="139">
        <v>355.85759720446862</v>
      </c>
    </row>
    <row r="54" spans="2:34" ht="15" thickBot="1" x14ac:dyDescent="0.35">
      <c r="B54" s="76" t="s">
        <v>146</v>
      </c>
      <c r="C54" s="52">
        <v>898</v>
      </c>
      <c r="D54" s="52">
        <v>1050</v>
      </c>
      <c r="E54" s="58">
        <v>1266</v>
      </c>
      <c r="F54" s="58">
        <v>1282</v>
      </c>
      <c r="G54" s="58">
        <v>1424</v>
      </c>
      <c r="H54" s="58">
        <v>1542</v>
      </c>
      <c r="I54" s="58">
        <v>1956</v>
      </c>
      <c r="J54" s="58">
        <v>2079</v>
      </c>
      <c r="K54" s="58">
        <v>1950</v>
      </c>
      <c r="L54" s="59">
        <v>2440</v>
      </c>
      <c r="M54" s="66">
        <f t="shared" si="19"/>
        <v>0.11746732259676129</v>
      </c>
      <c r="O54" s="138">
        <f t="shared" si="41"/>
        <v>2726.6202671360975</v>
      </c>
      <c r="P54" s="52">
        <f t="shared" ref="P54:S54" si="53">O54*(1+$M$44)</f>
        <v>2882.1927973509423</v>
      </c>
      <c r="Q54" s="52">
        <f t="shared" si="53"/>
        <v>3046.6418155935353</v>
      </c>
      <c r="R54" s="52">
        <f t="shared" si="53"/>
        <v>3220.4737868522516</v>
      </c>
      <c r="S54" s="52">
        <f t="shared" si="53"/>
        <v>3404.2240734432889</v>
      </c>
      <c r="T54" s="52"/>
      <c r="U54" s="52" cm="1">
        <f t="array" ref="U54:Y54">_xlfn.FORECAST.ETS($U$42:$Y$42,C54:L54,$C$42:$L$42,1,0,1)</f>
        <v>2481.7159470025308</v>
      </c>
      <c r="V54" s="52">
        <v>2641.3307652364679</v>
      </c>
      <c r="W54" s="52">
        <v>2800.9455834704049</v>
      </c>
      <c r="X54" s="52">
        <v>2960.596246038102</v>
      </c>
      <c r="Y54" s="139">
        <v>3120.1752199382786</v>
      </c>
      <c r="AB54" s="40" t="s">
        <v>193</v>
      </c>
    </row>
    <row r="55" spans="2:34" ht="15" thickTop="1" x14ac:dyDescent="0.3">
      <c r="B55" s="74" t="s">
        <v>147</v>
      </c>
      <c r="C55" s="52"/>
      <c r="D55" s="52"/>
      <c r="E55" s="52"/>
      <c r="F55" s="52"/>
      <c r="G55" s="52"/>
      <c r="H55" s="52"/>
      <c r="I55" s="52"/>
      <c r="J55" s="52"/>
      <c r="K55" s="52"/>
      <c r="L55" s="53"/>
      <c r="M55" s="66"/>
      <c r="O55" s="138"/>
      <c r="P55" s="52"/>
      <c r="Q55" s="52"/>
      <c r="R55" s="52"/>
      <c r="S55" s="52"/>
      <c r="T55" s="52"/>
      <c r="U55" s="52"/>
      <c r="V55" s="52"/>
      <c r="W55" s="52"/>
      <c r="X55" s="52"/>
      <c r="Y55" s="139"/>
      <c r="AA55" t="s">
        <v>174</v>
      </c>
      <c r="AB55" s="120" t="s">
        <v>131</v>
      </c>
      <c r="AC55" s="121">
        <v>45717</v>
      </c>
      <c r="AD55" s="121">
        <v>46082</v>
      </c>
      <c r="AE55" s="121">
        <v>46447</v>
      </c>
      <c r="AF55" s="121">
        <v>46813</v>
      </c>
      <c r="AG55" s="122">
        <v>47178</v>
      </c>
    </row>
    <row r="56" spans="2:34" ht="15" thickBot="1" x14ac:dyDescent="0.35">
      <c r="B56" s="76" t="s">
        <v>148</v>
      </c>
      <c r="C56" s="52">
        <v>2.2000000000000002</v>
      </c>
      <c r="D56" s="52">
        <v>2.06</v>
      </c>
      <c r="E56" s="52">
        <v>4</v>
      </c>
      <c r="F56" s="52">
        <v>4</v>
      </c>
      <c r="G56" s="52">
        <v>4</v>
      </c>
      <c r="H56" s="52">
        <v>4</v>
      </c>
      <c r="I56" s="52">
        <v>5</v>
      </c>
      <c r="J56" s="52">
        <v>5</v>
      </c>
      <c r="K56" s="52">
        <v>5</v>
      </c>
      <c r="L56" s="59">
        <v>6</v>
      </c>
      <c r="M56" s="66">
        <f t="shared" si="19"/>
        <v>0.11792916281614985</v>
      </c>
      <c r="O56" s="140">
        <f t="shared" si="41"/>
        <v>6.7075749768968986</v>
      </c>
      <c r="P56" s="78">
        <f t="shared" ref="P56:S56" si="54">O56*(1+$M$44)</f>
        <v>7.0902884861226205</v>
      </c>
      <c r="Q56" s="78">
        <f t="shared" si="54"/>
        <v>7.4948384460251303</v>
      </c>
      <c r="R56" s="78">
        <f t="shared" si="54"/>
        <v>7.9224707770296687</v>
      </c>
      <c r="S56" s="78">
        <f t="shared" si="54"/>
        <v>8.3745024879324301</v>
      </c>
      <c r="T56" s="78"/>
      <c r="U56" s="78" cm="1">
        <f t="array" ref="U56:Y56">_xlfn.FORECAST.ETS($U$42:$Y$42,C56:L56,$C$42:$L$42,1,0,1)</f>
        <v>5.8514159283593239</v>
      </c>
      <c r="V56" s="78">
        <v>6.2172034619955383</v>
      </c>
      <c r="W56" s="78">
        <v>6.9218834233877118</v>
      </c>
      <c r="X56" s="78">
        <v>6.8949327173705024</v>
      </c>
      <c r="Y56" s="141">
        <v>7.2607415475806061</v>
      </c>
      <c r="AB56" s="76" t="s">
        <v>194</v>
      </c>
      <c r="AC56" s="133">
        <f>'Profit &amp; Loss'!AQ11</f>
        <v>3907.4965432175086</v>
      </c>
      <c r="AD56" s="133">
        <f>'Profit &amp; Loss'!AR11</f>
        <v>4190.0464421670631</v>
      </c>
      <c r="AE56" s="133">
        <f>'Profit &amp; Loss'!AS11</f>
        <v>4493.0274392669098</v>
      </c>
      <c r="AF56" s="133">
        <f>'Profit &amp; Loss'!AT11</f>
        <v>4817.916901074881</v>
      </c>
      <c r="AG56" s="134">
        <f>'Profit &amp; Loss'!AU11</f>
        <v>5166.299022079942</v>
      </c>
    </row>
    <row r="57" spans="2:34" ht="15.6" thickTop="1" thickBot="1" x14ac:dyDescent="0.35">
      <c r="B57" s="152" t="s">
        <v>26</v>
      </c>
      <c r="C57" s="153">
        <f>SUM(C44:C56)</f>
        <v>8501.57</v>
      </c>
      <c r="D57" s="153">
        <f t="shared" ref="D57:L57" si="55">SUM(D44:D56)</f>
        <v>9525.33</v>
      </c>
      <c r="E57" s="153">
        <f t="shared" si="55"/>
        <v>8426</v>
      </c>
      <c r="F57" s="153">
        <f t="shared" si="55"/>
        <v>9182</v>
      </c>
      <c r="G57" s="153">
        <f t="shared" si="55"/>
        <v>10049</v>
      </c>
      <c r="H57" s="153">
        <f t="shared" si="55"/>
        <v>9808</v>
      </c>
      <c r="I57" s="153">
        <f t="shared" si="55"/>
        <v>10771</v>
      </c>
      <c r="J57" s="153">
        <f t="shared" si="55"/>
        <v>11172</v>
      </c>
      <c r="K57" s="153">
        <f t="shared" si="55"/>
        <v>11708</v>
      </c>
      <c r="L57" s="154">
        <f t="shared" si="55"/>
        <v>14176</v>
      </c>
      <c r="M57" s="66"/>
      <c r="N57" s="46" t="s">
        <v>199</v>
      </c>
      <c r="O57" s="2">
        <f>SUM(O44:O56)</f>
        <v>15007.530450906808</v>
      </c>
      <c r="P57" s="2">
        <f t="shared" ref="P57:S57" si="56">SUM(P44:P56)</f>
        <v>15863.813781836576</v>
      </c>
      <c r="Q57" s="2">
        <f t="shared" si="56"/>
        <v>16768.953994664851</v>
      </c>
      <c r="R57" s="2">
        <f t="shared" si="56"/>
        <v>17725.738712159258</v>
      </c>
      <c r="S57" s="2">
        <f t="shared" si="56"/>
        <v>18737.1146102319</v>
      </c>
      <c r="T57" s="2"/>
      <c r="U57" s="2">
        <f>SUM(U44:U56)</f>
        <v>13770.72301743615</v>
      </c>
      <c r="V57" s="2">
        <f t="shared" ref="V57:Y57" si="57">SUM(V44:V56)</f>
        <v>14253.56862364974</v>
      </c>
      <c r="W57" s="2">
        <f t="shared" si="57"/>
        <v>14864.895930028324</v>
      </c>
      <c r="X57" s="2">
        <f t="shared" si="57"/>
        <v>15343.277975549365</v>
      </c>
      <c r="Y57" s="2">
        <f t="shared" si="57"/>
        <v>15826.019080340022</v>
      </c>
      <c r="AB57" s="76" t="s">
        <v>195</v>
      </c>
      <c r="AC57" s="133">
        <f>'Profit &amp; Loss'!AW11</f>
        <v>3748.6173387489162</v>
      </c>
      <c r="AD57" s="133">
        <f>'Profit &amp; Loss'!AX11</f>
        <v>3936.8889384209774</v>
      </c>
      <c r="AE57" s="133">
        <f>'Profit &amp; Loss'!AY11</f>
        <v>4125.1605380930378</v>
      </c>
      <c r="AF57" s="133">
        <f>'Profit &amp; Loss'!AZ11</f>
        <v>4313.4744174865618</v>
      </c>
      <c r="AG57" s="134">
        <f>'Profit &amp; Loss'!BA11</f>
        <v>4501.7037374371603</v>
      </c>
    </row>
    <row r="58" spans="2:34" ht="15.6" thickTop="1" thickBot="1" x14ac:dyDescent="0.35">
      <c r="B58" s="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66"/>
      <c r="AB58" s="76" t="s">
        <v>196</v>
      </c>
      <c r="AC58" s="133">
        <f>O82</f>
        <v>3827.7990100500137</v>
      </c>
      <c r="AD58" s="133">
        <f t="shared" ref="AD58:AG58" si="58">P82</f>
        <v>4111.256484872948</v>
      </c>
      <c r="AE58" s="133">
        <f t="shared" si="58"/>
        <v>4415.704649076918</v>
      </c>
      <c r="AF58" s="133">
        <f t="shared" si="58"/>
        <v>4742.6979123347191</v>
      </c>
      <c r="AG58" s="134">
        <f t="shared" si="58"/>
        <v>5093.9057919931747</v>
      </c>
    </row>
    <row r="59" spans="2:34" ht="15.6" thickTop="1" thickBot="1" x14ac:dyDescent="0.35">
      <c r="B59" s="155" t="s">
        <v>167</v>
      </c>
      <c r="C59" s="156">
        <f>(C10+C19)-C40-C57</f>
        <v>5887.66</v>
      </c>
      <c r="D59" s="156">
        <f t="shared" ref="D59:Y59" si="59">(D10+D19)-D40-D57</f>
        <v>6914.49</v>
      </c>
      <c r="E59" s="156">
        <f t="shared" si="59"/>
        <v>10115</v>
      </c>
      <c r="F59" s="156">
        <f t="shared" si="59"/>
        <v>9135</v>
      </c>
      <c r="G59" s="156">
        <f t="shared" si="59"/>
        <v>9548</v>
      </c>
      <c r="H59" s="156">
        <f t="shared" si="59"/>
        <v>9079</v>
      </c>
      <c r="I59" s="156">
        <f t="shared" si="59"/>
        <v>10712</v>
      </c>
      <c r="J59" s="156">
        <f t="shared" si="59"/>
        <v>11768</v>
      </c>
      <c r="K59" s="156">
        <f t="shared" si="59"/>
        <v>13136</v>
      </c>
      <c r="L59" s="157">
        <f t="shared" si="59"/>
        <v>13748</v>
      </c>
      <c r="M59" s="100"/>
      <c r="N59" s="40" t="s">
        <v>167</v>
      </c>
      <c r="O59" s="84">
        <f t="shared" si="59"/>
        <v>15184.827868034299</v>
      </c>
      <c r="P59" s="84">
        <f t="shared" si="59"/>
        <v>16767.964545112114</v>
      </c>
      <c r="Q59" s="84">
        <f t="shared" si="59"/>
        <v>18470.668907937768</v>
      </c>
      <c r="R59" s="84">
        <f t="shared" si="59"/>
        <v>20281.892787426263</v>
      </c>
      <c r="S59" s="84">
        <f t="shared" si="59"/>
        <v>22182.451965763776</v>
      </c>
      <c r="T59" s="84"/>
      <c r="U59" s="84">
        <f t="shared" si="59"/>
        <v>14906.894372993182</v>
      </c>
      <c r="V59" s="84">
        <f t="shared" si="59"/>
        <v>15703.813620053576</v>
      </c>
      <c r="W59" s="84">
        <f t="shared" si="59"/>
        <v>16372.251166948976</v>
      </c>
      <c r="X59" s="84">
        <f t="shared" si="59"/>
        <v>17173.921368560728</v>
      </c>
      <c r="Y59" s="84">
        <f t="shared" si="59"/>
        <v>17970.657723185239</v>
      </c>
      <c r="AB59" s="77" t="s">
        <v>197</v>
      </c>
      <c r="AC59" s="135">
        <f>U82</f>
        <v>3529.7673771758868</v>
      </c>
      <c r="AD59" s="135">
        <f t="shared" ref="AD59:AG59" si="60">V82</f>
        <v>3715.8206162678316</v>
      </c>
      <c r="AE59" s="135">
        <f t="shared" si="60"/>
        <v>3901.8738553597764</v>
      </c>
      <c r="AF59" s="135">
        <f t="shared" si="60"/>
        <v>4087.968876001034</v>
      </c>
      <c r="AG59" s="136">
        <f t="shared" si="60"/>
        <v>4273.9803335436663</v>
      </c>
      <c r="AH59" t="s">
        <v>174</v>
      </c>
    </row>
    <row r="60" spans="2:34" ht="15" thickTop="1" x14ac:dyDescent="0.3">
      <c r="B60" s="76" t="s">
        <v>150</v>
      </c>
      <c r="C60" s="52">
        <v>664</v>
      </c>
      <c r="D60" s="52">
        <v>-39</v>
      </c>
      <c r="E60" s="52">
        <v>237</v>
      </c>
      <c r="F60" s="52">
        <v>-62</v>
      </c>
      <c r="G60" s="52">
        <v>-227</v>
      </c>
      <c r="H60" s="52">
        <v>-197</v>
      </c>
      <c r="I60" s="52">
        <v>-227</v>
      </c>
      <c r="J60" s="52">
        <v>-34</v>
      </c>
      <c r="K60" s="52">
        <v>-62</v>
      </c>
      <c r="L60" s="59">
        <v>-89</v>
      </c>
      <c r="M60" s="66">
        <f>(L60/C60)^(1/9)-1</f>
        <v>-1.7998796696801764</v>
      </c>
      <c r="O60">
        <f>L60*(1+M60)</f>
        <v>71.189290601535703</v>
      </c>
      <c r="P60">
        <f>O60*(1+$M$60)</f>
        <v>-56.942866251122467</v>
      </c>
      <c r="Q60">
        <f t="shared" ref="Q60:S60" si="61">P60*(1+$M$60)</f>
        <v>45.547441047590304</v>
      </c>
      <c r="R60">
        <f t="shared" si="61"/>
        <v>-36.432472099923842</v>
      </c>
      <c r="S60">
        <f t="shared" si="61"/>
        <v>29.141593748919327</v>
      </c>
      <c r="U60" cm="1">
        <f t="array" ref="U60:Y60">_xlfn.FORECAST.ETS(U42:Y42,C60:L60,C42:L42,1,0,1)</f>
        <v>-150.27995388467971</v>
      </c>
      <c r="V60">
        <v>-203.73517699844837</v>
      </c>
      <c r="W60">
        <v>-257.19040011221682</v>
      </c>
      <c r="X60">
        <v>-310.65762754287601</v>
      </c>
      <c r="Y60">
        <v>-364.1008463397539</v>
      </c>
    </row>
    <row r="61" spans="2:34" x14ac:dyDescent="0.3">
      <c r="B61" s="76" t="s">
        <v>151</v>
      </c>
      <c r="C61" s="52">
        <v>62.31</v>
      </c>
      <c r="D61" s="52">
        <v>57.55</v>
      </c>
      <c r="E61" s="52">
        <v>28</v>
      </c>
      <c r="F61" s="52">
        <v>23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3">
        <v>0</v>
      </c>
      <c r="M61" s="66"/>
    </row>
    <row r="62" spans="2:34" ht="15" thickBot="1" x14ac:dyDescent="0.35">
      <c r="B62" s="152" t="s">
        <v>166</v>
      </c>
      <c r="C62" s="153">
        <f>C59-(C60+C61)</f>
        <v>5161.3500000000004</v>
      </c>
      <c r="D62" s="153">
        <f t="shared" ref="D62:L62" si="62">D59-(D60+D61)</f>
        <v>6895.94</v>
      </c>
      <c r="E62" s="153">
        <f t="shared" si="62"/>
        <v>9850</v>
      </c>
      <c r="F62" s="153">
        <f t="shared" si="62"/>
        <v>9174</v>
      </c>
      <c r="G62" s="153">
        <f t="shared" si="62"/>
        <v>9775</v>
      </c>
      <c r="H62" s="153">
        <f t="shared" si="62"/>
        <v>9276</v>
      </c>
      <c r="I62" s="153">
        <f t="shared" si="62"/>
        <v>10939</v>
      </c>
      <c r="J62" s="153">
        <f t="shared" si="62"/>
        <v>11802</v>
      </c>
      <c r="K62" s="153">
        <f t="shared" si="62"/>
        <v>13198</v>
      </c>
      <c r="L62" s="154">
        <f t="shared" si="62"/>
        <v>13837</v>
      </c>
      <c r="M62" s="66">
        <f t="shared" ref="M62" si="63">(L62/C62)^(1/9)-1</f>
        <v>0.11580040449515261</v>
      </c>
      <c r="N62" s="46" t="s">
        <v>166</v>
      </c>
      <c r="O62" s="137">
        <f>(O59-O60)</f>
        <v>15113.638577432763</v>
      </c>
      <c r="P62" s="137">
        <f t="shared" ref="P62:Y62" si="64">(P59-P60)</f>
        <v>16824.907411363238</v>
      </c>
      <c r="Q62" s="137">
        <f t="shared" si="64"/>
        <v>18425.121466890178</v>
      </c>
      <c r="R62" s="137">
        <f t="shared" si="64"/>
        <v>20318.325259526187</v>
      </c>
      <c r="S62" s="137">
        <f t="shared" si="64"/>
        <v>22153.310372014857</v>
      </c>
      <c r="T62" s="84"/>
      <c r="U62" s="137">
        <f t="shared" si="64"/>
        <v>15057.174326877861</v>
      </c>
      <c r="V62" s="137">
        <f t="shared" si="64"/>
        <v>15907.548797052024</v>
      </c>
      <c r="W62" s="137">
        <f t="shared" si="64"/>
        <v>16629.441567061192</v>
      </c>
      <c r="X62" s="137">
        <f t="shared" si="64"/>
        <v>17484.578996103603</v>
      </c>
      <c r="Y62" s="137">
        <f t="shared" si="64"/>
        <v>18334.758569524995</v>
      </c>
    </row>
    <row r="63" spans="2:34" ht="15.6" thickTop="1" thickBot="1" x14ac:dyDescent="0.35">
      <c r="L63" s="83" t="s">
        <v>159</v>
      </c>
      <c r="M63" s="63"/>
      <c r="AB63" s="40" t="s">
        <v>166</v>
      </c>
    </row>
    <row r="64" spans="2:34" ht="15" thickTop="1" x14ac:dyDescent="0.3">
      <c r="B64" s="155" t="s">
        <v>152</v>
      </c>
      <c r="C64" s="48">
        <v>42094</v>
      </c>
      <c r="D64" s="48">
        <v>42460</v>
      </c>
      <c r="E64" s="48">
        <v>42825</v>
      </c>
      <c r="F64" s="48">
        <v>43190</v>
      </c>
      <c r="G64" s="48">
        <v>43555</v>
      </c>
      <c r="H64" s="48">
        <v>43921</v>
      </c>
      <c r="I64" s="48">
        <v>44286</v>
      </c>
      <c r="J64" s="48">
        <v>44651</v>
      </c>
      <c r="K64" s="48">
        <v>45016</v>
      </c>
      <c r="L64" s="49">
        <v>45382</v>
      </c>
      <c r="M64" s="63"/>
      <c r="O64" s="101">
        <v>45717</v>
      </c>
      <c r="P64" s="102">
        <v>46082</v>
      </c>
      <c r="Q64" s="102">
        <v>46447</v>
      </c>
      <c r="R64" s="102">
        <v>46813</v>
      </c>
      <c r="S64" s="102">
        <v>47178</v>
      </c>
      <c r="T64" s="48"/>
      <c r="U64" s="102">
        <v>45717</v>
      </c>
      <c r="V64" s="102">
        <v>46082</v>
      </c>
      <c r="W64" s="102">
        <v>46447</v>
      </c>
      <c r="X64" s="102">
        <v>46813</v>
      </c>
      <c r="Y64" s="103">
        <v>47178</v>
      </c>
      <c r="AA64" t="s">
        <v>174</v>
      </c>
      <c r="AB64" s="120" t="s">
        <v>131</v>
      </c>
      <c r="AC64" s="121">
        <v>45717</v>
      </c>
      <c r="AD64" s="121">
        <v>46082</v>
      </c>
      <c r="AE64" s="121">
        <v>46447</v>
      </c>
      <c r="AF64" s="121">
        <v>46813</v>
      </c>
      <c r="AG64" s="122">
        <v>47178</v>
      </c>
    </row>
    <row r="65" spans="2:33" x14ac:dyDescent="0.3">
      <c r="B65" s="74" t="s">
        <v>170</v>
      </c>
      <c r="C65" s="158">
        <v>6187</v>
      </c>
      <c r="D65" s="158">
        <v>5870</v>
      </c>
      <c r="E65" s="158">
        <v>6396</v>
      </c>
      <c r="F65" s="158">
        <v>7285</v>
      </c>
      <c r="G65" s="159">
        <v>8522</v>
      </c>
      <c r="H65" s="159">
        <v>9092</v>
      </c>
      <c r="I65" s="158">
        <v>10490</v>
      </c>
      <c r="J65" s="158">
        <v>11739</v>
      </c>
      <c r="K65" s="158">
        <v>13079</v>
      </c>
      <c r="L65" s="160">
        <v>13675</v>
      </c>
      <c r="M65" s="175">
        <f>(L65/C65)^(1/9)-1</f>
        <v>9.2123904846006299E-2</v>
      </c>
      <c r="N65" s="46" t="s">
        <v>209</v>
      </c>
      <c r="O65" s="74">
        <f>L65*(1+M65)</f>
        <v>14934.794398769136</v>
      </c>
      <c r="P65" s="104">
        <f>O65*(1+$M$65)</f>
        <v>16310.645976856013</v>
      </c>
      <c r="Q65" s="104">
        <f t="shared" ref="Q65:S65" si="65">P65*(1+$M$65)</f>
        <v>17813.246374804792</v>
      </c>
      <c r="R65" s="104">
        <f t="shared" si="65"/>
        <v>19454.272188835774</v>
      </c>
      <c r="S65" s="104">
        <f t="shared" si="65"/>
        <v>21246.475708808386</v>
      </c>
      <c r="T65" s="52"/>
      <c r="U65" s="104" cm="1">
        <f t="array" ref="U65:Y65">_xlfn.FORECAST.ETS($U$64:$Y$64,C65:L65,$C$64:$L$64,1,0,1)</f>
        <v>14564.622509206367</v>
      </c>
      <c r="V65" s="104">
        <v>15501.51871798492</v>
      </c>
      <c r="W65" s="104">
        <v>16438.414926763475</v>
      </c>
      <c r="X65" s="104">
        <v>17375.52153217548</v>
      </c>
      <c r="Y65" s="105">
        <v>18312.207344320574</v>
      </c>
      <c r="AB65" s="76" t="s">
        <v>200</v>
      </c>
      <c r="AC65" s="133">
        <f>'Profit &amp; Loss'!AQ10</f>
        <v>15203.843452909592</v>
      </c>
      <c r="AD65" s="133">
        <f>'Profit &amp; Loss'!AR10</f>
        <v>16598.941242322409</v>
      </c>
      <c r="AE65" s="133">
        <f>'Profit &amp; Loss'!AS10</f>
        <v>18122.052573051456</v>
      </c>
      <c r="AF65" s="133">
        <f>'Profit &amp; Loss'!AT10</f>
        <v>19784.923909670531</v>
      </c>
      <c r="AG65" s="134">
        <f>'Profit &amp; Loss'!AU10</f>
        <v>21600.379567022745</v>
      </c>
    </row>
    <row r="66" spans="2:33" x14ac:dyDescent="0.3">
      <c r="B66" s="74" t="s">
        <v>158</v>
      </c>
      <c r="C66" s="52"/>
      <c r="D66" s="52"/>
      <c r="E66" s="52"/>
      <c r="F66" s="52"/>
      <c r="G66" s="52"/>
      <c r="H66" s="52"/>
      <c r="I66" s="52"/>
      <c r="J66" s="52"/>
      <c r="K66" s="52"/>
      <c r="L66" s="53"/>
      <c r="M66" s="175"/>
      <c r="O66" s="76"/>
      <c r="P66" s="52"/>
      <c r="Q66" s="52"/>
      <c r="R66" s="52"/>
      <c r="S66" s="52"/>
      <c r="T66" s="52"/>
      <c r="U66" s="52"/>
      <c r="V66" s="52"/>
      <c r="W66" s="52"/>
      <c r="X66" s="52"/>
      <c r="Y66" s="53"/>
      <c r="AB66" s="76" t="s">
        <v>201</v>
      </c>
      <c r="AC66" s="133">
        <f>'Profit &amp; Loss'!AW10</f>
        <v>14830.991510839356</v>
      </c>
      <c r="AD66" s="133">
        <f>'Profit &amp; Loss'!AX10</f>
        <v>15782.70662544802</v>
      </c>
      <c r="AE66" s="133">
        <f>'Profit &amp; Loss'!AY10</f>
        <v>16734.421740056685</v>
      </c>
      <c r="AF66" s="133">
        <f>'Profit &amp; Loss'!AZ10</f>
        <v>17686.35057914651</v>
      </c>
      <c r="AG66" s="134">
        <f>'Profit &amp; Loss'!BA10</f>
        <v>18637.851969274012</v>
      </c>
    </row>
    <row r="67" spans="2:33" x14ac:dyDescent="0.3">
      <c r="B67" s="76" t="s">
        <v>153</v>
      </c>
      <c r="C67" s="58">
        <f>-42847/100</f>
        <v>-428.47</v>
      </c>
      <c r="D67" s="58">
        <f>-49066/100</f>
        <v>-490.66</v>
      </c>
      <c r="E67" s="52">
        <v>-524</v>
      </c>
      <c r="F67" s="52">
        <v>-618</v>
      </c>
      <c r="G67" s="52">
        <v>-656</v>
      </c>
      <c r="H67" s="52">
        <v>-819</v>
      </c>
      <c r="I67" s="52">
        <v>-601</v>
      </c>
      <c r="J67" s="52">
        <v>-540</v>
      </c>
      <c r="K67" s="52">
        <v>-760</v>
      </c>
      <c r="L67" s="53">
        <v>-842</v>
      </c>
      <c r="M67" s="175"/>
      <c r="O67" s="76"/>
      <c r="P67" s="52"/>
      <c r="Q67" s="52"/>
      <c r="R67" s="52"/>
      <c r="S67" s="52"/>
      <c r="T67" s="52"/>
      <c r="U67" s="52"/>
      <c r="V67" s="52"/>
      <c r="W67" s="52"/>
      <c r="X67" s="52"/>
      <c r="Y67" s="53"/>
      <c r="AB67" s="76" t="s">
        <v>202</v>
      </c>
      <c r="AC67" s="58">
        <f>O62</f>
        <v>15113.638577432763</v>
      </c>
      <c r="AD67" s="58">
        <f t="shared" ref="AD67:AG67" si="66">P62</f>
        <v>16824.907411363238</v>
      </c>
      <c r="AE67" s="58">
        <f t="shared" si="66"/>
        <v>18425.121466890178</v>
      </c>
      <c r="AF67" s="58">
        <f t="shared" si="66"/>
        <v>20318.325259526187</v>
      </c>
      <c r="AG67" s="59">
        <f t="shared" si="66"/>
        <v>22153.310372014857</v>
      </c>
    </row>
    <row r="68" spans="2:33" ht="15" thickBot="1" x14ac:dyDescent="0.35">
      <c r="B68" s="76" t="s">
        <v>154</v>
      </c>
      <c r="C68" s="52">
        <v>0</v>
      </c>
      <c r="D68" s="52">
        <v>0</v>
      </c>
      <c r="E68" s="52">
        <v>-17</v>
      </c>
      <c r="F68" s="52">
        <v>55</v>
      </c>
      <c r="G68" s="52">
        <v>-8</v>
      </c>
      <c r="H68" s="52">
        <v>11</v>
      </c>
      <c r="I68" s="52">
        <v>71</v>
      </c>
      <c r="J68" s="52">
        <v>-32</v>
      </c>
      <c r="K68" s="52">
        <v>-37</v>
      </c>
      <c r="L68" s="53">
        <v>-51</v>
      </c>
      <c r="M68" s="175"/>
      <c r="O68" s="76"/>
      <c r="P68" s="52"/>
      <c r="Q68" s="52"/>
      <c r="R68" s="52"/>
      <c r="S68" s="52"/>
      <c r="T68" s="52"/>
      <c r="U68" s="52"/>
      <c r="V68" s="52"/>
      <c r="W68" s="52"/>
      <c r="X68" s="52"/>
      <c r="Y68" s="53"/>
      <c r="AB68" s="77" t="s">
        <v>203</v>
      </c>
      <c r="AC68" s="79">
        <f>U62</f>
        <v>15057.174326877861</v>
      </c>
      <c r="AD68" s="79">
        <f t="shared" ref="AD68:AG68" si="67">V62</f>
        <v>15907.548797052024</v>
      </c>
      <c r="AE68" s="79">
        <f t="shared" si="67"/>
        <v>16629.441567061192</v>
      </c>
      <c r="AF68" s="79">
        <f t="shared" si="67"/>
        <v>17484.578996103603</v>
      </c>
      <c r="AG68" s="145">
        <f t="shared" si="67"/>
        <v>18334.758569524995</v>
      </c>
    </row>
    <row r="69" spans="2:33" ht="15" thickTop="1" x14ac:dyDescent="0.3">
      <c r="B69" s="74" t="s">
        <v>26</v>
      </c>
      <c r="C69" s="159">
        <f>SUM(C67:C68)</f>
        <v>-428.47</v>
      </c>
      <c r="D69" s="159">
        <f t="shared" ref="D69:L69" si="68">SUM(D67:D68)</f>
        <v>-490.66</v>
      </c>
      <c r="E69" s="159">
        <f t="shared" si="68"/>
        <v>-541</v>
      </c>
      <c r="F69" s="159">
        <f t="shared" si="68"/>
        <v>-563</v>
      </c>
      <c r="G69" s="159">
        <f t="shared" si="68"/>
        <v>-664</v>
      </c>
      <c r="H69" s="159">
        <f t="shared" si="68"/>
        <v>-808</v>
      </c>
      <c r="I69" s="159">
        <f t="shared" si="68"/>
        <v>-530</v>
      </c>
      <c r="J69" s="159">
        <f t="shared" si="68"/>
        <v>-572</v>
      </c>
      <c r="K69" s="159">
        <f t="shared" si="68"/>
        <v>-797</v>
      </c>
      <c r="L69" s="161">
        <f t="shared" si="68"/>
        <v>-893</v>
      </c>
      <c r="M69" s="175">
        <f t="shared" ref="M69:M82" si="69">(L69/C69)^(1/9)-1</f>
        <v>8.5017598122564042E-2</v>
      </c>
      <c r="O69" s="76">
        <f t="shared" ref="O69:O81" si="70">L69*(1+M69)</f>
        <v>-968.92071512344967</v>
      </c>
      <c r="P69" s="52">
        <f>O69*(1+$M$69)</f>
        <v>-1051.2960270944425</v>
      </c>
      <c r="Q69" s="52">
        <f>P69*(1+$M$69)</f>
        <v>-1140.6746902338059</v>
      </c>
      <c r="R69" s="52">
        <f>Q69*(1+$M$69)</f>
        <v>-1237.6521126366838</v>
      </c>
      <c r="S69" s="52">
        <f>R69*(1+$M$69)</f>
        <v>-1342.8743225643718</v>
      </c>
      <c r="T69" s="52"/>
      <c r="U69" s="52" cm="1">
        <f t="array" ref="U69:Y69">_xlfn.FORECAST.ETS($U$64:$Y$64,C69:L69,$C$64:$L$64,1,0,1)</f>
        <v>-822.30642977291586</v>
      </c>
      <c r="V69" s="52">
        <v>-862.06978453882039</v>
      </c>
      <c r="W69" s="52">
        <v>-901.83313930472502</v>
      </c>
      <c r="X69" s="52">
        <v>-941.60542363603849</v>
      </c>
      <c r="Y69" s="53">
        <v>-981.3598488365343</v>
      </c>
    </row>
    <row r="70" spans="2:33" x14ac:dyDescent="0.3">
      <c r="B70" s="74" t="s">
        <v>155</v>
      </c>
      <c r="C70" s="52"/>
      <c r="D70" s="52"/>
      <c r="E70" s="52"/>
      <c r="F70" s="52"/>
      <c r="G70" s="52"/>
      <c r="H70" s="52"/>
      <c r="I70" s="52"/>
      <c r="J70" s="52"/>
      <c r="K70" s="52"/>
      <c r="L70" s="53"/>
      <c r="M70" s="175"/>
      <c r="O70" s="76"/>
      <c r="P70" s="52"/>
      <c r="Q70" s="52"/>
      <c r="R70" s="52"/>
      <c r="S70" s="52"/>
      <c r="T70" s="52"/>
      <c r="U70" s="52"/>
      <c r="V70" s="52"/>
      <c r="W70" s="52"/>
      <c r="X70" s="52"/>
      <c r="Y70" s="53"/>
    </row>
    <row r="71" spans="2:33" x14ac:dyDescent="0.3">
      <c r="B71" s="76" t="s">
        <v>153</v>
      </c>
      <c r="C71" s="162">
        <f>-41764/100</f>
        <v>-417.64</v>
      </c>
      <c r="D71" s="163">
        <f>-44547/100</f>
        <v>-445.47</v>
      </c>
      <c r="E71" s="52">
        <v>-500</v>
      </c>
      <c r="F71" s="52">
        <v>-537</v>
      </c>
      <c r="G71" s="52">
        <v>-677</v>
      </c>
      <c r="H71" s="52">
        <v>-374</v>
      </c>
      <c r="I71" s="52">
        <v>-619</v>
      </c>
      <c r="J71" s="52">
        <v>-714</v>
      </c>
      <c r="K71" s="52">
        <v>-516</v>
      </c>
      <c r="L71" s="53">
        <v>-873</v>
      </c>
      <c r="M71" s="175"/>
      <c r="O71" s="76"/>
      <c r="P71" s="52"/>
      <c r="Q71" s="52"/>
      <c r="R71" s="52"/>
      <c r="S71" s="52"/>
      <c r="T71" s="52"/>
      <c r="U71" s="52"/>
      <c r="V71" s="52"/>
      <c r="W71" s="52"/>
      <c r="X71" s="52"/>
      <c r="Y71" s="53"/>
    </row>
    <row r="72" spans="2:33" ht="15" thickBot="1" x14ac:dyDescent="0.35">
      <c r="B72" s="76" t="s">
        <v>154</v>
      </c>
      <c r="C72" s="164">
        <v>0</v>
      </c>
      <c r="D72" s="164">
        <v>0</v>
      </c>
      <c r="E72" s="52">
        <v>20</v>
      </c>
      <c r="F72" s="52">
        <v>12</v>
      </c>
      <c r="G72" s="52">
        <v>50</v>
      </c>
      <c r="H72" s="52">
        <v>-86</v>
      </c>
      <c r="I72" s="52">
        <v>-33</v>
      </c>
      <c r="J72" s="52">
        <v>-53</v>
      </c>
      <c r="K72" s="52">
        <v>-59</v>
      </c>
      <c r="L72" s="53">
        <v>-41</v>
      </c>
      <c r="M72" s="175"/>
      <c r="O72" s="76"/>
      <c r="P72" s="52"/>
      <c r="Q72" s="52"/>
      <c r="R72" s="52"/>
      <c r="S72" s="52"/>
      <c r="T72" s="52"/>
      <c r="U72" s="52"/>
      <c r="V72" s="52"/>
      <c r="W72" s="52"/>
      <c r="X72" s="52"/>
      <c r="Y72" s="53"/>
      <c r="AA72" t="s">
        <v>174</v>
      </c>
      <c r="AB72" s="40" t="s">
        <v>160</v>
      </c>
    </row>
    <row r="73" spans="2:33" ht="15" thickTop="1" x14ac:dyDescent="0.3">
      <c r="B73" s="74" t="s">
        <v>26</v>
      </c>
      <c r="C73" s="165">
        <f>SUM(C71:C72)</f>
        <v>-417.64</v>
      </c>
      <c r="D73" s="165">
        <f t="shared" ref="D73:L73" si="71">SUM(D71:D72)</f>
        <v>-445.47</v>
      </c>
      <c r="E73" s="165">
        <f t="shared" si="71"/>
        <v>-480</v>
      </c>
      <c r="F73" s="165">
        <f t="shared" si="71"/>
        <v>-525</v>
      </c>
      <c r="G73" s="165">
        <f t="shared" si="71"/>
        <v>-627</v>
      </c>
      <c r="H73" s="165">
        <f t="shared" si="71"/>
        <v>-460</v>
      </c>
      <c r="I73" s="165">
        <f t="shared" si="71"/>
        <v>-652</v>
      </c>
      <c r="J73" s="165">
        <f t="shared" si="71"/>
        <v>-767</v>
      </c>
      <c r="K73" s="165">
        <f t="shared" si="71"/>
        <v>-575</v>
      </c>
      <c r="L73" s="166">
        <f t="shared" si="71"/>
        <v>-914</v>
      </c>
      <c r="M73" s="175">
        <f t="shared" si="69"/>
        <v>9.0922225670050372E-2</v>
      </c>
      <c r="O73" s="76">
        <f t="shared" si="70"/>
        <v>-997.102914262426</v>
      </c>
      <c r="P73" s="52">
        <f>O73*(1+$M$73)</f>
        <v>-1087.7617304492592</v>
      </c>
      <c r="Q73" s="52">
        <f t="shared" ref="Q73:S73" si="72">P73*(1+$M$73)</f>
        <v>-1186.6634479804113</v>
      </c>
      <c r="R73" s="52">
        <f t="shared" si="72"/>
        <v>-1294.5575297920864</v>
      </c>
      <c r="S73" s="52">
        <f t="shared" si="72"/>
        <v>-1412.2615816587054</v>
      </c>
      <c r="T73" s="52"/>
      <c r="U73" s="52" cm="1">
        <f t="array" ref="U73:Y73">_xlfn.FORECAST.ETS($U$64:$Y$64,C73:L73,$C$64:$L$64,1,0,1)</f>
        <v>-838.10106823737283</v>
      </c>
      <c r="V73" s="52">
        <v>-880.44065454370389</v>
      </c>
      <c r="W73" s="52">
        <v>-922.78024085003494</v>
      </c>
      <c r="X73" s="52">
        <v>-965.12933526018503</v>
      </c>
      <c r="Y73" s="53">
        <v>-1007.4594134626971</v>
      </c>
      <c r="AB73" s="120" t="s">
        <v>131</v>
      </c>
      <c r="AC73" s="121">
        <v>45717</v>
      </c>
      <c r="AD73" s="121">
        <v>46082</v>
      </c>
      <c r="AE73" s="121">
        <v>46447</v>
      </c>
      <c r="AF73" s="121">
        <v>46813</v>
      </c>
      <c r="AG73" s="122">
        <v>47178</v>
      </c>
    </row>
    <row r="74" spans="2:33" x14ac:dyDescent="0.3">
      <c r="B74" s="74" t="s">
        <v>156</v>
      </c>
      <c r="C74" s="164"/>
      <c r="D74" s="164"/>
      <c r="E74" s="52"/>
      <c r="F74" s="52"/>
      <c r="G74" s="52"/>
      <c r="H74" s="52"/>
      <c r="I74" s="52"/>
      <c r="J74" s="52"/>
      <c r="K74" s="52"/>
      <c r="L74" s="53"/>
      <c r="M74" s="175"/>
      <c r="O74" s="76"/>
      <c r="P74" s="52"/>
      <c r="Q74" s="52"/>
      <c r="R74" s="52"/>
      <c r="S74" s="52"/>
      <c r="T74" s="52"/>
      <c r="U74" s="52"/>
      <c r="V74" s="52"/>
      <c r="W74" s="52"/>
      <c r="X74" s="52"/>
      <c r="Y74" s="53"/>
      <c r="AB74" s="76" t="s">
        <v>204</v>
      </c>
      <c r="AC74" s="123">
        <f>'Profit &amp; Loss'!AQ12</f>
        <v>11303.366802833858</v>
      </c>
      <c r="AD74" s="123">
        <f>'Profit &amp; Loss'!AR12</f>
        <v>12432.237139185219</v>
      </c>
      <c r="AE74" s="123">
        <f>'Profit &amp; Loss'!AS12</f>
        <v>13673.848065001885</v>
      </c>
      <c r="AF74" s="123">
        <f>'Profit &amp; Loss'!AT12</f>
        <v>15039.459013811062</v>
      </c>
      <c r="AG74" s="124">
        <f>'Profit &amp; Loss'!AU12</f>
        <v>16541.453901848046</v>
      </c>
    </row>
    <row r="75" spans="2:33" x14ac:dyDescent="0.3">
      <c r="B75" s="76" t="s">
        <v>153</v>
      </c>
      <c r="C75" s="163">
        <f>-51866/100</f>
        <v>-518.66</v>
      </c>
      <c r="D75" s="163">
        <f>-43720/100</f>
        <v>-437.2</v>
      </c>
      <c r="E75" s="52">
        <v>-438</v>
      </c>
      <c r="F75" s="52">
        <v>-297</v>
      </c>
      <c r="G75" s="164">
        <v>-610</v>
      </c>
      <c r="H75" s="52">
        <v>-606</v>
      </c>
      <c r="I75" s="52">
        <v>-614</v>
      </c>
      <c r="J75" s="52">
        <v>-762</v>
      </c>
      <c r="K75" s="52">
        <v>-832</v>
      </c>
      <c r="L75" s="53">
        <v>-877</v>
      </c>
      <c r="M75" s="175"/>
      <c r="O75" s="76"/>
      <c r="P75" s="52"/>
      <c r="Q75" s="52"/>
      <c r="R75" s="52"/>
      <c r="S75" s="52"/>
      <c r="T75" s="52"/>
      <c r="U75" s="52"/>
      <c r="V75" s="52"/>
      <c r="W75" s="52"/>
      <c r="X75" s="52"/>
      <c r="Y75" s="53"/>
      <c r="AB75" s="76" t="s">
        <v>205</v>
      </c>
      <c r="AC75" s="123">
        <f>'Profit &amp; Loss'!AW12</f>
        <v>11033.000533906486</v>
      </c>
      <c r="AD75" s="123">
        <f>'Profit &amp; Loss'!AX12</f>
        <v>11796.00586221626</v>
      </c>
      <c r="AE75" s="123">
        <f>'Profit &amp; Loss'!AY12</f>
        <v>12559.011190526031</v>
      </c>
      <c r="AF75" s="123">
        <f>'Profit &amp; Loss'!AZ12</f>
        <v>13322.187865192936</v>
      </c>
      <c r="AG75" s="124">
        <f>'Profit &amp; Loss'!BA12</f>
        <v>14085.021847145576</v>
      </c>
    </row>
    <row r="76" spans="2:33" x14ac:dyDescent="0.3">
      <c r="B76" s="76" t="s">
        <v>154</v>
      </c>
      <c r="C76" s="164">
        <v>0</v>
      </c>
      <c r="D76" s="164">
        <v>0</v>
      </c>
      <c r="E76" s="52">
        <v>-10</v>
      </c>
      <c r="F76" s="52">
        <v>-62</v>
      </c>
      <c r="G76" s="52">
        <v>4</v>
      </c>
      <c r="H76" s="52">
        <v>-7</v>
      </c>
      <c r="I76" s="52">
        <v>-61</v>
      </c>
      <c r="J76" s="52">
        <v>-19</v>
      </c>
      <c r="K76" s="52">
        <v>-40</v>
      </c>
      <c r="L76" s="53">
        <v>-36</v>
      </c>
      <c r="M76" s="175"/>
      <c r="O76" s="76"/>
      <c r="P76" s="52"/>
      <c r="Q76" s="52"/>
      <c r="R76" s="52"/>
      <c r="S76" s="52"/>
      <c r="T76" s="52"/>
      <c r="U76" s="52"/>
      <c r="V76" s="52"/>
      <c r="W76" s="52"/>
      <c r="X76" s="52"/>
      <c r="Y76" s="53"/>
      <c r="AB76" s="76" t="s">
        <v>206</v>
      </c>
      <c r="AC76" s="58">
        <f>O86</f>
        <v>18941.437587482775</v>
      </c>
      <c r="AD76" s="58">
        <f t="shared" ref="AD76:AG76" si="73">P86</f>
        <v>20936.163896236187</v>
      </c>
      <c r="AE76" s="58">
        <f t="shared" si="73"/>
        <v>22840.826115967095</v>
      </c>
      <c r="AF76" s="58">
        <f t="shared" si="73"/>
        <v>25061.023171860907</v>
      </c>
      <c r="AG76" s="59">
        <f t="shared" si="73"/>
        <v>27247.21616400803</v>
      </c>
    </row>
    <row r="77" spans="2:33" ht="15" thickBot="1" x14ac:dyDescent="0.35">
      <c r="B77" s="74" t="s">
        <v>26</v>
      </c>
      <c r="C77" s="167">
        <f>SUM(C75:C76)</f>
        <v>-518.66</v>
      </c>
      <c r="D77" s="167">
        <f t="shared" ref="D77:L77" si="74">SUM(D75:D76)</f>
        <v>-437.2</v>
      </c>
      <c r="E77" s="167">
        <f t="shared" si="74"/>
        <v>-448</v>
      </c>
      <c r="F77" s="167">
        <f t="shared" si="74"/>
        <v>-359</v>
      </c>
      <c r="G77" s="167">
        <f t="shared" si="74"/>
        <v>-606</v>
      </c>
      <c r="H77" s="167">
        <f t="shared" si="74"/>
        <v>-613</v>
      </c>
      <c r="I77" s="167">
        <f t="shared" si="74"/>
        <v>-675</v>
      </c>
      <c r="J77" s="167">
        <f t="shared" si="74"/>
        <v>-781</v>
      </c>
      <c r="K77" s="167">
        <f t="shared" si="74"/>
        <v>-872</v>
      </c>
      <c r="L77" s="168">
        <f t="shared" si="74"/>
        <v>-913</v>
      </c>
      <c r="M77" s="175">
        <f t="shared" si="69"/>
        <v>6.4847849068528252E-2</v>
      </c>
      <c r="O77" s="76">
        <f>L77*(1+$M$77)</f>
        <v>-972.20608619956624</v>
      </c>
      <c r="P77" s="52">
        <f>O77*(1+$M$77)</f>
        <v>-1035.2515597409404</v>
      </c>
      <c r="Q77" s="52">
        <f t="shared" ref="Q77:S77" si="75">P77*(1+$M$77)</f>
        <v>-1102.3853966349793</v>
      </c>
      <c r="R77" s="52">
        <f t="shared" si="75"/>
        <v>-1173.8727184513141</v>
      </c>
      <c r="S77" s="52">
        <f t="shared" si="75"/>
        <v>-1249.9958393231079</v>
      </c>
      <c r="T77" s="52"/>
      <c r="U77" s="52" cm="1">
        <f t="array" ref="U77:Y77">_xlfn.FORECAST.ETS($U$64:$Y$64,C77:L77,$C$64:$L$64,1,0,1)</f>
        <v>-964.77841995292977</v>
      </c>
      <c r="V77" s="52">
        <v>-1020.4717407385004</v>
      </c>
      <c r="W77" s="52">
        <v>-1076.1650615240712</v>
      </c>
      <c r="X77" s="52">
        <v>-1131.8708892309949</v>
      </c>
      <c r="Y77" s="53">
        <v>-1187.5517030952124</v>
      </c>
      <c r="AB77" s="77" t="s">
        <v>207</v>
      </c>
      <c r="AC77" s="79">
        <f>U86</f>
        <v>18586.941704053748</v>
      </c>
      <c r="AD77" s="79">
        <f t="shared" ref="AD77:AG77" si="76">V86</f>
        <v>19623.369413319855</v>
      </c>
      <c r="AE77" s="79">
        <f t="shared" si="76"/>
        <v>20531.315422420968</v>
      </c>
      <c r="AF77" s="79">
        <f t="shared" si="76"/>
        <v>21572.547872104638</v>
      </c>
      <c r="AG77" s="145">
        <f t="shared" si="76"/>
        <v>22608.738903068661</v>
      </c>
    </row>
    <row r="78" spans="2:33" ht="15" thickTop="1" x14ac:dyDescent="0.3">
      <c r="B78" s="74" t="s">
        <v>157</v>
      </c>
      <c r="C78" s="52"/>
      <c r="D78" s="52"/>
      <c r="E78" s="52"/>
      <c r="F78" s="52"/>
      <c r="G78" s="52"/>
      <c r="H78" s="52"/>
      <c r="I78" s="52"/>
      <c r="J78" s="52"/>
      <c r="K78" s="52"/>
      <c r="L78" s="53"/>
      <c r="M78" s="175"/>
      <c r="O78" s="76"/>
      <c r="P78" s="52"/>
      <c r="Q78" s="52"/>
      <c r="R78" s="52"/>
      <c r="S78" s="52"/>
      <c r="T78" s="52"/>
      <c r="U78" s="52"/>
      <c r="V78" s="52"/>
      <c r="W78" s="52"/>
      <c r="X78" s="52"/>
      <c r="Y78" s="53"/>
    </row>
    <row r="79" spans="2:33" x14ac:dyDescent="0.3">
      <c r="B79" s="76" t="s">
        <v>153</v>
      </c>
      <c r="C79" s="58">
        <f>-50739/100</f>
        <v>-507.39</v>
      </c>
      <c r="D79" s="52">
        <v>-385</v>
      </c>
      <c r="E79" s="52">
        <v>-403</v>
      </c>
      <c r="F79" s="52">
        <v>-696</v>
      </c>
      <c r="G79" s="52">
        <v>-722</v>
      </c>
      <c r="H79" s="52">
        <v>-403</v>
      </c>
      <c r="I79" s="52">
        <v>-624</v>
      </c>
      <c r="J79" s="52">
        <v>-762</v>
      </c>
      <c r="K79" s="52">
        <v>-814</v>
      </c>
      <c r="L79" s="53">
        <v>-854</v>
      </c>
      <c r="M79" s="175"/>
      <c r="O79" s="76"/>
      <c r="P79" s="52"/>
      <c r="Q79" s="52"/>
      <c r="R79" s="52"/>
      <c r="S79" s="52"/>
      <c r="T79" s="52"/>
      <c r="U79" s="52"/>
      <c r="V79" s="52"/>
      <c r="W79" s="52"/>
      <c r="X79" s="52"/>
      <c r="Y79" s="53"/>
    </row>
    <row r="80" spans="2:33" x14ac:dyDescent="0.3">
      <c r="B80" s="76" t="s">
        <v>154</v>
      </c>
      <c r="C80" s="52">
        <v>0</v>
      </c>
      <c r="D80" s="52">
        <v>-35</v>
      </c>
      <c r="E80" s="52">
        <v>-33</v>
      </c>
      <c r="F80" s="52">
        <v>95</v>
      </c>
      <c r="G80" s="52">
        <v>33</v>
      </c>
      <c r="H80" s="52">
        <v>-70</v>
      </c>
      <c r="I80" s="52">
        <v>-55</v>
      </c>
      <c r="J80" s="52">
        <v>-39</v>
      </c>
      <c r="K80" s="52">
        <v>-59</v>
      </c>
      <c r="L80" s="53">
        <v>13</v>
      </c>
      <c r="M80" s="175"/>
      <c r="O80" s="76"/>
      <c r="P80" s="52"/>
      <c r="Q80" s="52"/>
      <c r="R80" s="52"/>
      <c r="S80" s="52"/>
      <c r="T80" s="52"/>
      <c r="U80" s="52"/>
      <c r="V80" s="52"/>
      <c r="W80" s="52"/>
      <c r="X80" s="52"/>
      <c r="Y80" s="53"/>
    </row>
    <row r="81" spans="2:25" ht="15" thickBot="1" x14ac:dyDescent="0.35">
      <c r="B81" s="169" t="s">
        <v>208</v>
      </c>
      <c r="C81" s="170">
        <f>SUM(C79:C80)</f>
        <v>-507.39</v>
      </c>
      <c r="D81" s="170">
        <f t="shared" ref="D81:L81" si="77">SUM(D79:D80)</f>
        <v>-420</v>
      </c>
      <c r="E81" s="170">
        <f t="shared" si="77"/>
        <v>-436</v>
      </c>
      <c r="F81" s="170">
        <f t="shared" si="77"/>
        <v>-601</v>
      </c>
      <c r="G81" s="170">
        <f t="shared" si="77"/>
        <v>-689</v>
      </c>
      <c r="H81" s="170">
        <f t="shared" si="77"/>
        <v>-473</v>
      </c>
      <c r="I81" s="170">
        <f t="shared" si="77"/>
        <v>-679</v>
      </c>
      <c r="J81" s="170">
        <f t="shared" si="77"/>
        <v>-801</v>
      </c>
      <c r="K81" s="170">
        <f t="shared" si="77"/>
        <v>-873</v>
      </c>
      <c r="L81" s="171">
        <f t="shared" si="77"/>
        <v>-841</v>
      </c>
      <c r="M81" s="175">
        <f t="shared" si="69"/>
        <v>5.77518364620353E-2</v>
      </c>
      <c r="O81" s="77">
        <f t="shared" si="70"/>
        <v>-889.56929446457173</v>
      </c>
      <c r="P81" s="78">
        <f>O81*(1+$M$81)</f>
        <v>-940.94355488013775</v>
      </c>
      <c r="Q81" s="78">
        <f t="shared" ref="Q81:S81" si="78">P81*(1+$M$81)</f>
        <v>-995.28477318158161</v>
      </c>
      <c r="R81" s="78">
        <f t="shared" si="78"/>
        <v>-1052.7642966355181</v>
      </c>
      <c r="S81" s="78">
        <f t="shared" si="78"/>
        <v>-1113.5633681278821</v>
      </c>
      <c r="T81" s="78"/>
      <c r="U81" s="78" cm="1">
        <f t="array" ref="U81:Y81">_xlfn.FORECAST.ETS($U$64:$Y$64,C81:L81,$C$64:$L$64,1,0,1)</f>
        <v>-904.58145921266862</v>
      </c>
      <c r="V81" s="78">
        <v>-952.83843644680712</v>
      </c>
      <c r="W81" s="78">
        <v>-1001.0954136809456</v>
      </c>
      <c r="X81" s="78">
        <v>-1049.3632278738162</v>
      </c>
      <c r="Y81" s="80">
        <v>-1097.6093681492225</v>
      </c>
    </row>
    <row r="82" spans="2:25" ht="15.6" thickTop="1" thickBot="1" x14ac:dyDescent="0.35">
      <c r="B82" s="172" t="s">
        <v>26</v>
      </c>
      <c r="C82" s="173">
        <f>SUM(C69,C73,C77,C81)</f>
        <v>-1872.1599999999999</v>
      </c>
      <c r="D82" s="173">
        <f t="shared" ref="D82:L82" si="79">SUM(D69,D73,D77,D81)</f>
        <v>-1793.3300000000002</v>
      </c>
      <c r="E82" s="173">
        <f t="shared" si="79"/>
        <v>-1905</v>
      </c>
      <c r="F82" s="173">
        <f t="shared" si="79"/>
        <v>-2048</v>
      </c>
      <c r="G82" s="173">
        <f t="shared" si="79"/>
        <v>-2586</v>
      </c>
      <c r="H82" s="173">
        <f t="shared" si="79"/>
        <v>-2354</v>
      </c>
      <c r="I82" s="173">
        <f t="shared" si="79"/>
        <v>-2536</v>
      </c>
      <c r="J82" s="173">
        <f t="shared" si="79"/>
        <v>-2921</v>
      </c>
      <c r="K82" s="173">
        <f t="shared" si="79"/>
        <v>-3117</v>
      </c>
      <c r="L82" s="174">
        <f t="shared" si="79"/>
        <v>-3561</v>
      </c>
      <c r="M82" s="175">
        <f t="shared" si="69"/>
        <v>7.4052340281897555E-2</v>
      </c>
      <c r="N82" s="46" t="s">
        <v>171</v>
      </c>
      <c r="O82" s="2">
        <f>-SUM(O69:O81)</f>
        <v>3827.7990100500137</v>
      </c>
      <c r="P82" s="2">
        <f>O82*(1+$M$82)</f>
        <v>4111.256484872948</v>
      </c>
      <c r="Q82" s="2">
        <f t="shared" ref="Q82:S82" si="80">P82*(1+$M$82)</f>
        <v>4415.704649076918</v>
      </c>
      <c r="R82" s="2">
        <f t="shared" si="80"/>
        <v>4742.6979123347191</v>
      </c>
      <c r="S82" s="2">
        <f t="shared" si="80"/>
        <v>5093.9057919931747</v>
      </c>
      <c r="U82" s="2">
        <f>-SUM(U69:U81)</f>
        <v>3529.7673771758868</v>
      </c>
      <c r="V82" s="2">
        <f t="shared" ref="V82:Y82" si="81">-SUM(V69:V81)</f>
        <v>3715.8206162678316</v>
      </c>
      <c r="W82" s="2">
        <f t="shared" si="81"/>
        <v>3901.8738553597764</v>
      </c>
      <c r="X82" s="2">
        <f t="shared" si="81"/>
        <v>4087.968876001034</v>
      </c>
      <c r="Y82" s="2">
        <f t="shared" si="81"/>
        <v>4273.9803335436663</v>
      </c>
    </row>
    <row r="83" spans="2:25" ht="15" thickTop="1" x14ac:dyDescent="0.3">
      <c r="M83" s="63"/>
    </row>
    <row r="84" spans="2:25" x14ac:dyDescent="0.3">
      <c r="B84" s="2" t="s">
        <v>168</v>
      </c>
      <c r="C84" s="27">
        <f>-(C82/C65)</f>
        <v>0.30259576531436883</v>
      </c>
      <c r="D84" s="27">
        <f t="shared" ref="D84:L84" si="82">-(D82/D65)</f>
        <v>0.30550766609880753</v>
      </c>
      <c r="E84" s="27">
        <f t="shared" si="82"/>
        <v>0.2978424015009381</v>
      </c>
      <c r="F84" s="27">
        <f t="shared" si="82"/>
        <v>0.28112560054907343</v>
      </c>
      <c r="G84" s="27">
        <f t="shared" si="82"/>
        <v>0.30344989439098802</v>
      </c>
      <c r="H84" s="27">
        <f t="shared" si="82"/>
        <v>0.25890893092828859</v>
      </c>
      <c r="I84" s="27">
        <f t="shared" si="82"/>
        <v>0.24175405147759771</v>
      </c>
      <c r="J84" s="27">
        <f t="shared" si="82"/>
        <v>0.24882869068915581</v>
      </c>
      <c r="K84" s="27">
        <f t="shared" si="82"/>
        <v>0.23832097255141829</v>
      </c>
      <c r="L84" s="27">
        <f t="shared" si="82"/>
        <v>0.26040219378427787</v>
      </c>
      <c r="M84" s="175"/>
    </row>
    <row r="85" spans="2:25" ht="15" thickBot="1" x14ac:dyDescent="0.35">
      <c r="B85" t="s">
        <v>169</v>
      </c>
      <c r="C85">
        <f>C62*C84</f>
        <v>1561.8026533053176</v>
      </c>
      <c r="D85">
        <f t="shared" ref="D85:L85" si="83">D62*D84</f>
        <v>2106.7625349574105</v>
      </c>
      <c r="E85">
        <f t="shared" si="83"/>
        <v>2933.7476547842402</v>
      </c>
      <c r="F85">
        <f t="shared" si="83"/>
        <v>2579.0462594371998</v>
      </c>
      <c r="G85">
        <f t="shared" si="83"/>
        <v>2966.222717671908</v>
      </c>
      <c r="H85">
        <f t="shared" si="83"/>
        <v>2401.6392432908051</v>
      </c>
      <c r="I85">
        <f t="shared" si="83"/>
        <v>2644.5475691134411</v>
      </c>
      <c r="J85">
        <f t="shared" si="83"/>
        <v>2936.676207513417</v>
      </c>
      <c r="K85">
        <f t="shared" si="83"/>
        <v>3145.3601957336186</v>
      </c>
      <c r="L85">
        <f t="shared" si="83"/>
        <v>3603.1851553930528</v>
      </c>
      <c r="M85" s="63"/>
    </row>
    <row r="86" spans="2:25" ht="15" thickBot="1" x14ac:dyDescent="0.35">
      <c r="B86" s="142" t="s">
        <v>160</v>
      </c>
      <c r="C86" s="143">
        <f>C62-C85</f>
        <v>3599.5473466946828</v>
      </c>
      <c r="D86" s="143">
        <f t="shared" ref="D86:L86" si="84">D62-D85</f>
        <v>4789.1774650425887</v>
      </c>
      <c r="E86" s="143">
        <f t="shared" si="84"/>
        <v>6916.2523452157602</v>
      </c>
      <c r="F86" s="143">
        <f t="shared" si="84"/>
        <v>6594.9537405627998</v>
      </c>
      <c r="G86" s="143">
        <f t="shared" si="84"/>
        <v>6808.777282328092</v>
      </c>
      <c r="H86" s="143">
        <f t="shared" si="84"/>
        <v>6874.3607567091949</v>
      </c>
      <c r="I86" s="143">
        <f t="shared" si="84"/>
        <v>8294.4524308865584</v>
      </c>
      <c r="J86" s="143">
        <f t="shared" si="84"/>
        <v>8865.3237924865825</v>
      </c>
      <c r="K86" s="143">
        <f t="shared" si="84"/>
        <v>10052.639804266382</v>
      </c>
      <c r="L86" s="144">
        <f t="shared" si="84"/>
        <v>10233.814844606946</v>
      </c>
      <c r="M86" s="63"/>
      <c r="N86" s="176" t="s">
        <v>160</v>
      </c>
      <c r="O86" s="177">
        <f>O62+O82</f>
        <v>18941.437587482775</v>
      </c>
      <c r="P86" s="177">
        <f t="shared" ref="P86:Y86" si="85">P62+P82</f>
        <v>20936.163896236187</v>
      </c>
      <c r="Q86" s="177">
        <f t="shared" si="85"/>
        <v>22840.826115967095</v>
      </c>
      <c r="R86" s="177">
        <f t="shared" si="85"/>
        <v>25061.023171860907</v>
      </c>
      <c r="S86" s="177">
        <f t="shared" si="85"/>
        <v>27247.21616400803</v>
      </c>
      <c r="T86" s="177"/>
      <c r="U86" s="177">
        <f t="shared" si="85"/>
        <v>18586.941704053748</v>
      </c>
      <c r="V86" s="177">
        <f t="shared" si="85"/>
        <v>19623.369413319855</v>
      </c>
      <c r="W86" s="177">
        <f t="shared" si="85"/>
        <v>20531.315422420968</v>
      </c>
      <c r="X86" s="177">
        <f t="shared" si="85"/>
        <v>21572.547872104638</v>
      </c>
      <c r="Y86" s="178">
        <f t="shared" si="85"/>
        <v>22608.738903068661</v>
      </c>
    </row>
  </sheetData>
  <mergeCells count="2">
    <mergeCell ref="U3:Y3"/>
    <mergeCell ref="O3:S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A25"/>
  <sheetViews>
    <sheetView zoomScale="120" zoomScaleNormal="120" zoomScaleSheetLayoutView="100" zoomScalePageLayoutView="120" workbookViewId="0">
      <pane xSplit="1" ySplit="4" topLeftCell="AO5" activePane="bottomRight" state="frozen"/>
      <selection activeCell="I2" sqref="I2"/>
      <selection pane="topRight" activeCell="I2" sqref="I2"/>
      <selection pane="bottomLeft" activeCell="I2" sqref="I2"/>
      <selection pane="bottomRight" activeCell="AX13" sqref="AX13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  <col min="43" max="43" width="11" bestFit="1" customWidth="1"/>
    <col min="44" max="47" width="10" bestFit="1" customWidth="1"/>
    <col min="48" max="48" width="6.109375" customWidth="1"/>
    <col min="49" max="49" width="9.88671875" bestFit="1" customWidth="1"/>
  </cols>
  <sheetData>
    <row r="1" spans="1:53" s="2" customFormat="1" x14ac:dyDescent="0.3">
      <c r="A1" s="2" t="str">
        <f>'Data Sheet'!B1</f>
        <v>HINDUSTAN UNILEVER LTD</v>
      </c>
      <c r="H1" t="str">
        <f>UPDATE</f>
        <v/>
      </c>
      <c r="J1" s="3"/>
      <c r="K1" s="3"/>
      <c r="M1" s="2" t="s">
        <v>1</v>
      </c>
    </row>
    <row r="2" spans="1:53" x14ac:dyDescent="0.3">
      <c r="Q2" s="107" t="s">
        <v>102</v>
      </c>
      <c r="R2" s="107"/>
      <c r="S2" s="107"/>
      <c r="T2" s="107"/>
      <c r="U2" s="107"/>
      <c r="V2" s="107"/>
      <c r="W2" s="107"/>
      <c r="X2" s="107"/>
      <c r="Y2" s="107"/>
      <c r="Z2" s="107"/>
      <c r="AF2" s="107" t="s">
        <v>103</v>
      </c>
      <c r="AG2" s="107"/>
      <c r="AH2" s="107"/>
      <c r="AI2" s="107"/>
      <c r="AJ2" s="107"/>
      <c r="AK2" s="107"/>
      <c r="AL2" s="107"/>
      <c r="AM2" s="107"/>
      <c r="AN2" s="107"/>
      <c r="AO2" s="107"/>
      <c r="AP2" s="33" t="s">
        <v>100</v>
      </c>
      <c r="AQ2" s="108" t="s">
        <v>101</v>
      </c>
      <c r="AR2" s="108"/>
      <c r="AS2" s="108"/>
      <c r="AT2" s="108"/>
      <c r="AU2" s="108"/>
      <c r="AW2" s="108" t="s">
        <v>105</v>
      </c>
      <c r="AX2" s="108"/>
      <c r="AY2" s="108"/>
      <c r="AZ2" s="108"/>
      <c r="BA2" s="108"/>
    </row>
    <row r="3" spans="1:53" s="2" customFormat="1" x14ac:dyDescent="0.3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  <c r="Q3" s="25">
        <v>42094</v>
      </c>
      <c r="R3" s="25">
        <v>42460</v>
      </c>
      <c r="S3" s="25">
        <v>42825</v>
      </c>
      <c r="T3" s="25">
        <v>43190</v>
      </c>
      <c r="U3" s="25">
        <v>43555</v>
      </c>
      <c r="V3" s="25">
        <v>43921</v>
      </c>
      <c r="W3" s="25">
        <v>44286</v>
      </c>
      <c r="X3" s="25">
        <v>44651</v>
      </c>
      <c r="Y3" s="25">
        <v>45016</v>
      </c>
      <c r="Z3" s="25">
        <v>45382</v>
      </c>
      <c r="AF3" s="25">
        <v>42094</v>
      </c>
      <c r="AG3" s="25">
        <v>42460</v>
      </c>
      <c r="AH3" s="25">
        <v>42825</v>
      </c>
      <c r="AI3" s="25">
        <v>43190</v>
      </c>
      <c r="AJ3" s="25">
        <v>43555</v>
      </c>
      <c r="AK3" s="25">
        <v>43921</v>
      </c>
      <c r="AL3" s="25">
        <v>44286</v>
      </c>
      <c r="AM3" s="25">
        <v>44651</v>
      </c>
      <c r="AN3" s="25">
        <v>45016</v>
      </c>
      <c r="AO3" s="25">
        <v>45382</v>
      </c>
      <c r="AP3" s="33"/>
      <c r="AQ3" s="28">
        <v>45717</v>
      </c>
      <c r="AR3" s="28">
        <v>46082</v>
      </c>
      <c r="AS3" s="28">
        <v>46447</v>
      </c>
      <c r="AT3" s="28">
        <v>46813</v>
      </c>
      <c r="AU3" s="28">
        <v>47178</v>
      </c>
      <c r="AW3" s="28">
        <v>45717</v>
      </c>
      <c r="AX3" s="28">
        <v>46082</v>
      </c>
      <c r="AY3" s="28">
        <v>46447</v>
      </c>
      <c r="AZ3" s="28">
        <v>46813</v>
      </c>
      <c r="BA3" s="28">
        <v>47178</v>
      </c>
    </row>
    <row r="4" spans="1:53" s="2" customFormat="1" x14ac:dyDescent="0.3">
      <c r="A4" s="2" t="s">
        <v>6</v>
      </c>
      <c r="B4" s="1">
        <f>'Data Sheet'!B17</f>
        <v>31972.19</v>
      </c>
      <c r="C4" s="1">
        <f>'Data Sheet'!C17</f>
        <v>32186</v>
      </c>
      <c r="D4" s="1">
        <f>'Data Sheet'!D17</f>
        <v>33162</v>
      </c>
      <c r="E4" s="1">
        <f>'Data Sheet'!E17</f>
        <v>35545</v>
      </c>
      <c r="F4" s="1">
        <f>'Data Sheet'!F17</f>
        <v>39310</v>
      </c>
      <c r="G4" s="1">
        <f>'Data Sheet'!G17</f>
        <v>39783</v>
      </c>
      <c r="H4" s="1">
        <f>'Data Sheet'!H17</f>
        <v>47028</v>
      </c>
      <c r="I4" s="1">
        <f>'Data Sheet'!I17</f>
        <v>52446</v>
      </c>
      <c r="J4" s="1">
        <f>'Data Sheet'!J17</f>
        <v>60580</v>
      </c>
      <c r="K4" s="1">
        <f>'Data Sheet'!K17</f>
        <v>61896</v>
      </c>
      <c r="L4" s="1">
        <f>SUM(Quarters!H4:K4)</f>
        <v>62661</v>
      </c>
      <c r="M4" s="1">
        <f>$K4+M23*K4</f>
        <v>67831.4772429039</v>
      </c>
      <c r="N4" s="1">
        <f>$K4+N23*L4</f>
        <v>63257.206272697258</v>
      </c>
      <c r="Q4" s="2">
        <f>(Annual[[#This Row],[Column2]]/Annual[[#This Row],[Column2]])*100</f>
        <v>100</v>
      </c>
      <c r="R4" s="2">
        <f>(Annual[[#This Row],[Column3]]/Annual[[#This Row],[Column3]])*100</f>
        <v>100</v>
      </c>
      <c r="S4" s="2">
        <f>(Annual[[#This Row],[Column4]]/Annual[[#This Row],[Column4]])*100</f>
        <v>100</v>
      </c>
      <c r="T4" s="2">
        <f>(Annual[[#This Row],[Column5]]/Annual[[#This Row],[Column5]])*100</f>
        <v>100</v>
      </c>
      <c r="U4" s="2">
        <f>(Annual[[#This Row],[Column6]]/Annual[[#This Row],[Column6]])*100</f>
        <v>100</v>
      </c>
      <c r="V4" s="2">
        <f>(Annual[[#This Row],[Column7]]/Annual[[#This Row],[Column7]])*100</f>
        <v>100</v>
      </c>
      <c r="W4" s="2">
        <f>(Annual[[#This Row],[Column8]]/Annual[[#This Row],[Column8]])*100</f>
        <v>100</v>
      </c>
      <c r="X4" s="2">
        <f>(Annual[[#This Row],[Column9]]/Annual[[#This Row],[Column9]])*100</f>
        <v>100</v>
      </c>
      <c r="Y4" s="2">
        <f>(Annual[[#This Row],[Column10]]/Annual[[#This Row],[Column10]])*100</f>
        <v>100</v>
      </c>
      <c r="Z4" s="2">
        <f>(Annual[[#This Row],[Column11]]/Annual[[#This Row],[Column11]])*100</f>
        <v>100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99</v>
      </c>
      <c r="AF4" s="2">
        <f>Annual[[#This Row],[Column2]]*100/Annual[[#This Row],[Column2]]</f>
        <v>100</v>
      </c>
      <c r="AG4" s="2">
        <f>Annual[[#This Row],[Column3]]*100/Annual[[#This Row],[Column2]]</f>
        <v>100.66873742461809</v>
      </c>
      <c r="AH4" s="2">
        <f>Annual[[#This Row],[Column4]]*100/Annual[[#This Row],[Column2]]</f>
        <v>103.72139037081915</v>
      </c>
      <c r="AI4" s="2">
        <f>Annual[[#This Row],[Column5]]*100/Annual[[#This Row],[Column2]]</f>
        <v>111.17474279991455</v>
      </c>
      <c r="AJ4" s="2">
        <f>Annual[[#This Row],[Column6]]*100/Annual[[#This Row],[Column2]]</f>
        <v>122.95060175733974</v>
      </c>
      <c r="AK4" s="2">
        <f>Annual[[#This Row],[Column7]]*100/Annual[[#This Row],[Column2]]</f>
        <v>124.43001245770152</v>
      </c>
      <c r="AL4" s="2">
        <f>Annual[[#This Row],[Column8]]*100/Annual[[#This Row],[Column2]]</f>
        <v>147.09033069051574</v>
      </c>
      <c r="AM4" s="2">
        <f>Annual[[#This Row],[Column9]]*100/Annual[[#This Row],[Column2]]</f>
        <v>164.0363078037507</v>
      </c>
      <c r="AN4" s="2">
        <f>Annual[[#This Row],[Column10]]*100/Annual[[#This Row],[Column2]]</f>
        <v>189.47716750088125</v>
      </c>
      <c r="AO4" s="2">
        <f>Annual[[#This Row],[Column11]]*100/Annual[[#This Row],[Column2]]</f>
        <v>193.59324462916055</v>
      </c>
      <c r="AP4" s="35">
        <f>(AO4/AF4)^(1/(9))-1</f>
        <v>7.6159611228094892E-2</v>
      </c>
      <c r="AQ4" s="29">
        <f>Annual[[#This Row],[Column11]]*(1+AP4)</f>
        <v>66609.975296574165</v>
      </c>
      <c r="AR4" s="30">
        <f>AQ4*(1+$AP$4)</f>
        <v>71682.965119074259</v>
      </c>
      <c r="AS4" s="30">
        <f t="shared" ref="AS4:AU4" si="0">AR4*(1+$AP$4)</f>
        <v>77142.311874220046</v>
      </c>
      <c r="AT4" s="30">
        <f t="shared" si="0"/>
        <v>83017.440355797095</v>
      </c>
      <c r="AU4" s="30">
        <f t="shared" si="0"/>
        <v>89340.016338446163</v>
      </c>
      <c r="AW4" s="2" cm="1">
        <f t="array" ref="AW4:BA4">_xlfn.FORECAST.ETS($AW$3:$BA$3,Annual[[#This Row],[Column2]:[Column11]],$B$3:$K$3,1,0,1)</f>
        <v>65412.031946040341</v>
      </c>
      <c r="AX4" s="2">
        <v>69042.028320564103</v>
      </c>
      <c r="AY4" s="2">
        <v>72672.02469508785</v>
      </c>
      <c r="AZ4" s="2">
        <v>76302.836249574451</v>
      </c>
      <c r="BA4" s="2">
        <v>79932.017444135359</v>
      </c>
    </row>
    <row r="5" spans="1:53" x14ac:dyDescent="0.3">
      <c r="A5" t="s">
        <v>7</v>
      </c>
      <c r="B5" s="6">
        <f>SUM('Data Sheet'!B18,'Data Sheet'!B20:B24, -1*'Data Sheet'!B19)</f>
        <v>26559.77</v>
      </c>
      <c r="C5" s="6">
        <f>SUM('Data Sheet'!C18,'Data Sheet'!C20:C24, -1*'Data Sheet'!C19)</f>
        <v>26276</v>
      </c>
      <c r="D5" s="6">
        <f>SUM('Data Sheet'!D18,'Data Sheet'!D20:D24, -1*'Data Sheet'!D19)</f>
        <v>26834</v>
      </c>
      <c r="E5" s="6">
        <f>SUM('Data Sheet'!E18,'Data Sheet'!E20:E24, -1*'Data Sheet'!E19)</f>
        <v>28046</v>
      </c>
      <c r="F5" s="6">
        <f>SUM('Data Sheet'!F18,'Data Sheet'!F20:F24, -1*'Data Sheet'!F19)</f>
        <v>30430</v>
      </c>
      <c r="G5" s="6">
        <f>SUM('Data Sheet'!G18,'Data Sheet'!G20:G24, -1*'Data Sheet'!G19)</f>
        <v>29922</v>
      </c>
      <c r="H5" s="6">
        <f>SUM('Data Sheet'!H18,'Data Sheet'!H20:H24, -1*'Data Sheet'!H19)</f>
        <v>35402</v>
      </c>
      <c r="I5" s="6">
        <f>SUM('Data Sheet'!I18,'Data Sheet'!I20:I24, -1*'Data Sheet'!I19)</f>
        <v>39589</v>
      </c>
      <c r="J5" s="6">
        <f>SUM('Data Sheet'!J18,'Data Sheet'!J20:J24, -1*'Data Sheet'!J19)</f>
        <v>46433</v>
      </c>
      <c r="K5" s="6">
        <f>SUM('Data Sheet'!K18,'Data Sheet'!K20:K24, -1*'Data Sheet'!K19)</f>
        <v>47237</v>
      </c>
      <c r="L5" s="6">
        <f>SUM(Quarters!H5:K5)</f>
        <v>47902</v>
      </c>
      <c r="M5" s="6">
        <f t="shared" ref="M5:N5" si="1">M4-M6</f>
        <v>51675.345730737878</v>
      </c>
      <c r="N5" s="6">
        <f t="shared" si="1"/>
        <v>49089.926746581186</v>
      </c>
      <c r="Q5">
        <f>Annual[[#This Row],[Column2]]*100/B$4</f>
        <v>83.071475554223852</v>
      </c>
      <c r="R5">
        <f>Annual[[#This Row],[Column3]]*100/C$4</f>
        <v>81.637979245634753</v>
      </c>
      <c r="S5">
        <f>Annual[[#This Row],[Column4]]*100/D$4</f>
        <v>80.917918099029009</v>
      </c>
      <c r="T5">
        <f>Annual[[#This Row],[Column5]]*100/E$4</f>
        <v>78.902799268532846</v>
      </c>
      <c r="U5">
        <f>Annual[[#This Row],[Column6]]*100/F$4</f>
        <v>77.410328160773346</v>
      </c>
      <c r="V5">
        <f>Annual[[#This Row],[Column7]]*100/G$4</f>
        <v>75.213030691501402</v>
      </c>
      <c r="W5">
        <f>Annual[[#This Row],[Column8]]*100/H$4</f>
        <v>75.278557455133111</v>
      </c>
      <c r="X5">
        <f>Annual[[#This Row],[Column9]]*100/I$4</f>
        <v>75.485261030393161</v>
      </c>
      <c r="Y5">
        <f>Annual[[#This Row],[Column10]]*100/J$4</f>
        <v>76.647408385605814</v>
      </c>
      <c r="Z5">
        <f>Annual[[#This Row],[Column11]]*100/K$4</f>
        <v>76.316724828744995</v>
      </c>
      <c r="AA5">
        <f>MIN(Q5:Z5)</f>
        <v>75.213030691501402</v>
      </c>
      <c r="AB5">
        <f>MAX(Q5:Z5)</f>
        <v>83.071475554223852</v>
      </c>
      <c r="AC5">
        <f>MEDIAN(Q5:Z5)</f>
        <v>77.028868273189573</v>
      </c>
      <c r="AD5">
        <f>AVERAGE(Q5:Z5)</f>
        <v>78.088148271957238</v>
      </c>
      <c r="AE5" t="s">
        <v>7</v>
      </c>
      <c r="AF5">
        <f>Annual[[#This Row],[Column2]]*100/Annual[[#This Row],[Column2]]</f>
        <v>100</v>
      </c>
      <c r="AG5" s="2">
        <f>Annual[[#This Row],[Column3]]*100/Annual[[#This Row],[Column2]]</f>
        <v>98.931579603287219</v>
      </c>
      <c r="AH5" s="2">
        <f>Annual[[#This Row],[Column4]]*100/Annual[[#This Row],[Column2]]</f>
        <v>101.03250141096854</v>
      </c>
      <c r="AI5" s="2">
        <f>Annual[[#This Row],[Column5]]*100/Annual[[#This Row],[Column2]]</f>
        <v>105.59579393948064</v>
      </c>
      <c r="AJ5" s="2">
        <f>Annual[[#This Row],[Column6]]*100/Annual[[#This Row],[Column2]]</f>
        <v>114.57177528269258</v>
      </c>
      <c r="AK5" s="2">
        <f>Annual[[#This Row],[Column7]]*100/Annual[[#This Row],[Column2]]</f>
        <v>112.65910811727662</v>
      </c>
      <c r="AL5" s="2">
        <f>Annual[[#This Row],[Column8]]*100/Annual[[#This Row],[Column2]]</f>
        <v>133.29181690955909</v>
      </c>
      <c r="AM5" s="2">
        <f>Annual[[#This Row],[Column9]]*100/Annual[[#This Row],[Column2]]</f>
        <v>149.05626065285958</v>
      </c>
      <c r="AN5" s="2">
        <f>Annual[[#This Row],[Column10]]*100/Annual[[#This Row],[Column2]]</f>
        <v>174.8245560861408</v>
      </c>
      <c r="AO5" s="2">
        <f>Annual[[#This Row],[Column11]]*100/Annual[[#This Row],[Column2]]</f>
        <v>177.85169073376764</v>
      </c>
      <c r="AP5" s="35">
        <f t="shared" ref="AP5:AP12" si="2">(AO5/AF5)^(1/(9))-1</f>
        <v>6.6066317589205559E-2</v>
      </c>
      <c r="AQ5" s="31">
        <f>Annual[[#This Row],[Column11]]*(1+AP5)</f>
        <v>50357.774643961304</v>
      </c>
      <c r="AR5" s="32">
        <f>AQ5*(1+$AP$5)</f>
        <v>53684.727376674891</v>
      </c>
      <c r="AS5" s="32">
        <f t="shared" ref="AS5:AU5" si="3">AR5*(1+$AP$5)</f>
        <v>57231.479625232212</v>
      </c>
      <c r="AT5" s="32">
        <f t="shared" si="3"/>
        <v>61012.552734252953</v>
      </c>
      <c r="AU5" s="32">
        <f t="shared" si="3"/>
        <v>65043.427420122258</v>
      </c>
      <c r="AW5" s="2" cm="1">
        <f t="array" ref="AW5:BA5">_xlfn.FORECAST.ETS($AW$3:$BA$3,Annual[[#This Row],[Column2]:[Column11]],$B$3:$K$3,1,0,1)</f>
        <v>49654.098284309963</v>
      </c>
      <c r="AX5" s="2">
        <v>52152.433860517922</v>
      </c>
      <c r="AY5" s="2">
        <v>54650.769436725888</v>
      </c>
      <c r="AZ5" s="2">
        <v>57149.666058425923</v>
      </c>
      <c r="BA5" s="2">
        <v>59647.440589141814</v>
      </c>
    </row>
    <row r="6" spans="1:53" s="2" customFormat="1" x14ac:dyDescent="0.3">
      <c r="A6" s="2" t="s">
        <v>8</v>
      </c>
      <c r="B6" s="1">
        <f>B4-B5</f>
        <v>5412.4199999999983</v>
      </c>
      <c r="C6" s="1">
        <f t="shared" ref="C6:K6" si="4">C4-C5</f>
        <v>5910</v>
      </c>
      <c r="D6" s="1">
        <f t="shared" si="4"/>
        <v>6328</v>
      </c>
      <c r="E6" s="1">
        <f t="shared" si="4"/>
        <v>7499</v>
      </c>
      <c r="F6" s="1">
        <f t="shared" si="4"/>
        <v>8880</v>
      </c>
      <c r="G6" s="1">
        <f t="shared" si="4"/>
        <v>9861</v>
      </c>
      <c r="H6" s="1">
        <f t="shared" si="4"/>
        <v>11626</v>
      </c>
      <c r="I6" s="1">
        <f t="shared" si="4"/>
        <v>12857</v>
      </c>
      <c r="J6" s="1">
        <f t="shared" si="4"/>
        <v>14147</v>
      </c>
      <c r="K6" s="1">
        <f t="shared" si="4"/>
        <v>14659</v>
      </c>
      <c r="L6" s="1">
        <f>SUM(Quarters!H6:K6)</f>
        <v>14759</v>
      </c>
      <c r="M6" s="1">
        <f>M4*M24</f>
        <v>16156.131512166025</v>
      </c>
      <c r="N6" s="1">
        <f>N4*N24</f>
        <v>14167.27952611607</v>
      </c>
      <c r="Q6">
        <f>Annual[[#This Row],[Column2]]*100/B$4</f>
        <v>16.928524445776151</v>
      </c>
      <c r="R6">
        <f>Annual[[#This Row],[Column3]]*100/C$4</f>
        <v>18.36202075436525</v>
      </c>
      <c r="S6">
        <f>Annual[[#This Row],[Column4]]*100/D$4</f>
        <v>19.082081900970991</v>
      </c>
      <c r="T6">
        <f>Annual[[#This Row],[Column5]]*100/E$4</f>
        <v>21.097200731467154</v>
      </c>
      <c r="U6">
        <f>Annual[[#This Row],[Column6]]*100/F$4</f>
        <v>22.589671839226661</v>
      </c>
      <c r="V6">
        <f>Annual[[#This Row],[Column7]]*100/G$4</f>
        <v>24.786969308498605</v>
      </c>
      <c r="W6">
        <f>Annual[[#This Row],[Column8]]*100/H$4</f>
        <v>24.721442544866889</v>
      </c>
      <c r="X6">
        <f>Annual[[#This Row],[Column9]]*100/I$4</f>
        <v>24.514738969606835</v>
      </c>
      <c r="Y6">
        <f>Annual[[#This Row],[Column10]]*100/J$4</f>
        <v>23.352591614394189</v>
      </c>
      <c r="Z6">
        <f>Annual[[#This Row],[Column11]]*100/K$4</f>
        <v>23.683275171255008</v>
      </c>
      <c r="AA6">
        <f t="shared" ref="AA6:AA11" si="5">MIN(Q6:Z6)</f>
        <v>16.928524445776151</v>
      </c>
      <c r="AB6">
        <f t="shared" ref="AB6:AB11" si="6">MAX(Q6:Z6)</f>
        <v>24.786969308498605</v>
      </c>
      <c r="AC6">
        <f t="shared" ref="AC6:AC11" si="7">MEDIAN(Q6:Z6)</f>
        <v>22.971131726810427</v>
      </c>
      <c r="AD6">
        <f t="shared" ref="AD6:AD11" si="8">AVERAGE(Q6:Z6)</f>
        <v>21.911851728042777</v>
      </c>
      <c r="AE6" s="2" t="s">
        <v>8</v>
      </c>
      <c r="AF6">
        <f>Annual[[#This Row],[Column2]]*100/Annual[[#This Row],[Column2]]</f>
        <v>99.999999999999986</v>
      </c>
      <c r="AG6" s="2">
        <f>Annual[[#This Row],[Column3]]*100/Annual[[#This Row],[Column2]]</f>
        <v>109.19329985477849</v>
      </c>
      <c r="AH6" s="2">
        <f>Annual[[#This Row],[Column4]]*100/Annual[[#This Row],[Column2]]</f>
        <v>116.91627774636858</v>
      </c>
      <c r="AI6" s="2">
        <f>Annual[[#This Row],[Column5]]*100/Annual[[#This Row],[Column2]]</f>
        <v>138.55170145701928</v>
      </c>
      <c r="AJ6" s="2">
        <f>Annual[[#This Row],[Column6]]*100/Annual[[#This Row],[Column2]]</f>
        <v>164.0670901371291</v>
      </c>
      <c r="AK6" s="2">
        <f>Annual[[#This Row],[Column7]]*100/Annual[[#This Row],[Column2]]</f>
        <v>182.1920693516025</v>
      </c>
      <c r="AL6" s="2">
        <f>Annual[[#This Row],[Column8]]*100/Annual[[#This Row],[Column2]]</f>
        <v>214.80225111872329</v>
      </c>
      <c r="AM6" s="2">
        <f>Annual[[#This Row],[Column9]]*100/Annual[[#This Row],[Column2]]</f>
        <v>237.54623624921948</v>
      </c>
      <c r="AN6" s="2">
        <f>Annual[[#This Row],[Column10]]*100/Annual[[#This Row],[Column2]]</f>
        <v>261.380306775897</v>
      </c>
      <c r="AO6" s="2">
        <f>Annual[[#This Row],[Column11]]*100/Annual[[#This Row],[Column2]]</f>
        <v>270.84003089191168</v>
      </c>
      <c r="AP6" s="35"/>
    </row>
    <row r="7" spans="1:53" x14ac:dyDescent="0.3">
      <c r="A7" t="s">
        <v>9</v>
      </c>
      <c r="B7" s="6">
        <f>'Data Sheet'!B25</f>
        <v>1247.18</v>
      </c>
      <c r="C7" s="6">
        <f>'Data Sheet'!C25</f>
        <v>486</v>
      </c>
      <c r="D7" s="6">
        <f>'Data Sheet'!D25</f>
        <v>606</v>
      </c>
      <c r="E7" s="6">
        <f>'Data Sheet'!E25</f>
        <v>353</v>
      </c>
      <c r="F7" s="6">
        <f>'Data Sheet'!F25</f>
        <v>322</v>
      </c>
      <c r="G7" s="6">
        <f>'Data Sheet'!G25</f>
        <v>424</v>
      </c>
      <c r="H7" s="6">
        <f>'Data Sheet'!H25</f>
        <v>170</v>
      </c>
      <c r="I7" s="6">
        <f>'Data Sheet'!I25</f>
        <v>219</v>
      </c>
      <c r="J7" s="6">
        <f>'Data Sheet'!J25</f>
        <v>448</v>
      </c>
      <c r="K7" s="6">
        <f>'Data Sheet'!K25</f>
        <v>817</v>
      </c>
      <c r="L7" s="6">
        <f>SUM(Quarters!H7:K7)</f>
        <v>1461</v>
      </c>
      <c r="M7" s="6">
        <v>0</v>
      </c>
      <c r="N7" s="6">
        <v>0</v>
      </c>
      <c r="Q7">
        <f>Annual[[#This Row],[Column2]]*100/B$4</f>
        <v>3.9008275629539297</v>
      </c>
      <c r="R7">
        <f>Annual[[#This Row],[Column3]]*100/C$4</f>
        <v>1.5099732803082084</v>
      </c>
      <c r="S7">
        <f>Annual[[#This Row],[Column4]]*100/D$4</f>
        <v>1.8273927989867922</v>
      </c>
      <c r="T7">
        <f>Annual[[#This Row],[Column5]]*100/E$4</f>
        <v>0.99310732873821916</v>
      </c>
      <c r="U7">
        <f>Annual[[#This Row],[Column6]]*100/F$4</f>
        <v>0.81912999236835415</v>
      </c>
      <c r="V7">
        <f>Annual[[#This Row],[Column7]]*100/G$4</f>
        <v>1.0657818666264485</v>
      </c>
      <c r="W7">
        <f>Annual[[#This Row],[Column8]]*100/H$4</f>
        <v>0.36148677383686312</v>
      </c>
      <c r="X7">
        <f>Annual[[#This Row],[Column9]]*100/I$4</f>
        <v>0.41757236014186022</v>
      </c>
      <c r="Y7">
        <f>Annual[[#This Row],[Column10]]*100/J$4</f>
        <v>0.73951799273687691</v>
      </c>
      <c r="Z7">
        <f>Annual[[#This Row],[Column11]]*100/K$4</f>
        <v>1.3199560553185989</v>
      </c>
      <c r="AA7">
        <f t="shared" si="5"/>
        <v>0.36148677383686312</v>
      </c>
      <c r="AB7">
        <f t="shared" si="6"/>
        <v>3.9008275629539297</v>
      </c>
      <c r="AC7">
        <f t="shared" si="7"/>
        <v>1.0294445976823339</v>
      </c>
      <c r="AD7">
        <f t="shared" si="8"/>
        <v>1.2954746012016152</v>
      </c>
      <c r="AE7" t="s">
        <v>9</v>
      </c>
      <c r="AF7">
        <f>Annual[[#This Row],[Column2]]*100/Annual[[#This Row],[Column2]]</f>
        <v>100</v>
      </c>
      <c r="AG7" s="2">
        <f>Annual[[#This Row],[Column3]]*100/Annual[[#This Row],[Column2]]</f>
        <v>38.967911608588977</v>
      </c>
      <c r="AH7" s="2">
        <f>Annual[[#This Row],[Column4]]*100/Annual[[#This Row],[Column2]]</f>
        <v>48.589618178610941</v>
      </c>
      <c r="AI7" s="2">
        <f>Annual[[#This Row],[Column5]]*100/Annual[[#This Row],[Column2]]</f>
        <v>28.303853493481292</v>
      </c>
      <c r="AJ7" s="2">
        <f>Annual[[#This Row],[Column6]]*100/Annual[[#This Row],[Column2]]</f>
        <v>25.818245962892284</v>
      </c>
      <c r="AK7" s="2">
        <f>Annual[[#This Row],[Column7]]*100/Annual[[#This Row],[Column2]]</f>
        <v>33.996696547410956</v>
      </c>
      <c r="AL7" s="2">
        <f>Annual[[#This Row],[Column8]]*100/Annual[[#This Row],[Column2]]</f>
        <v>13.63075097419779</v>
      </c>
      <c r="AM7" s="2">
        <f>Annual[[#This Row],[Column9]]*100/Annual[[#This Row],[Column2]]</f>
        <v>17.559614490290095</v>
      </c>
      <c r="AN7" s="2">
        <f>Annual[[#This Row],[Column10]]*100/Annual[[#This Row],[Column2]]</f>
        <v>35.92103786141535</v>
      </c>
      <c r="AO7" s="2">
        <f>Annual[[#This Row],[Column11]]*100/Annual[[#This Row],[Column2]]</f>
        <v>65.507785564232904</v>
      </c>
      <c r="AP7" s="35">
        <f>(AO7/AF7)^(1/9)-1</f>
        <v>-4.5912728225605437E-2</v>
      </c>
      <c r="AQ7" s="31">
        <f>Annual[[#This Row],[Column11]]*(1+AP7)</f>
        <v>779.48930103968041</v>
      </c>
      <c r="AR7" s="32">
        <f>AQ7*(1+$AP$7)</f>
        <v>743.7008206062784</v>
      </c>
      <c r="AS7" s="32">
        <f t="shared" ref="AS7:AU7" si="9">AR7*(1+$AP$7)</f>
        <v>709.55548694862262</v>
      </c>
      <c r="AT7" s="32">
        <f t="shared" si="9"/>
        <v>676.97785871536337</v>
      </c>
      <c r="AU7" s="32">
        <f t="shared" si="9"/>
        <v>645.89595827341259</v>
      </c>
      <c r="AW7" s="2" cm="1">
        <f t="array" ref="AW7:BA7">_xlfn.FORECAST.ETS($AW$3:$BA$3,Annual[[#This Row],[Column2]:[Column11]],$B$3:$K$3,1,0,1)</f>
        <v>736.95000452744705</v>
      </c>
      <c r="AX7" s="2">
        <v>697.31251204723367</v>
      </c>
      <c r="AY7" s="2">
        <v>657.67501956702029</v>
      </c>
      <c r="AZ7" s="2">
        <v>618.02862578600286</v>
      </c>
      <c r="BA7" s="2">
        <v>578.40003460659352</v>
      </c>
    </row>
    <row r="8" spans="1:53" x14ac:dyDescent="0.3">
      <c r="A8" t="s">
        <v>10</v>
      </c>
      <c r="B8" s="6">
        <f>'Data Sheet'!B26</f>
        <v>322.39</v>
      </c>
      <c r="C8" s="6">
        <f>'Data Sheet'!C26</f>
        <v>353</v>
      </c>
      <c r="D8" s="6">
        <f>'Data Sheet'!D26</f>
        <v>432</v>
      </c>
      <c r="E8" s="6">
        <f>'Data Sheet'!E26</f>
        <v>520</v>
      </c>
      <c r="F8" s="6">
        <f>'Data Sheet'!F26</f>
        <v>565</v>
      </c>
      <c r="G8" s="6">
        <f>'Data Sheet'!G26</f>
        <v>1002</v>
      </c>
      <c r="H8" s="6">
        <f>'Data Sheet'!H26</f>
        <v>1074</v>
      </c>
      <c r="I8" s="6">
        <f>'Data Sheet'!I26</f>
        <v>1091</v>
      </c>
      <c r="J8" s="6">
        <f>'Data Sheet'!J26</f>
        <v>1137</v>
      </c>
      <c r="K8" s="6">
        <f>'Data Sheet'!K26</f>
        <v>1216</v>
      </c>
      <c r="L8" s="6">
        <f>SUM(Quarters!H8:K8)</f>
        <v>1328</v>
      </c>
      <c r="M8" s="6">
        <f>+$L8</f>
        <v>1328</v>
      </c>
      <c r="N8" s="6">
        <f>+$L8</f>
        <v>1328</v>
      </c>
      <c r="Q8">
        <f>Annual[[#This Row],[Column2]]*100/B$4</f>
        <v>1.0083450648829499</v>
      </c>
      <c r="R8">
        <f>Annual[[#This Row],[Column3]]*100/C$4</f>
        <v>1.0967501398123407</v>
      </c>
      <c r="S8">
        <f>Annual[[#This Row],[Column4]]*100/D$4</f>
        <v>1.3026958567034557</v>
      </c>
      <c r="T8">
        <f>Annual[[#This Row],[Column5]]*100/E$4</f>
        <v>1.4629343086228723</v>
      </c>
      <c r="U8">
        <f>Annual[[#This Row],[Column6]]*100/F$4</f>
        <v>1.437293309590435</v>
      </c>
      <c r="V8">
        <f>Annual[[#This Row],[Column7]]*100/G$4</f>
        <v>2.5186637508483525</v>
      </c>
      <c r="W8">
        <f>Annual[[#This Row],[Column8]]*100/H$4</f>
        <v>2.2837458535340649</v>
      </c>
      <c r="X8">
        <f>Annual[[#This Row],[Column9]]*100/I$4</f>
        <v>2.0802349082866187</v>
      </c>
      <c r="Y8">
        <f>Annual[[#This Row],[Column10]]*100/J$4</f>
        <v>1.8768570485308682</v>
      </c>
      <c r="Z8">
        <f>Annual[[#This Row],[Column11]]*100/K$4</f>
        <v>1.9645857567532636</v>
      </c>
      <c r="AA8">
        <f t="shared" si="5"/>
        <v>1.0083450648829499</v>
      </c>
      <c r="AB8">
        <f t="shared" si="6"/>
        <v>2.5186637508483525</v>
      </c>
      <c r="AC8">
        <f t="shared" si="7"/>
        <v>1.6698956785768702</v>
      </c>
      <c r="AD8">
        <f t="shared" si="8"/>
        <v>1.7032105997565221</v>
      </c>
      <c r="AE8" t="s">
        <v>10</v>
      </c>
      <c r="AF8">
        <f>Annual[[#This Row],[Column2]]*100/Annual[[#This Row],[Column2]]</f>
        <v>100</v>
      </c>
      <c r="AG8" s="2">
        <f>Annual[[#This Row],[Column3]]*100/Annual[[#This Row],[Column2]]</f>
        <v>109.49471137442229</v>
      </c>
      <c r="AH8" s="2">
        <f>Annual[[#This Row],[Column4]]*100/Annual[[#This Row],[Column2]]</f>
        <v>133.99919352337233</v>
      </c>
      <c r="AI8" s="2">
        <f>Annual[[#This Row],[Column5]]*100/Annual[[#This Row],[Column2]]</f>
        <v>161.29532553739261</v>
      </c>
      <c r="AJ8" s="2">
        <f>Annual[[#This Row],[Column6]]*100/Annual[[#This Row],[Column2]]</f>
        <v>175.25357486274387</v>
      </c>
      <c r="AK8" s="2">
        <f>Annual[[#This Row],[Column7]]*100/Annual[[#This Row],[Column2]]</f>
        <v>310.80368497782189</v>
      </c>
      <c r="AL8" s="2">
        <f>Annual[[#This Row],[Column8]]*100/Annual[[#This Row],[Column2]]</f>
        <v>333.13688389838399</v>
      </c>
      <c r="AM8" s="2">
        <f>Annual[[#This Row],[Column9]]*100/Annual[[#This Row],[Column2]]</f>
        <v>338.41000031018331</v>
      </c>
      <c r="AN8" s="2">
        <f>Annual[[#This Row],[Column10]]*100/Annual[[#This Row],[Column2]]</f>
        <v>352.67843295387576</v>
      </c>
      <c r="AO8" s="2">
        <f>Annual[[#This Row],[Column11]]*100/Annual[[#This Row],[Column2]]</f>
        <v>377.1829151028258</v>
      </c>
      <c r="AP8" s="35">
        <f t="shared" si="2"/>
        <v>0.15894102005847754</v>
      </c>
      <c r="AQ8" s="31">
        <f>Annual[[#This Row],[Column11]]*(1+AP8)</f>
        <v>1409.2722803911088</v>
      </c>
      <c r="AR8" s="32">
        <f>AQ8*(1+$AP$8)</f>
        <v>1633.2634541766083</v>
      </c>
      <c r="AS8" s="32">
        <f t="shared" ref="AS8:AU8" si="10">AR8*(1+$AP$8)</f>
        <v>1892.856013607671</v>
      </c>
      <c r="AT8" s="32">
        <f t="shared" si="10"/>
        <v>2193.7084792342976</v>
      </c>
      <c r="AU8" s="32">
        <f t="shared" si="10"/>
        <v>2542.3787426347285</v>
      </c>
      <c r="AW8" s="2" cm="1">
        <f t="array" ref="AW8:BA8">_xlfn.FORECAST.ETS($AW$3:$BA$3,Annual[[#This Row],[Column2]:[Column11]],$B$3:$K$3,1,0,1)</f>
        <v>1407.7232149501908</v>
      </c>
      <c r="AX8" s="2">
        <v>1522.0228191709941</v>
      </c>
      <c r="AY8" s="2">
        <v>1636.3224233917974</v>
      </c>
      <c r="AZ8" s="2">
        <v>1750.6476956126501</v>
      </c>
      <c r="BA8" s="2">
        <v>1864.9216318334036</v>
      </c>
    </row>
    <row r="9" spans="1:53" x14ac:dyDescent="0.3">
      <c r="A9" t="s">
        <v>11</v>
      </c>
      <c r="B9" s="6">
        <f>'Data Sheet'!B27</f>
        <v>17.7</v>
      </c>
      <c r="C9" s="6">
        <f>'Data Sheet'!C27</f>
        <v>17</v>
      </c>
      <c r="D9" s="6">
        <f>'Data Sheet'!D27</f>
        <v>35</v>
      </c>
      <c r="E9" s="6">
        <f>'Data Sheet'!E27</f>
        <v>26</v>
      </c>
      <c r="F9" s="6">
        <f>'Data Sheet'!F27</f>
        <v>33</v>
      </c>
      <c r="G9" s="6">
        <f>'Data Sheet'!G27</f>
        <v>118</v>
      </c>
      <c r="H9" s="6">
        <f>'Data Sheet'!H27</f>
        <v>117</v>
      </c>
      <c r="I9" s="6">
        <f>'Data Sheet'!I27</f>
        <v>106</v>
      </c>
      <c r="J9" s="6">
        <f>'Data Sheet'!J27</f>
        <v>114</v>
      </c>
      <c r="K9" s="6">
        <f>'Data Sheet'!K27</f>
        <v>334</v>
      </c>
      <c r="L9" s="6">
        <f>SUM(Quarters!H9:K9)</f>
        <v>420</v>
      </c>
      <c r="M9" s="6">
        <f>+$L9</f>
        <v>420</v>
      </c>
      <c r="N9" s="6">
        <f>+$L9</f>
        <v>420</v>
      </c>
      <c r="Q9">
        <f>Annual[[#This Row],[Column2]]*100/B$4</f>
        <v>5.5360611831720009E-2</v>
      </c>
      <c r="R9">
        <f>Annual[[#This Row],[Column3]]*100/C$4</f>
        <v>5.2817995401727456E-2</v>
      </c>
      <c r="S9">
        <f>Annual[[#This Row],[Column4]]*100/D$4</f>
        <v>0.10554248839032628</v>
      </c>
      <c r="T9">
        <f>Annual[[#This Row],[Column5]]*100/E$4</f>
        <v>7.3146715431143622E-2</v>
      </c>
      <c r="U9">
        <f>Annual[[#This Row],[Column6]]*100/F$4</f>
        <v>8.3948104807936907E-2</v>
      </c>
      <c r="V9">
        <f>Annual[[#This Row],[Column7]]*100/G$4</f>
        <v>0.29660910439132293</v>
      </c>
      <c r="W9">
        <f>Annual[[#This Row],[Column8]]*100/H$4</f>
        <v>0.24878795611125287</v>
      </c>
      <c r="X9">
        <f>Annual[[#This Row],[Column9]]*100/I$4</f>
        <v>0.20211264920108302</v>
      </c>
      <c r="Y9">
        <f>Annual[[#This Row],[Column10]]*100/J$4</f>
        <v>0.18818091779465171</v>
      </c>
      <c r="Z9">
        <f>Annual[[#This Row],[Column11]]*100/K$4</f>
        <v>0.53961483779242603</v>
      </c>
      <c r="AA9">
        <f t="shared" si="5"/>
        <v>5.2817995401727456E-2</v>
      </c>
      <c r="AB9">
        <f t="shared" si="6"/>
        <v>0.53961483779242603</v>
      </c>
      <c r="AC9">
        <f t="shared" si="7"/>
        <v>0.146861703092489</v>
      </c>
      <c r="AD9">
        <f t="shared" si="8"/>
        <v>0.18461213811535906</v>
      </c>
      <c r="AE9" t="s">
        <v>11</v>
      </c>
      <c r="AF9">
        <f>Annual[[#This Row],[Column2]]*100/Annual[[#This Row],[Column2]]</f>
        <v>100</v>
      </c>
      <c r="AG9" s="2">
        <f>Annual[[#This Row],[Column3]]*100/Annual[[#This Row],[Column2]]</f>
        <v>96.045197740112997</v>
      </c>
      <c r="AH9" s="2">
        <f>Annual[[#This Row],[Column4]]*100/Annual[[#This Row],[Column2]]</f>
        <v>197.74011299435028</v>
      </c>
      <c r="AI9" s="2">
        <f>Annual[[#This Row],[Column5]]*100/Annual[[#This Row],[Column2]]</f>
        <v>146.89265536723164</v>
      </c>
      <c r="AJ9" s="2">
        <f>Annual[[#This Row],[Column6]]*100/Annual[[#This Row],[Column2]]</f>
        <v>186.4406779661017</v>
      </c>
      <c r="AK9" s="2">
        <f>Annual[[#This Row],[Column7]]*100/Annual[[#This Row],[Column2]]</f>
        <v>666.66666666666674</v>
      </c>
      <c r="AL9" s="2">
        <f>Annual[[#This Row],[Column8]]*100/Annual[[#This Row],[Column2]]</f>
        <v>661.01694915254245</v>
      </c>
      <c r="AM9" s="2">
        <f>Annual[[#This Row],[Column9]]*100/Annual[[#This Row],[Column2]]</f>
        <v>598.87005649717514</v>
      </c>
      <c r="AN9" s="2">
        <f>Annual[[#This Row],[Column10]]*100/Annual[[#This Row],[Column2]]</f>
        <v>644.06779661016947</v>
      </c>
      <c r="AO9" s="2">
        <f>Annual[[#This Row],[Column11]]*100/Annual[[#This Row],[Column2]]</f>
        <v>1887.0056497175142</v>
      </c>
      <c r="AP9" s="35">
        <f t="shared" si="2"/>
        <v>0.38596600437600403</v>
      </c>
      <c r="AQ9" s="31">
        <f>Annual[[#This Row],[Column11]]*(1+AP9)</f>
        <v>462.91264546158533</v>
      </c>
      <c r="AR9" s="32">
        <f>AQ9*(1+$AP$9)</f>
        <v>641.58118960551917</v>
      </c>
      <c r="AS9" s="32">
        <f t="shared" ref="AS9:AU9" si="11">AR9*(1+$AP$9)</f>
        <v>889.20971784036487</v>
      </c>
      <c r="AT9" s="32">
        <f t="shared" si="11"/>
        <v>1232.4144396875245</v>
      </c>
      <c r="AU9" s="32">
        <f t="shared" si="11"/>
        <v>1708.0845167090101</v>
      </c>
      <c r="AW9" s="2" cm="1">
        <f t="array" ref="AW9:BA9">_xlfn.FORECAST.ETS($AW$3:$BA$3,Annual[[#This Row],[Column2]:[Column11]],$B$3:$K$3,1,0,1)</f>
        <v>241.72513185151212</v>
      </c>
      <c r="AX9" s="2">
        <v>267.29633408405107</v>
      </c>
      <c r="AY9" s="2">
        <v>292.86753631658996</v>
      </c>
      <c r="AZ9" s="2">
        <v>318.4444810153837</v>
      </c>
      <c r="BA9" s="2">
        <v>344.00994078166786</v>
      </c>
    </row>
    <row r="10" spans="1:53" x14ac:dyDescent="0.3">
      <c r="A10" t="s">
        <v>12</v>
      </c>
      <c r="B10" s="6">
        <f>'Data Sheet'!B28</f>
        <v>6319.51</v>
      </c>
      <c r="C10" s="6">
        <f>'Data Sheet'!C28</f>
        <v>6026</v>
      </c>
      <c r="D10" s="6">
        <f>'Data Sheet'!D28</f>
        <v>6467</v>
      </c>
      <c r="E10" s="6">
        <f>'Data Sheet'!E28</f>
        <v>7306</v>
      </c>
      <c r="F10" s="6">
        <f>'Data Sheet'!F28</f>
        <v>8604</v>
      </c>
      <c r="G10" s="6">
        <f>'Data Sheet'!G28</f>
        <v>9165</v>
      </c>
      <c r="H10" s="6">
        <f>'Data Sheet'!H28</f>
        <v>10605</v>
      </c>
      <c r="I10" s="6">
        <f>'Data Sheet'!I28</f>
        <v>11879</v>
      </c>
      <c r="J10" s="6">
        <f>'Data Sheet'!J28</f>
        <v>13344</v>
      </c>
      <c r="K10" s="6">
        <f>'Data Sheet'!K28</f>
        <v>13926</v>
      </c>
      <c r="L10" s="6">
        <f>SUM(Quarters!H10:K10)</f>
        <v>14472</v>
      </c>
      <c r="M10" s="6">
        <f>M6+M7-SUM(M8:M9)</f>
        <v>14408.131512166025</v>
      </c>
      <c r="N10" s="6">
        <f>N6+N7-SUM(N8:N9)</f>
        <v>12419.27952611607</v>
      </c>
      <c r="Q10">
        <f>Annual[[#This Row],[Column2]]*100/B$4</f>
        <v>19.765646332015418</v>
      </c>
      <c r="R10">
        <f>Annual[[#This Row],[Column3]]*100/C$4</f>
        <v>18.722425899459392</v>
      </c>
      <c r="S10">
        <f>Annual[[#This Row],[Column4]]*100/D$4</f>
        <v>19.501236354864002</v>
      </c>
      <c r="T10">
        <f>Annual[[#This Row],[Column5]]*100/E$4</f>
        <v>20.554227036151357</v>
      </c>
      <c r="U10">
        <f>Annual[[#This Row],[Column6]]*100/F$4</f>
        <v>21.887560417196642</v>
      </c>
      <c r="V10">
        <f>Annual[[#This Row],[Column7]]*100/G$4</f>
        <v>23.037478319885377</v>
      </c>
      <c r="W10">
        <f>Annual[[#This Row],[Column8]]*100/H$4</f>
        <v>22.550395509058433</v>
      </c>
      <c r="X10">
        <f>Annual[[#This Row],[Column9]]*100/I$4</f>
        <v>22.649963772260993</v>
      </c>
      <c r="Y10">
        <f>Annual[[#This Row],[Column10]]*100/J$4</f>
        <v>22.027071640805545</v>
      </c>
      <c r="Z10">
        <f>Annual[[#This Row],[Column11]]*100/K$4</f>
        <v>22.499030632027917</v>
      </c>
      <c r="AA10">
        <f t="shared" si="5"/>
        <v>18.722425899459392</v>
      </c>
      <c r="AB10">
        <f t="shared" si="6"/>
        <v>23.037478319885377</v>
      </c>
      <c r="AC10">
        <f t="shared" si="7"/>
        <v>21.957316029001092</v>
      </c>
      <c r="AD10">
        <f t="shared" si="8"/>
        <v>21.319503591372509</v>
      </c>
      <c r="AF10">
        <f>Annual[[#This Row],[Column2]]*100/Annual[[#This Row],[Column2]]</f>
        <v>100</v>
      </c>
      <c r="AG10" s="2">
        <f>Annual[[#This Row],[Column3]]*100/Annual[[#This Row],[Column2]]</f>
        <v>95.355494334212622</v>
      </c>
      <c r="AH10" s="2">
        <f>Annual[[#This Row],[Column4]]*100/Annual[[#This Row],[Column2]]</f>
        <v>102.33388348147245</v>
      </c>
      <c r="AI10" s="2">
        <f>Annual[[#This Row],[Column5]]*100/Annual[[#This Row],[Column2]]</f>
        <v>115.61022927410511</v>
      </c>
      <c r="AJ10" s="2">
        <f>Annual[[#This Row],[Column6]]*100/Annual[[#This Row],[Column2]]</f>
        <v>136.14979642408983</v>
      </c>
      <c r="AK10" s="2">
        <f>Annual[[#This Row],[Column7]]*100/Annual[[#This Row],[Column2]]</f>
        <v>145.02706697196459</v>
      </c>
      <c r="AL10" s="2">
        <f>Annual[[#This Row],[Column8]]*100/Annual[[#This Row],[Column2]]</f>
        <v>167.81364377934364</v>
      </c>
      <c r="AM10" s="2">
        <f>Annual[[#This Row],[Column9]]*100/Annual[[#This Row],[Column2]]</f>
        <v>187.97343464920539</v>
      </c>
      <c r="AN10" s="2">
        <f>Annual[[#This Row],[Column10]]*100/Annual[[#This Row],[Column2]]</f>
        <v>211.15561174837921</v>
      </c>
      <c r="AO10" s="2">
        <f>Annual[[#This Row],[Column11]]*100/Annual[[#This Row],[Column2]]</f>
        <v>220.3651865413616</v>
      </c>
      <c r="AP10" s="35">
        <f>(AO10/AF10)^(1/(9))-1</f>
        <v>9.1759547099640404E-2</v>
      </c>
      <c r="AQ10" s="31">
        <f>Annual[[#This Row],[Column11]]*(1+AP10)</f>
        <v>15203.843452909592</v>
      </c>
      <c r="AR10" s="32">
        <f>AQ10*(1+$AP$10)</f>
        <v>16598.941242322409</v>
      </c>
      <c r="AS10" s="32">
        <f t="shared" ref="AS10:AU10" si="12">AR10*(1+$AP$10)</f>
        <v>18122.052573051456</v>
      </c>
      <c r="AT10" s="32">
        <f t="shared" si="12"/>
        <v>19784.923909670531</v>
      </c>
      <c r="AU10" s="32">
        <f t="shared" si="12"/>
        <v>21600.379567022745</v>
      </c>
      <c r="AW10" s="2" cm="1">
        <f t="array" ref="AW10:BA10">_xlfn.FORECAST.ETS($AW$3:$BA$3,Annual[[#This Row],[Column2]:[Column11]],$B$3:$K$3,1,0,1)</f>
        <v>14830.991510839356</v>
      </c>
      <c r="AX10" s="2">
        <v>15782.70662544802</v>
      </c>
      <c r="AY10" s="2">
        <v>16734.421740056685</v>
      </c>
      <c r="AZ10" s="2">
        <v>17686.35057914651</v>
      </c>
      <c r="BA10" s="2">
        <v>18637.851969274012</v>
      </c>
    </row>
    <row r="11" spans="1:53" x14ac:dyDescent="0.3">
      <c r="A11" t="s">
        <v>13</v>
      </c>
      <c r="B11" s="6">
        <f>'Data Sheet'!B29</f>
        <v>1944</v>
      </c>
      <c r="C11" s="6">
        <f>'Data Sheet'!C29</f>
        <v>1875</v>
      </c>
      <c r="D11" s="6">
        <f>'Data Sheet'!D29</f>
        <v>1977</v>
      </c>
      <c r="E11" s="6">
        <f>'Data Sheet'!E29</f>
        <v>2079</v>
      </c>
      <c r="F11" s="6">
        <f>'Data Sheet'!F29</f>
        <v>2544</v>
      </c>
      <c r="G11" s="6">
        <f>'Data Sheet'!G29</f>
        <v>2409</v>
      </c>
      <c r="H11" s="6">
        <f>'Data Sheet'!H29</f>
        <v>2606</v>
      </c>
      <c r="I11" s="6">
        <f>'Data Sheet'!I29</f>
        <v>2987</v>
      </c>
      <c r="J11" s="6">
        <f>'Data Sheet'!J29</f>
        <v>3201</v>
      </c>
      <c r="K11" s="6">
        <f>'Data Sheet'!K29</f>
        <v>3644</v>
      </c>
      <c r="L11" s="6">
        <f>SUM(Quarters!H11:K11)</f>
        <v>3715</v>
      </c>
      <c r="M11" s="7">
        <f>IF($L10&gt;0,$L11/$L10,0)</f>
        <v>0.25670259812050855</v>
      </c>
      <c r="N11" s="7">
        <f>IF($L10&gt;0,$L11/$L10,0)</f>
        <v>0.25670259812050855</v>
      </c>
      <c r="Q11">
        <f>Annual[[#This Row],[Column2]]*100/B$4</f>
        <v>6.0802841469414517</v>
      </c>
      <c r="R11">
        <f>Annual[[#This Row],[Column3]]*100/C$4</f>
        <v>5.8255141987199401</v>
      </c>
      <c r="S11">
        <f>Annual[[#This Row],[Column4]]*100/D$4</f>
        <v>5.9616428442192868</v>
      </c>
      <c r="T11">
        <f>Annual[[#This Row],[Column5]]*100/E$4</f>
        <v>5.8489238992825996</v>
      </c>
      <c r="U11">
        <f>Annual[[#This Row],[Column6]]*100/F$4</f>
        <v>6.4716357161027727</v>
      </c>
      <c r="V11">
        <f>Annual[[#This Row],[Column7]]*100/G$4</f>
        <v>6.0553502752431942</v>
      </c>
      <c r="W11">
        <f>Annual[[#This Row],[Column8]]*100/H$4</f>
        <v>5.5413796036403848</v>
      </c>
      <c r="X11">
        <f>Annual[[#This Row],[Column9]]*100/I$4</f>
        <v>5.6953819166380661</v>
      </c>
      <c r="Y11">
        <f>Annual[[#This Row],[Column10]]*100/J$4</f>
        <v>5.2839220864971939</v>
      </c>
      <c r="Z11">
        <f>Annual[[#This Row],[Column11]]*100/K$4</f>
        <v>5.8872948171125756</v>
      </c>
      <c r="AA11">
        <f t="shared" si="5"/>
        <v>5.2839220864971939</v>
      </c>
      <c r="AB11">
        <f t="shared" si="6"/>
        <v>6.4716357161027727</v>
      </c>
      <c r="AC11">
        <f t="shared" si="7"/>
        <v>5.8681093581975876</v>
      </c>
      <c r="AD11">
        <f t="shared" si="8"/>
        <v>5.8651329504397456</v>
      </c>
      <c r="AF11">
        <f>Annual[[#This Row],[Column2]]*100/Annual[[#This Row],[Column2]]</f>
        <v>100</v>
      </c>
      <c r="AG11" s="2">
        <f>Annual[[#This Row],[Column3]]*100/Annual[[#This Row],[Column2]]</f>
        <v>96.450617283950621</v>
      </c>
      <c r="AH11" s="2">
        <f>Annual[[#This Row],[Column4]]*100/Annual[[#This Row],[Column2]]</f>
        <v>101.69753086419753</v>
      </c>
      <c r="AI11" s="2">
        <f>Annual[[#This Row],[Column5]]*100/Annual[[#This Row],[Column2]]</f>
        <v>106.94444444444444</v>
      </c>
      <c r="AJ11" s="2">
        <f>Annual[[#This Row],[Column6]]*100/Annual[[#This Row],[Column2]]</f>
        <v>130.8641975308642</v>
      </c>
      <c r="AK11" s="2">
        <f>Annual[[#This Row],[Column7]]*100/Annual[[#This Row],[Column2]]</f>
        <v>123.91975308641975</v>
      </c>
      <c r="AL11" s="2">
        <f>Annual[[#This Row],[Column8]]*100/Annual[[#This Row],[Column2]]</f>
        <v>134.05349794238683</v>
      </c>
      <c r="AM11" s="2">
        <f>Annual[[#This Row],[Column9]]*100/Annual[[#This Row],[Column2]]</f>
        <v>153.65226337448559</v>
      </c>
      <c r="AN11" s="2">
        <f>Annual[[#This Row],[Column10]]*100/Annual[[#This Row],[Column2]]</f>
        <v>164.66049382716051</v>
      </c>
      <c r="AO11" s="2">
        <f>Annual[[#This Row],[Column11]]*100/Annual[[#This Row],[Column2]]</f>
        <v>187.44855967078189</v>
      </c>
      <c r="AP11" s="35">
        <f t="shared" si="2"/>
        <v>7.2309699016879447E-2</v>
      </c>
      <c r="AQ11" s="31">
        <f>Annual[[#This Row],[Column11]]*(1+AP11)</f>
        <v>3907.4965432175086</v>
      </c>
      <c r="AR11" s="32">
        <f>AQ11*(1+$AP$11)</f>
        <v>4190.0464421670631</v>
      </c>
      <c r="AS11" s="32">
        <f t="shared" ref="AS11:AU11" si="13">AR11*(1+$AP$11)</f>
        <v>4493.0274392669098</v>
      </c>
      <c r="AT11" s="32">
        <f t="shared" si="13"/>
        <v>4817.916901074881</v>
      </c>
      <c r="AU11" s="32">
        <f t="shared" si="13"/>
        <v>5166.299022079942</v>
      </c>
      <c r="AW11" s="2" cm="1">
        <f t="array" ref="AW11:BA11">_xlfn.FORECAST.ETS($AW$3:$BA$3,Annual[[#This Row],[Column2]:[Column11]],$B$3:$K$3,1,0,1)</f>
        <v>3748.6173387489162</v>
      </c>
      <c r="AX11" s="2">
        <v>3936.8889384209774</v>
      </c>
      <c r="AY11" s="2">
        <v>4125.1605380930378</v>
      </c>
      <c r="AZ11" s="2">
        <v>4313.4744174865618</v>
      </c>
      <c r="BA11" s="2">
        <v>4501.7037374371603</v>
      </c>
    </row>
    <row r="12" spans="1:53" s="2" customFormat="1" x14ac:dyDescent="0.3">
      <c r="A12" s="2" t="s">
        <v>14</v>
      </c>
      <c r="B12" s="1">
        <f>'Data Sheet'!B30</f>
        <v>4363.08</v>
      </c>
      <c r="C12" s="1">
        <f>'Data Sheet'!C30</f>
        <v>4151</v>
      </c>
      <c r="D12" s="1">
        <f>'Data Sheet'!D30</f>
        <v>4476</v>
      </c>
      <c r="E12" s="1">
        <f>'Data Sheet'!E30</f>
        <v>5214</v>
      </c>
      <c r="F12" s="1">
        <f>'Data Sheet'!F30</f>
        <v>6054</v>
      </c>
      <c r="G12" s="1">
        <f>'Data Sheet'!G30</f>
        <v>6748</v>
      </c>
      <c r="H12" s="1">
        <f>'Data Sheet'!H30</f>
        <v>7995</v>
      </c>
      <c r="I12" s="1">
        <f>'Data Sheet'!I30</f>
        <v>8879</v>
      </c>
      <c r="J12" s="1">
        <f>'Data Sheet'!J30</f>
        <v>10120</v>
      </c>
      <c r="K12" s="1">
        <f>'Data Sheet'!K30</f>
        <v>10277</v>
      </c>
      <c r="L12" s="1">
        <f>SUM(Quarters!H12:K12)</f>
        <v>10743</v>
      </c>
      <c r="M12" s="1">
        <f>M10-M11*M10</f>
        <v>10709.526718931034</v>
      </c>
      <c r="N12" s="1">
        <f>N10-N11*N10</f>
        <v>9231.2182049772364</v>
      </c>
      <c r="AF12">
        <f>Annual[[#This Row],[Column2]]*100/Annual[[#This Row],[Column2]]</f>
        <v>100</v>
      </c>
      <c r="AG12" s="2">
        <f>Annual[[#This Row],[Column3]]*100/Annual[[#This Row],[Column2]]</f>
        <v>95.139213583065171</v>
      </c>
      <c r="AH12" s="2">
        <f>Annual[[#This Row],[Column4]]*100/Annual[[#This Row],[Column2]]</f>
        <v>102.58807998019748</v>
      </c>
      <c r="AI12" s="2">
        <f>Annual[[#This Row],[Column5]]*100/Annual[[#This Row],[Column2]]</f>
        <v>119.50273659891636</v>
      </c>
      <c r="AJ12" s="2">
        <f>Annual[[#This Row],[Column6]]*100/Annual[[#This Row],[Column2]]</f>
        <v>138.75519128688907</v>
      </c>
      <c r="AK12" s="2">
        <f>Annual[[#This Row],[Column7]]*100/Annual[[#This Row],[Column2]]</f>
        <v>154.66138599338083</v>
      </c>
      <c r="AL12" s="2">
        <f>Annual[[#This Row],[Column8]]*100/Annual[[#This Row],[Column2]]</f>
        <v>183.24211336945461</v>
      </c>
      <c r="AM12" s="2">
        <f>Annual[[#This Row],[Column9]]*100/Annual[[#This Row],[Column2]]</f>
        <v>203.50302996965448</v>
      </c>
      <c r="AN12" s="2">
        <f>Annual[[#This Row],[Column10]]*100/Annual[[#This Row],[Column2]]</f>
        <v>231.94623981224274</v>
      </c>
      <c r="AO12" s="2">
        <f>Annual[[#This Row],[Column11]]*100/Annual[[#This Row],[Column2]]</f>
        <v>235.54461527178049</v>
      </c>
      <c r="AP12" s="35">
        <f t="shared" si="2"/>
        <v>9.9870273701844647E-2</v>
      </c>
      <c r="AQ12" s="29">
        <f>Annual[[#This Row],[Column11]]*(1+AP12)</f>
        <v>11303.366802833858</v>
      </c>
      <c r="AR12" s="30">
        <f>AQ12*(1+$AP$12)</f>
        <v>12432.237139185219</v>
      </c>
      <c r="AS12" s="30">
        <f t="shared" ref="AS12:AU12" si="14">AR12*(1+$AP$12)</f>
        <v>13673.848065001885</v>
      </c>
      <c r="AT12" s="30">
        <f t="shared" si="14"/>
        <v>15039.459013811062</v>
      </c>
      <c r="AU12" s="30">
        <f t="shared" si="14"/>
        <v>16541.453901848046</v>
      </c>
      <c r="AW12" s="2" cm="1">
        <f t="array" ref="AW12:BA12">_xlfn.FORECAST.ETS($AW$3:$BA$3,Annual[[#This Row],[Column2]:[Column11]],$B$3:$K$3,1,0,1)</f>
        <v>11033.000533906486</v>
      </c>
      <c r="AX12" s="2">
        <v>11796.00586221626</v>
      </c>
      <c r="AY12" s="2">
        <v>12559.011190526031</v>
      </c>
      <c r="AZ12" s="2">
        <v>13322.187865192936</v>
      </c>
      <c r="BA12" s="2">
        <v>14085.021847145576</v>
      </c>
    </row>
    <row r="13" spans="1:53" x14ac:dyDescent="0.3">
      <c r="A13" t="s">
        <v>57</v>
      </c>
      <c r="B13" s="6">
        <f>IF('Data Sheet'!B93&gt;0,B12/'Data Sheet'!B93,0)</f>
        <v>20.166766813034435</v>
      </c>
      <c r="C13" s="6">
        <f>IF('Data Sheet'!C93&gt;0,C12/'Data Sheet'!C93,0)</f>
        <v>19.182956698553539</v>
      </c>
      <c r="D13" s="6">
        <f>IF('Data Sheet'!D93&gt;0,D12/'Data Sheet'!D93,0)</f>
        <v>20.681051610220393</v>
      </c>
      <c r="E13" s="6">
        <f>IF('Data Sheet'!E93&gt;0,E12/'Data Sheet'!E93,0)</f>
        <v>24.088704088704091</v>
      </c>
      <c r="F13" s="6">
        <f>IF('Data Sheet'!F93&gt;0,F12/'Data Sheet'!F93,0)</f>
        <v>27.966923823162563</v>
      </c>
      <c r="G13" s="6">
        <f>IF('Data Sheet'!G93&gt;0,G12/'Data Sheet'!G93,0)</f>
        <v>31.171470805617147</v>
      </c>
      <c r="H13" s="6">
        <f>IF('Data Sheet'!H93&gt;0,H12/'Data Sheet'!H93,0)</f>
        <v>34.027068437180795</v>
      </c>
      <c r="I13" s="6">
        <f>IF('Data Sheet'!I93&gt;0,I12/'Data Sheet'!I93,0)</f>
        <v>37.789410963568265</v>
      </c>
      <c r="J13" s="6">
        <f>IF('Data Sheet'!J93&gt;0,J12/'Data Sheet'!J93,0)</f>
        <v>43.071161048689135</v>
      </c>
      <c r="K13" s="6">
        <f>IF('Data Sheet'!K93&gt;0,K12/'Data Sheet'!K93,0)</f>
        <v>43.739359891045282</v>
      </c>
      <c r="L13" s="6">
        <f>IF('Data Sheet'!$B6&gt;0,'Profit &amp; Loss'!L12/'Data Sheet'!$B6,0)</f>
        <v>45.722845359648829</v>
      </c>
      <c r="M13" s="6">
        <f>IF('Data Sheet'!$B6&gt;0,'Profit &amp; Loss'!M12/'Data Sheet'!$B6,0)</f>
        <v>45.580381089519776</v>
      </c>
      <c r="N13" s="6">
        <f>IF('Data Sheet'!$B6&gt;0,'Profit &amp; Loss'!N12/'Data Sheet'!$B6,0)</f>
        <v>39.288612349190096</v>
      </c>
    </row>
    <row r="14" spans="1:53" x14ac:dyDescent="0.3">
      <c r="A14" t="s">
        <v>16</v>
      </c>
      <c r="B14" s="6">
        <f>IF(B15&gt;0,B15/B13,"")</f>
        <v>43.316313819595329</v>
      </c>
      <c r="C14" s="6">
        <f t="shared" ref="C14:K14" si="15">IF(C15&gt;0,C15/C13,"")</f>
        <v>45.326693567814978</v>
      </c>
      <c r="D14" s="6">
        <f t="shared" si="15"/>
        <v>44.086249441465597</v>
      </c>
      <c r="E14" s="6">
        <f t="shared" si="15"/>
        <v>55.351670023014954</v>
      </c>
      <c r="F14" s="6">
        <f t="shared" si="15"/>
        <v>61.029236207466134</v>
      </c>
      <c r="G14" s="6">
        <f t="shared" si="15"/>
        <v>73.737296976882035</v>
      </c>
      <c r="H14" s="6">
        <f t="shared" si="15"/>
        <v>71.457816135084428</v>
      </c>
      <c r="I14" s="6">
        <f t="shared" si="15"/>
        <v>54.212276607726103</v>
      </c>
      <c r="J14" s="6">
        <f t="shared" si="15"/>
        <v>59.444647826086957</v>
      </c>
      <c r="K14" s="6">
        <f t="shared" si="15"/>
        <v>51.769161817651067</v>
      </c>
      <c r="L14" s="6">
        <f t="shared" ref="L14" si="16">IF(L13&gt;0,L15/L13,0)</f>
        <v>49.061907288466905</v>
      </c>
      <c r="M14" s="6">
        <f>M25</f>
        <v>53.62199838498276</v>
      </c>
      <c r="N14" s="6">
        <f>N25</f>
        <v>49.061907288466905</v>
      </c>
    </row>
    <row r="15" spans="1:53" s="2" customFormat="1" x14ac:dyDescent="0.3">
      <c r="A15" s="2" t="s">
        <v>58</v>
      </c>
      <c r="B15" s="1">
        <f>'Data Sheet'!B90</f>
        <v>873.55</v>
      </c>
      <c r="C15" s="1">
        <f>'Data Sheet'!C90</f>
        <v>869.5</v>
      </c>
      <c r="D15" s="1">
        <f>'Data Sheet'!D90</f>
        <v>911.75</v>
      </c>
      <c r="E15" s="1">
        <f>'Data Sheet'!E90</f>
        <v>1333.35</v>
      </c>
      <c r="F15" s="1">
        <f>'Data Sheet'!F90</f>
        <v>1706.8</v>
      </c>
      <c r="G15" s="1">
        <f>'Data Sheet'!G90</f>
        <v>2298.5</v>
      </c>
      <c r="H15" s="1">
        <f>'Data Sheet'!H90</f>
        <v>2431.5</v>
      </c>
      <c r="I15" s="1">
        <f>'Data Sheet'!I90</f>
        <v>2048.65</v>
      </c>
      <c r="J15" s="1">
        <f>'Data Sheet'!J90</f>
        <v>2560.35</v>
      </c>
      <c r="K15" s="1">
        <f>'Data Sheet'!K90</f>
        <v>2264.35</v>
      </c>
      <c r="L15" s="1">
        <f>'Data Sheet'!B8</f>
        <v>2243.25</v>
      </c>
      <c r="M15" s="8">
        <f>M13*M14</f>
        <v>2444.1111211691282</v>
      </c>
      <c r="N15" s="9">
        <f>N13*N14</f>
        <v>1927.5742565684805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0.74379795923980307</v>
      </c>
      <c r="C18" s="5">
        <f>IF('Data Sheet'!C30&gt;0, 'Data Sheet'!C31/'Data Sheet'!C30, 0)</f>
        <v>0.8325704649482053</v>
      </c>
      <c r="D18" s="5">
        <f>IF('Data Sheet'!D30&gt;0, 'Data Sheet'!D31/'Data Sheet'!D30, 0)</f>
        <v>0.82037533512064342</v>
      </c>
      <c r="E18" s="5">
        <f>IF('Data Sheet'!E30&gt;0, 'Data Sheet'!E31/'Data Sheet'!E30, 0)</f>
        <v>0.8285385500575374</v>
      </c>
      <c r="F18" s="5">
        <f>IF('Data Sheet'!F30&gt;0, 'Data Sheet'!F31/'Data Sheet'!F30, 0)</f>
        <v>0.78493557978196238</v>
      </c>
      <c r="G18" s="5">
        <f>IF('Data Sheet'!G30&gt;0, 'Data Sheet'!G31/'Data Sheet'!G30, 0)</f>
        <v>0.80023710729104924</v>
      </c>
      <c r="H18" s="5">
        <f>IF('Data Sheet'!H30&gt;0, 'Data Sheet'!H31/'Data Sheet'!H30, 0)</f>
        <v>1.1904315196998123</v>
      </c>
      <c r="I18" s="5">
        <f>IF('Data Sheet'!I30&gt;0, 'Data Sheet'!I31/'Data Sheet'!I30, 0)</f>
        <v>0.89987611217479446</v>
      </c>
      <c r="J18" s="5">
        <f>IF('Data Sheet'!J30&gt;0, 'Data Sheet'!J31/'Data Sheet'!J30, 0)</f>
        <v>0.90563241106719372</v>
      </c>
      <c r="K18" s="5">
        <f>IF('Data Sheet'!K30&gt;0, 'Data Sheet'!K31/'Data Sheet'!K30, 0)</f>
        <v>0.96039700301644448</v>
      </c>
    </row>
    <row r="19" spans="1:14" x14ac:dyDescent="0.3">
      <c r="A19" t="s">
        <v>18</v>
      </c>
      <c r="B19" s="5">
        <f t="shared" ref="B19:L19" si="17">IF(B6&gt;0,B6/B4,0)</f>
        <v>0.16928524445776152</v>
      </c>
      <c r="C19" s="5">
        <f t="shared" ref="C19:K19" si="18">IF(C6&gt;0,C6/C4,0)</f>
        <v>0.18362020754365252</v>
      </c>
      <c r="D19" s="5">
        <f t="shared" si="18"/>
        <v>0.1908208190097099</v>
      </c>
      <c r="E19" s="5">
        <f t="shared" si="18"/>
        <v>0.21097200731467156</v>
      </c>
      <c r="F19" s="5">
        <f t="shared" si="18"/>
        <v>0.2258967183922666</v>
      </c>
      <c r="G19" s="5">
        <f t="shared" si="18"/>
        <v>0.24786969308498605</v>
      </c>
      <c r="H19" s="5">
        <f t="shared" si="18"/>
        <v>0.24721442544866887</v>
      </c>
      <c r="I19" s="5">
        <f t="shared" si="18"/>
        <v>0.24514738969606834</v>
      </c>
      <c r="J19" s="5">
        <f t="shared" si="18"/>
        <v>0.23352591614394189</v>
      </c>
      <c r="K19" s="5">
        <f t="shared" si="18"/>
        <v>0.23683275171255008</v>
      </c>
      <c r="L19" s="5">
        <f t="shared" si="17"/>
        <v>0.23553725602847067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7.6159611228094892E-2</v>
      </c>
      <c r="I23" s="5">
        <f>IF(D4=0,"",POWER($K4/D4,1/7)-1)</f>
        <v>9.3244773651485424E-2</v>
      </c>
      <c r="J23" s="5">
        <f>IF(F4=0,"",POWER($K4/F4,1/5)-1)</f>
        <v>9.5044852440741234E-2</v>
      </c>
      <c r="K23" s="5">
        <f>IF(H4=0,"",POWER($K4/H4, 1/3)-1)</f>
        <v>9.5894358971563509E-2</v>
      </c>
      <c r="L23" s="5">
        <f>IF(ISERROR(MAX(IF(J4=0,"",(K4-J4)/J4),IF(K4=0,"",(L4-K4)/K4))),"",MAX(IF(J4=0,"",(K4-J4)/J4),IF(K4=0,"",(L4-K4)/K4)))</f>
        <v>2.1723341036645756E-2</v>
      </c>
      <c r="M23" s="16">
        <f>MAX(K23:L23)</f>
        <v>9.5894358971563509E-2</v>
      </c>
      <c r="N23" s="16">
        <f>MIN(H23:L23)</f>
        <v>2.1723341036645756E-2</v>
      </c>
    </row>
    <row r="24" spans="1:14" x14ac:dyDescent="0.3">
      <c r="G24" t="s">
        <v>18</v>
      </c>
      <c r="H24" s="5">
        <f>IF(SUM(B4:$K$4)=0,"",SUMPRODUCT(B19:$K$19,B4:$K$4)/SUM(B4:$K$4))</f>
        <v>0.22396309228456832</v>
      </c>
      <c r="I24" s="5">
        <f>IF(SUM(E4:$K$4)=0,"",SUMPRODUCT(E19:$K$19,E4:$K$4)/SUM(E4:$K$4))</f>
        <v>0.23627996244667071</v>
      </c>
      <c r="J24" s="5">
        <f>IF(SUM(G4:$K$4)=0,"",SUMPRODUCT(G19:$K$19,G4:$K$4)/SUM(G4:$K$4))</f>
        <v>0.24127641527816515</v>
      </c>
      <c r="K24" s="5">
        <f>IF(SUM(I4:$K$4)=0, "", SUMPRODUCT(I19:$K$19,I4:$K$4)/SUM(I4:$K$4))</f>
        <v>0.23818044614170888</v>
      </c>
      <c r="L24" s="5">
        <f>L19</f>
        <v>0.23553725602847067</v>
      </c>
      <c r="M24" s="16">
        <f>MAX(K24:L24)</f>
        <v>0.23818044614170888</v>
      </c>
      <c r="N24" s="16">
        <f>MIN(H24:L24)</f>
        <v>0.22396309228456832</v>
      </c>
    </row>
    <row r="25" spans="1:14" x14ac:dyDescent="0.3">
      <c r="G25" t="s">
        <v>23</v>
      </c>
      <c r="H25" s="6">
        <f>IF(ISERROR(AVERAGEIF(B14:$L14,"&gt;0")),"",AVERAGEIF(B14:$L14,"&gt;0"))</f>
        <v>55.34484270102314</v>
      </c>
      <c r="I25" s="6">
        <f>IF(ISERROR(AVERAGEIF(E14:$L14,"&gt;0")),"",AVERAGEIF(E14:$L14,"&gt;0"))</f>
        <v>59.508001610297327</v>
      </c>
      <c r="J25" s="6">
        <f>IF(ISERROR(AVERAGEIF(G14:$L14,"&gt;0")),"",AVERAGEIF(G14:$L14,"&gt;0"))</f>
        <v>59.94718444198292</v>
      </c>
      <c r="K25" s="6">
        <f>IF(ISERROR(AVERAGEIF(I14:$L14,"&gt;0")),"",AVERAGEIF(I14:$L14,"&gt;0"))</f>
        <v>53.62199838498276</v>
      </c>
      <c r="L25" s="6">
        <f>L14</f>
        <v>49.061907288466905</v>
      </c>
      <c r="M25" s="1">
        <f>MAX(K25:L25)</f>
        <v>53.62199838498276</v>
      </c>
      <c r="N25" s="1">
        <f>MIN(H25:L25)</f>
        <v>49.061907288466905</v>
      </c>
    </row>
  </sheetData>
  <mergeCells count="4">
    <mergeCell ref="AQ2:AU2"/>
    <mergeCell ref="Q2:Z2"/>
    <mergeCell ref="AF2:AO2"/>
    <mergeCell ref="AW2:BA2"/>
  </mergeCells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0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HINDUSTAN UNILEVER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44834</v>
      </c>
      <c r="C3" s="12">
        <f>'Data Sheet'!C41</f>
        <v>44926</v>
      </c>
      <c r="D3" s="12">
        <f>'Data Sheet'!D41</f>
        <v>45016</v>
      </c>
      <c r="E3" s="12">
        <f>'Data Sheet'!E41</f>
        <v>45107</v>
      </c>
      <c r="F3" s="12">
        <f>'Data Sheet'!F41</f>
        <v>45199</v>
      </c>
      <c r="G3" s="12">
        <f>'Data Sheet'!G41</f>
        <v>45291</v>
      </c>
      <c r="H3" s="12">
        <f>'Data Sheet'!H41</f>
        <v>45382</v>
      </c>
      <c r="I3" s="12">
        <f>'Data Sheet'!I41</f>
        <v>45473</v>
      </c>
      <c r="J3" s="12">
        <f>'Data Sheet'!J41</f>
        <v>45565</v>
      </c>
      <c r="K3" s="12">
        <f>'Data Sheet'!K41</f>
        <v>45657</v>
      </c>
    </row>
    <row r="4" spans="1:11" s="2" customFormat="1" x14ac:dyDescent="0.3">
      <c r="A4" s="2" t="s">
        <v>6</v>
      </c>
      <c r="B4" s="1">
        <f>'Data Sheet'!B42</f>
        <v>15144</v>
      </c>
      <c r="C4" s="1">
        <f>'Data Sheet'!C42</f>
        <v>15597</v>
      </c>
      <c r="D4" s="1">
        <f>'Data Sheet'!D42</f>
        <v>15215</v>
      </c>
      <c r="E4" s="1">
        <f>'Data Sheet'!E42</f>
        <v>15496</v>
      </c>
      <c r="F4" s="1">
        <f>'Data Sheet'!F42</f>
        <v>15623</v>
      </c>
      <c r="G4" s="1">
        <f>'Data Sheet'!G42</f>
        <v>15567</v>
      </c>
      <c r="H4" s="1">
        <f>'Data Sheet'!H42</f>
        <v>15210</v>
      </c>
      <c r="I4" s="1">
        <f>'Data Sheet'!I42</f>
        <v>15707</v>
      </c>
      <c r="J4" s="1">
        <f>'Data Sheet'!J42</f>
        <v>15926</v>
      </c>
      <c r="K4" s="1">
        <f>'Data Sheet'!K42</f>
        <v>15818</v>
      </c>
    </row>
    <row r="5" spans="1:11" x14ac:dyDescent="0.3">
      <c r="A5" t="s">
        <v>7</v>
      </c>
      <c r="B5" s="6">
        <f>'Data Sheet'!B43</f>
        <v>11665</v>
      </c>
      <c r="C5" s="6">
        <f>'Data Sheet'!C43</f>
        <v>11903</v>
      </c>
      <c r="D5" s="6">
        <f>'Data Sheet'!D43</f>
        <v>11643</v>
      </c>
      <c r="E5" s="6">
        <f>'Data Sheet'!E43</f>
        <v>11832</v>
      </c>
      <c r="F5" s="6">
        <f>'Data Sheet'!F43</f>
        <v>11828</v>
      </c>
      <c r="G5" s="6">
        <f>'Data Sheet'!G43</f>
        <v>11902</v>
      </c>
      <c r="H5" s="6">
        <f>'Data Sheet'!H43</f>
        <v>11675</v>
      </c>
      <c r="I5" s="6">
        <f>'Data Sheet'!I43</f>
        <v>11965</v>
      </c>
      <c r="J5" s="6">
        <f>'Data Sheet'!J43</f>
        <v>12139</v>
      </c>
      <c r="K5" s="6">
        <f>'Data Sheet'!K43</f>
        <v>12123</v>
      </c>
    </row>
    <row r="6" spans="1:11" s="2" customFormat="1" x14ac:dyDescent="0.3">
      <c r="A6" s="2" t="s">
        <v>8</v>
      </c>
      <c r="B6" s="1">
        <f>'Data Sheet'!B50</f>
        <v>3479</v>
      </c>
      <c r="C6" s="1">
        <f>'Data Sheet'!C50</f>
        <v>3694</v>
      </c>
      <c r="D6" s="1">
        <f>'Data Sheet'!D50</f>
        <v>3572</v>
      </c>
      <c r="E6" s="1">
        <f>'Data Sheet'!E50</f>
        <v>3664</v>
      </c>
      <c r="F6" s="1">
        <f>'Data Sheet'!F50</f>
        <v>3795</v>
      </c>
      <c r="G6" s="1">
        <f>'Data Sheet'!G50</f>
        <v>3665</v>
      </c>
      <c r="H6" s="1">
        <f>'Data Sheet'!H50</f>
        <v>3535</v>
      </c>
      <c r="I6" s="1">
        <f>'Data Sheet'!I50</f>
        <v>3742</v>
      </c>
      <c r="J6" s="1">
        <f>'Data Sheet'!J50</f>
        <v>3787</v>
      </c>
      <c r="K6" s="1">
        <f>'Data Sheet'!K50</f>
        <v>3695</v>
      </c>
    </row>
    <row r="7" spans="1:11" x14ac:dyDescent="0.3">
      <c r="A7" t="s">
        <v>9</v>
      </c>
      <c r="B7" s="6">
        <f>'Data Sheet'!B44</f>
        <v>80</v>
      </c>
      <c r="C7" s="6">
        <f>'Data Sheet'!C44</f>
        <v>7</v>
      </c>
      <c r="D7" s="6">
        <f>'Data Sheet'!D44</f>
        <v>240</v>
      </c>
      <c r="E7" s="6">
        <f>'Data Sheet'!E44</f>
        <v>146</v>
      </c>
      <c r="F7" s="6">
        <f>'Data Sheet'!F44</f>
        <v>178</v>
      </c>
      <c r="G7" s="6">
        <f>'Data Sheet'!G44</f>
        <v>184</v>
      </c>
      <c r="H7" s="6">
        <f>'Data Sheet'!H44</f>
        <v>309</v>
      </c>
      <c r="I7" s="6">
        <f>'Data Sheet'!I44</f>
        <v>209</v>
      </c>
      <c r="J7" s="6">
        <f>'Data Sheet'!J44</f>
        <v>203</v>
      </c>
      <c r="K7" s="6">
        <f>'Data Sheet'!K44</f>
        <v>740</v>
      </c>
    </row>
    <row r="8" spans="1:11" x14ac:dyDescent="0.3">
      <c r="A8" t="s">
        <v>10</v>
      </c>
      <c r="B8" s="6">
        <f>'Data Sheet'!B45</f>
        <v>272</v>
      </c>
      <c r="C8" s="6">
        <f>'Data Sheet'!C45</f>
        <v>293</v>
      </c>
      <c r="D8" s="6">
        <f>'Data Sheet'!D45</f>
        <v>291</v>
      </c>
      <c r="E8" s="6">
        <f>'Data Sheet'!E45</f>
        <v>286</v>
      </c>
      <c r="F8" s="6">
        <f>'Data Sheet'!F45</f>
        <v>297</v>
      </c>
      <c r="G8" s="6">
        <f>'Data Sheet'!G45</f>
        <v>313</v>
      </c>
      <c r="H8" s="6">
        <f>'Data Sheet'!H45</f>
        <v>320</v>
      </c>
      <c r="I8" s="6">
        <f>'Data Sheet'!I45</f>
        <v>329</v>
      </c>
      <c r="J8" s="6">
        <f>'Data Sheet'!J45</f>
        <v>338</v>
      </c>
      <c r="K8" s="6">
        <f>'Data Sheet'!K45</f>
        <v>341</v>
      </c>
    </row>
    <row r="9" spans="1:11" x14ac:dyDescent="0.3">
      <c r="A9" t="s">
        <v>11</v>
      </c>
      <c r="B9" s="6">
        <f>'Data Sheet'!B46</f>
        <v>28</v>
      </c>
      <c r="C9" s="6">
        <f>'Data Sheet'!C46</f>
        <v>29</v>
      </c>
      <c r="D9" s="6">
        <f>'Data Sheet'!D46</f>
        <v>29</v>
      </c>
      <c r="E9" s="6">
        <f>'Data Sheet'!E46</f>
        <v>50</v>
      </c>
      <c r="F9" s="6">
        <f>'Data Sheet'!F46</f>
        <v>88</v>
      </c>
      <c r="G9" s="6">
        <f>'Data Sheet'!G46</f>
        <v>91</v>
      </c>
      <c r="H9" s="6">
        <f>'Data Sheet'!H46</f>
        <v>105</v>
      </c>
      <c r="I9" s="6">
        <f>'Data Sheet'!I46</f>
        <v>93</v>
      </c>
      <c r="J9" s="6">
        <f>'Data Sheet'!J46</f>
        <v>110</v>
      </c>
      <c r="K9" s="6">
        <f>'Data Sheet'!K46</f>
        <v>112</v>
      </c>
    </row>
    <row r="10" spans="1:11" x14ac:dyDescent="0.3">
      <c r="A10" t="s">
        <v>12</v>
      </c>
      <c r="B10" s="6">
        <f>'Data Sheet'!B47</f>
        <v>3259</v>
      </c>
      <c r="C10" s="6">
        <f>'Data Sheet'!C47</f>
        <v>3379</v>
      </c>
      <c r="D10" s="6">
        <f>'Data Sheet'!D47</f>
        <v>3492</v>
      </c>
      <c r="E10" s="6">
        <f>'Data Sheet'!E47</f>
        <v>3474</v>
      </c>
      <c r="F10" s="6">
        <f>'Data Sheet'!F47</f>
        <v>3588</v>
      </c>
      <c r="G10" s="6">
        <f>'Data Sheet'!G47</f>
        <v>3445</v>
      </c>
      <c r="H10" s="6">
        <f>'Data Sheet'!H47</f>
        <v>3419</v>
      </c>
      <c r="I10" s="6">
        <f>'Data Sheet'!I47</f>
        <v>3529</v>
      </c>
      <c r="J10" s="6">
        <f>'Data Sheet'!J47</f>
        <v>3542</v>
      </c>
      <c r="K10" s="6">
        <f>'Data Sheet'!K47</f>
        <v>3982</v>
      </c>
    </row>
    <row r="11" spans="1:11" x14ac:dyDescent="0.3">
      <c r="A11" t="s">
        <v>13</v>
      </c>
      <c r="B11" s="6">
        <f>'Data Sheet'!B48</f>
        <v>589</v>
      </c>
      <c r="C11" s="6">
        <f>'Data Sheet'!C48</f>
        <v>898</v>
      </c>
      <c r="D11" s="6">
        <f>'Data Sheet'!D48</f>
        <v>891</v>
      </c>
      <c r="E11" s="6">
        <f>'Data Sheet'!E48</f>
        <v>918</v>
      </c>
      <c r="F11" s="6">
        <f>'Data Sheet'!F48</f>
        <v>931</v>
      </c>
      <c r="G11" s="6">
        <f>'Data Sheet'!G48</f>
        <v>937</v>
      </c>
      <c r="H11" s="6">
        <f>'Data Sheet'!H48</f>
        <v>858</v>
      </c>
      <c r="I11" s="6">
        <f>'Data Sheet'!I48</f>
        <v>917</v>
      </c>
      <c r="J11" s="6">
        <f>'Data Sheet'!J48</f>
        <v>947</v>
      </c>
      <c r="K11" s="6">
        <f>'Data Sheet'!K48</f>
        <v>993</v>
      </c>
    </row>
    <row r="12" spans="1:11" s="2" customFormat="1" x14ac:dyDescent="0.3">
      <c r="A12" s="2" t="s">
        <v>14</v>
      </c>
      <c r="B12" s="1">
        <f>'Data Sheet'!B49</f>
        <v>2665</v>
      </c>
      <c r="C12" s="1">
        <f>'Data Sheet'!C49</f>
        <v>2474</v>
      </c>
      <c r="D12" s="1">
        <f>'Data Sheet'!D49</f>
        <v>2600</v>
      </c>
      <c r="E12" s="1">
        <f>'Data Sheet'!E49</f>
        <v>2554</v>
      </c>
      <c r="F12" s="1">
        <f>'Data Sheet'!F49</f>
        <v>2656</v>
      </c>
      <c r="G12" s="1">
        <f>'Data Sheet'!G49</f>
        <v>2509</v>
      </c>
      <c r="H12" s="1">
        <f>'Data Sheet'!H49</f>
        <v>2558</v>
      </c>
      <c r="I12" s="1">
        <f>'Data Sheet'!I49</f>
        <v>2610</v>
      </c>
      <c r="J12" s="1">
        <f>'Data Sheet'!J49</f>
        <v>2591</v>
      </c>
      <c r="K12" s="1">
        <f>'Data Sheet'!K49</f>
        <v>2984</v>
      </c>
    </row>
    <row r="14" spans="1:11" s="2" customFormat="1" x14ac:dyDescent="0.3">
      <c r="A14" s="2" t="s">
        <v>18</v>
      </c>
      <c r="B14" s="10">
        <f>IF(B4&gt;0,B6/B4,"")</f>
        <v>0.22972794506075014</v>
      </c>
      <c r="C14" s="10">
        <f t="shared" ref="C14:K14" si="0">IF(C4&gt;0,C6/C4,"")</f>
        <v>0.23684041802910816</v>
      </c>
      <c r="D14" s="10">
        <f t="shared" si="0"/>
        <v>0.23476832073611567</v>
      </c>
      <c r="E14" s="10">
        <f t="shared" si="0"/>
        <v>0.23644811564274651</v>
      </c>
      <c r="F14" s="10">
        <f t="shared" si="0"/>
        <v>0.24291109261985533</v>
      </c>
      <c r="G14" s="10">
        <f t="shared" si="0"/>
        <v>0.23543393075094751</v>
      </c>
      <c r="H14" s="10">
        <f t="shared" si="0"/>
        <v>0.23241288625904011</v>
      </c>
      <c r="I14" s="10">
        <f t="shared" si="0"/>
        <v>0.23823772840134971</v>
      </c>
      <c r="J14" s="10">
        <f t="shared" si="0"/>
        <v>0.23778726610573905</v>
      </c>
      <c r="K14" s="10">
        <f t="shared" si="0"/>
        <v>0.23359463901883928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T24"/>
  <sheetViews>
    <sheetView zoomScale="125" workbookViewId="0">
      <pane xSplit="1" ySplit="3" topLeftCell="AL4" activePane="bottomRight" state="frozen"/>
      <selection activeCell="C4" sqref="C4"/>
      <selection pane="topRight" activeCell="C4" sqref="C4"/>
      <selection pane="bottomLeft" activeCell="C4" sqref="C4"/>
      <selection pane="bottomRight" activeCell="L7" sqref="L7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  <col min="42" max="42" width="11.5546875" customWidth="1"/>
    <col min="43" max="46" width="11.88671875" bestFit="1" customWidth="1"/>
  </cols>
  <sheetData>
    <row r="1" spans="1:46" s="2" customFormat="1" x14ac:dyDescent="0.3">
      <c r="A1" s="2" t="str">
        <f>'Profit &amp; Loss'!A1</f>
        <v>HINDUSTAN UNILEVER LTD</v>
      </c>
      <c r="E1" t="str">
        <f>UPDATE</f>
        <v/>
      </c>
      <c r="G1"/>
      <c r="J1" s="2" t="s">
        <v>1</v>
      </c>
    </row>
    <row r="2" spans="1:46" x14ac:dyDescent="0.3">
      <c r="G2" s="2"/>
      <c r="H2" s="2"/>
      <c r="M2" t="s">
        <v>97</v>
      </c>
      <c r="AE2" s="2" t="s">
        <v>98</v>
      </c>
      <c r="AP2" s="108" t="s">
        <v>104</v>
      </c>
      <c r="AQ2" s="108"/>
      <c r="AR2" s="108"/>
      <c r="AS2" s="108"/>
      <c r="AT2" s="108"/>
    </row>
    <row r="3" spans="1:46" x14ac:dyDescent="0.3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  <c r="N3" s="26">
        <v>42094</v>
      </c>
      <c r="O3" s="26">
        <v>42460</v>
      </c>
      <c r="P3" s="26">
        <v>42825</v>
      </c>
      <c r="Q3" s="26">
        <v>43190</v>
      </c>
      <c r="R3" s="26">
        <v>43555</v>
      </c>
      <c r="S3" s="26">
        <v>43921</v>
      </c>
      <c r="T3" s="26">
        <v>44286</v>
      </c>
      <c r="U3" s="26">
        <v>44651</v>
      </c>
      <c r="V3" s="26">
        <v>45016</v>
      </c>
      <c r="W3" s="26">
        <v>45382</v>
      </c>
      <c r="X3" s="2" t="s">
        <v>93</v>
      </c>
      <c r="Y3" s="2" t="s">
        <v>94</v>
      </c>
      <c r="Z3" s="2" t="s">
        <v>95</v>
      </c>
      <c r="AA3" s="2" t="s">
        <v>96</v>
      </c>
      <c r="AE3" s="26">
        <v>42094</v>
      </c>
      <c r="AF3" s="26">
        <v>42460</v>
      </c>
      <c r="AG3" s="26">
        <v>42825</v>
      </c>
      <c r="AH3" s="26">
        <v>43190</v>
      </c>
      <c r="AI3" s="26">
        <v>43555</v>
      </c>
      <c r="AJ3" s="26">
        <v>43921</v>
      </c>
      <c r="AK3" s="26">
        <v>44286</v>
      </c>
      <c r="AL3" s="26">
        <v>44651</v>
      </c>
      <c r="AM3" s="26">
        <v>45016</v>
      </c>
      <c r="AN3" s="26">
        <v>45382</v>
      </c>
      <c r="AP3" s="28">
        <v>45717</v>
      </c>
      <c r="AQ3" s="28">
        <v>46082</v>
      </c>
      <c r="AR3" s="28">
        <v>46447</v>
      </c>
      <c r="AS3" s="28">
        <v>46813</v>
      </c>
      <c r="AT3" s="28">
        <v>47178</v>
      </c>
    </row>
    <row r="4" spans="1:46" x14ac:dyDescent="0.3">
      <c r="A4" t="s">
        <v>24</v>
      </c>
      <c r="B4" s="14">
        <f>'Data Sheet'!B57</f>
        <v>216.35</v>
      </c>
      <c r="C4" s="14">
        <f>'Data Sheet'!C57</f>
        <v>216</v>
      </c>
      <c r="D4" s="14">
        <f>'Data Sheet'!D57</f>
        <v>216</v>
      </c>
      <c r="E4" s="14">
        <f>'Data Sheet'!E57</f>
        <v>216</v>
      </c>
      <c r="F4" s="14">
        <f>'Data Sheet'!F57</f>
        <v>216</v>
      </c>
      <c r="G4" s="14">
        <f>'Data Sheet'!G57</f>
        <v>216</v>
      </c>
      <c r="H4" s="14">
        <f>'Data Sheet'!H57</f>
        <v>235</v>
      </c>
      <c r="I4" s="14">
        <f>'Data Sheet'!I57</f>
        <v>235</v>
      </c>
      <c r="J4" s="14">
        <f>'Data Sheet'!J57</f>
        <v>235</v>
      </c>
      <c r="K4" s="14">
        <f>'Data Sheet'!K57</f>
        <v>235</v>
      </c>
      <c r="N4">
        <f>(B4/B$8)*100</f>
        <v>1.4993558348747325</v>
      </c>
      <c r="O4">
        <f t="shared" ref="O4:W7" si="0">(C4/C$8)*100</f>
        <v>1.4601500709795174</v>
      </c>
      <c r="P4">
        <f t="shared" si="0"/>
        <v>1.3752705972239909</v>
      </c>
      <c r="Q4">
        <f t="shared" si="0"/>
        <v>1.2092710782667115</v>
      </c>
      <c r="R4">
        <f t="shared" si="0"/>
        <v>1.1594825272424714</v>
      </c>
      <c r="S4">
        <f t="shared" si="0"/>
        <v>1.0718007244578971</v>
      </c>
      <c r="T4">
        <f t="shared" si="0"/>
        <v>0.34186790805935408</v>
      </c>
      <c r="U4">
        <f t="shared" si="0"/>
        <v>0.33330496695316714</v>
      </c>
      <c r="V4">
        <f t="shared" si="0"/>
        <v>0.32157860886462225</v>
      </c>
      <c r="W4">
        <f t="shared" si="0"/>
        <v>0.29940501216731008</v>
      </c>
      <c r="X4">
        <f>MIN(N4:W4)</f>
        <v>0.29940501216731008</v>
      </c>
      <c r="Y4">
        <f>MAX(N4:W4)</f>
        <v>1.4993558348747325</v>
      </c>
      <c r="Z4">
        <f>MEDIAN(N4:W4)</f>
        <v>1.1156416258501842</v>
      </c>
      <c r="AA4">
        <f>AVERAGE(N4:W4)</f>
        <v>0.90714873290897735</v>
      </c>
      <c r="AE4">
        <f>B4*100/B4</f>
        <v>100</v>
      </c>
      <c r="AF4">
        <f>C4*100/$B4</f>
        <v>99.838225098220477</v>
      </c>
      <c r="AG4">
        <f t="shared" ref="AG4:AN4" si="1">D4*100/$B$4</f>
        <v>99.838225098220477</v>
      </c>
      <c r="AH4">
        <f t="shared" si="1"/>
        <v>99.838225098220477</v>
      </c>
      <c r="AI4">
        <f t="shared" si="1"/>
        <v>99.838225098220477</v>
      </c>
      <c r="AJ4">
        <f t="shared" si="1"/>
        <v>99.838225098220477</v>
      </c>
      <c r="AK4">
        <f t="shared" si="1"/>
        <v>108.62029119482321</v>
      </c>
      <c r="AL4">
        <f t="shared" si="1"/>
        <v>108.62029119482321</v>
      </c>
      <c r="AM4">
        <f t="shared" si="1"/>
        <v>108.62029119482321</v>
      </c>
      <c r="AN4">
        <f t="shared" si="1"/>
        <v>108.62029119482321</v>
      </c>
      <c r="AO4" s="27">
        <f>(AN4/AE4)^(1/9)-1</f>
        <v>9.2298960204200142E-3</v>
      </c>
      <c r="AP4" s="32">
        <f>K4*(1+AO4)</f>
        <v>237.16902556479872</v>
      </c>
      <c r="AQ4" s="32">
        <f>AP4*(1+$AO$4)</f>
        <v>239.35807101002615</v>
      </c>
      <c r="AR4" s="32">
        <f t="shared" ref="AR4:AT4" si="2">AQ4*(1+$AO$4)</f>
        <v>241.56732111709701</v>
      </c>
      <c r="AS4" s="32">
        <f t="shared" si="2"/>
        <v>243.79696237293922</v>
      </c>
      <c r="AT4" s="32">
        <f t="shared" si="2"/>
        <v>246.0471829857357</v>
      </c>
    </row>
    <row r="5" spans="1:46" x14ac:dyDescent="0.3">
      <c r="A5" t="s">
        <v>25</v>
      </c>
      <c r="B5" s="14">
        <f>'Data Sheet'!B58</f>
        <v>3811.13</v>
      </c>
      <c r="C5" s="14">
        <f>'Data Sheet'!C58</f>
        <v>6357</v>
      </c>
      <c r="D5" s="14">
        <f>'Data Sheet'!D58</f>
        <v>6528</v>
      </c>
      <c r="E5" s="14">
        <f>'Data Sheet'!E58</f>
        <v>7065</v>
      </c>
      <c r="F5" s="14">
        <f>'Data Sheet'!F58</f>
        <v>7651</v>
      </c>
      <c r="G5" s="14">
        <f>'Data Sheet'!G58</f>
        <v>8013</v>
      </c>
      <c r="H5" s="14">
        <f>'Data Sheet'!H58</f>
        <v>47439</v>
      </c>
      <c r="I5" s="14">
        <f>'Data Sheet'!I58</f>
        <v>48826</v>
      </c>
      <c r="J5" s="14">
        <f>'Data Sheet'!J58</f>
        <v>50069</v>
      </c>
      <c r="K5" s="14">
        <f>'Data Sheet'!K58</f>
        <v>50983</v>
      </c>
      <c r="N5">
        <f t="shared" ref="N5:N7" si="3">(B5/B$8)*100</f>
        <v>26.412017577842107</v>
      </c>
      <c r="O5">
        <f t="shared" si="0"/>
        <v>42.973027783411069</v>
      </c>
      <c r="P5">
        <f t="shared" si="0"/>
        <v>41.563733604991718</v>
      </c>
      <c r="Q5">
        <f t="shared" si="0"/>
        <v>39.553241518307019</v>
      </c>
      <c r="R5">
        <f t="shared" si="0"/>
        <v>41.070374147834023</v>
      </c>
      <c r="S5">
        <f t="shared" si="0"/>
        <v>39.76082965315338</v>
      </c>
      <c r="T5">
        <f t="shared" si="0"/>
        <v>69.012219959266801</v>
      </c>
      <c r="U5">
        <f t="shared" si="0"/>
        <v>69.250843899809951</v>
      </c>
      <c r="V5">
        <f t="shared" si="0"/>
        <v>68.515401562735207</v>
      </c>
      <c r="W5">
        <f t="shared" si="0"/>
        <v>64.955598873727524</v>
      </c>
      <c r="X5">
        <f t="shared" ref="X5:X7" si="4">MIN(N5:W5)</f>
        <v>26.412017577842107</v>
      </c>
      <c r="Y5">
        <f t="shared" ref="Y5:Y7" si="5">MAX(N5:W5)</f>
        <v>69.250843899809951</v>
      </c>
      <c r="Z5">
        <f t="shared" ref="Z5:Z7" si="6">MEDIAN(N5:W5)</f>
        <v>42.268380694201397</v>
      </c>
      <c r="AA5">
        <f t="shared" ref="AA5:AA7" si="7">AVERAGE(N5:W5)</f>
        <v>50.306728858107881</v>
      </c>
      <c r="AE5">
        <f t="shared" ref="AE5:AE14" si="8">B5*100/B5</f>
        <v>100</v>
      </c>
      <c r="AF5">
        <f>C5*100/$B$5</f>
        <v>166.8009225610252</v>
      </c>
      <c r="AG5">
        <f t="shared" ref="AG5:AN5" si="9">D5*100/$B$5</f>
        <v>171.28778078942466</v>
      </c>
      <c r="AH5">
        <f t="shared" si="9"/>
        <v>185.37808996281942</v>
      </c>
      <c r="AI5">
        <f t="shared" si="9"/>
        <v>200.75410704961519</v>
      </c>
      <c r="AJ5">
        <f t="shared" si="9"/>
        <v>210.25260224657779</v>
      </c>
      <c r="AK5">
        <f t="shared" si="9"/>
        <v>1244.7489327312371</v>
      </c>
      <c r="AL5">
        <f t="shared" si="9"/>
        <v>1281.1423383615884</v>
      </c>
      <c r="AM5">
        <f t="shared" si="9"/>
        <v>1313.7573370627608</v>
      </c>
      <c r="AN5">
        <f t="shared" si="9"/>
        <v>1337.739725488241</v>
      </c>
      <c r="AO5" s="27">
        <f t="shared" ref="AO5:AO13" si="10">(AN5/AE5)^(1/9)-1</f>
        <v>0.33398947378704569</v>
      </c>
      <c r="AP5" s="32">
        <f>K5*(1+AO5)</f>
        <v>68010.785342084957</v>
      </c>
      <c r="AQ5" s="32">
        <f>AP5*(1+$AO$5)</f>
        <v>90725.671750331632</v>
      </c>
      <c r="AR5" s="32">
        <f t="shared" ref="AR5:AT5" si="11">AQ5*(1+$AO$5)</f>
        <v>121027.09111720113</v>
      </c>
      <c r="AS5" s="32">
        <f t="shared" si="11"/>
        <v>161448.86559341196</v>
      </c>
      <c r="AT5" s="32">
        <f t="shared" si="11"/>
        <v>215371.08725647107</v>
      </c>
    </row>
    <row r="6" spans="1:46" x14ac:dyDescent="0.3">
      <c r="A6" t="s">
        <v>71</v>
      </c>
      <c r="B6" s="14">
        <f>'Data Sheet'!B59</f>
        <v>43.04</v>
      </c>
      <c r="C6" s="14">
        <f>'Data Sheet'!C59</f>
        <v>177</v>
      </c>
      <c r="D6" s="14">
        <f>'Data Sheet'!D59</f>
        <v>277</v>
      </c>
      <c r="E6" s="14">
        <f>'Data Sheet'!E59</f>
        <v>0</v>
      </c>
      <c r="F6" s="14">
        <f>'Data Sheet'!F59</f>
        <v>99</v>
      </c>
      <c r="G6" s="14">
        <f>'Data Sheet'!G59</f>
        <v>0</v>
      </c>
      <c r="H6" s="14">
        <f>'Data Sheet'!H59</f>
        <v>0</v>
      </c>
      <c r="I6" s="14">
        <f>'Data Sheet'!I59</f>
        <v>1043</v>
      </c>
      <c r="J6" s="14">
        <f>'Data Sheet'!J59</f>
        <v>1219</v>
      </c>
      <c r="K6" s="14">
        <f>'Data Sheet'!K59</f>
        <v>1484</v>
      </c>
      <c r="N6">
        <f t="shared" si="3"/>
        <v>0.29827721346433317</v>
      </c>
      <c r="O6">
        <f t="shared" si="0"/>
        <v>1.1965118637193268</v>
      </c>
      <c r="P6">
        <f t="shared" si="0"/>
        <v>1.7636572010696547</v>
      </c>
      <c r="Q6">
        <f t="shared" si="0"/>
        <v>0</v>
      </c>
      <c r="R6">
        <f t="shared" si="0"/>
        <v>0.5314294916527994</v>
      </c>
      <c r="S6">
        <f t="shared" si="0"/>
        <v>0</v>
      </c>
      <c r="T6">
        <f t="shared" si="0"/>
        <v>0</v>
      </c>
      <c r="U6">
        <f t="shared" si="0"/>
        <v>1.4793067256687376</v>
      </c>
      <c r="V6">
        <f t="shared" si="0"/>
        <v>1.6681035072594659</v>
      </c>
      <c r="W6">
        <f t="shared" si="0"/>
        <v>1.8907108002395239</v>
      </c>
      <c r="X6">
        <f t="shared" si="4"/>
        <v>0</v>
      </c>
      <c r="Y6">
        <f t="shared" si="5"/>
        <v>1.8907108002395239</v>
      </c>
      <c r="Z6">
        <f t="shared" si="6"/>
        <v>0.86397067768606317</v>
      </c>
      <c r="AA6">
        <f t="shared" si="7"/>
        <v>0.88279968030738409</v>
      </c>
      <c r="AE6">
        <f t="shared" si="8"/>
        <v>100</v>
      </c>
      <c r="AF6">
        <f>C6*100/$B$6</f>
        <v>411.24535315985133</v>
      </c>
      <c r="AG6">
        <f t="shared" ref="AG6:AN6" si="12">D6*100/$B$6</f>
        <v>643.58736059479554</v>
      </c>
      <c r="AH6">
        <f t="shared" si="12"/>
        <v>0</v>
      </c>
      <c r="AI6">
        <f t="shared" si="12"/>
        <v>230.01858736059481</v>
      </c>
      <c r="AJ6">
        <f t="shared" si="12"/>
        <v>0</v>
      </c>
      <c r="AK6">
        <f t="shared" si="12"/>
        <v>0</v>
      </c>
      <c r="AL6">
        <f t="shared" si="12"/>
        <v>2423.3271375464683</v>
      </c>
      <c r="AM6">
        <f t="shared" si="12"/>
        <v>2832.2490706319704</v>
      </c>
      <c r="AN6">
        <f t="shared" si="12"/>
        <v>3447.9553903345727</v>
      </c>
      <c r="AO6" s="27">
        <f t="shared" si="10"/>
        <v>0.48197262705556865</v>
      </c>
      <c r="AP6" s="32">
        <f t="shared" ref="AP6:AP13" si="13">K6*(1+AO6)</f>
        <v>2199.247378550464</v>
      </c>
      <c r="AQ6" s="32">
        <f>AP6*(1+$AO$6)</f>
        <v>3259.2244151355039</v>
      </c>
      <c r="AR6" s="32">
        <f t="shared" ref="AR6:AT6" si="14">AQ6*(1+$AO$6)</f>
        <v>4830.0813686620122</v>
      </c>
      <c r="AS6" s="32">
        <f t="shared" si="14"/>
        <v>7158.0483748081988</v>
      </c>
      <c r="AT6" s="32">
        <f t="shared" si="14"/>
        <v>10608.03175460535</v>
      </c>
    </row>
    <row r="7" spans="1:46" x14ac:dyDescent="0.3">
      <c r="A7" t="s">
        <v>72</v>
      </c>
      <c r="B7" s="14">
        <f>'Data Sheet'!B60</f>
        <v>10359.01</v>
      </c>
      <c r="C7" s="14">
        <f>'Data Sheet'!C60</f>
        <v>8043</v>
      </c>
      <c r="D7" s="14">
        <f>'Data Sheet'!D60</f>
        <v>8685</v>
      </c>
      <c r="E7" s="14">
        <f>'Data Sheet'!E60</f>
        <v>10581</v>
      </c>
      <c r="F7" s="14">
        <f>'Data Sheet'!F60</f>
        <v>10663</v>
      </c>
      <c r="G7" s="14">
        <f>'Data Sheet'!G60</f>
        <v>11924</v>
      </c>
      <c r="H7" s="14">
        <f>'Data Sheet'!H60</f>
        <v>21066</v>
      </c>
      <c r="I7" s="14">
        <f>'Data Sheet'!I60</f>
        <v>20402</v>
      </c>
      <c r="J7" s="14">
        <f>'Data Sheet'!J60</f>
        <v>21554</v>
      </c>
      <c r="K7" s="14">
        <f>'Data Sheet'!K60</f>
        <v>25787</v>
      </c>
      <c r="N7">
        <f t="shared" si="3"/>
        <v>71.790349373818827</v>
      </c>
      <c r="O7">
        <f t="shared" si="0"/>
        <v>54.370310281890092</v>
      </c>
      <c r="P7">
        <f t="shared" si="0"/>
        <v>55.297338596714631</v>
      </c>
      <c r="Q7">
        <f t="shared" si="0"/>
        <v>59.237487403426272</v>
      </c>
      <c r="R7">
        <f t="shared" si="0"/>
        <v>57.238713833270708</v>
      </c>
      <c r="S7">
        <f t="shared" si="0"/>
        <v>59.167369622388719</v>
      </c>
      <c r="T7">
        <f t="shared" si="0"/>
        <v>30.645912132673843</v>
      </c>
      <c r="U7">
        <f t="shared" si="0"/>
        <v>28.936544407568149</v>
      </c>
      <c r="V7">
        <f t="shared" si="0"/>
        <v>29.494916321140714</v>
      </c>
      <c r="W7">
        <f t="shared" si="0"/>
        <v>32.854285313865638</v>
      </c>
      <c r="X7">
        <f t="shared" si="4"/>
        <v>28.936544407568149</v>
      </c>
      <c r="Y7">
        <f t="shared" si="5"/>
        <v>71.790349373818827</v>
      </c>
      <c r="Z7">
        <f t="shared" si="6"/>
        <v>54.833824439302361</v>
      </c>
      <c r="AA7">
        <f t="shared" si="7"/>
        <v>47.903322728675761</v>
      </c>
      <c r="AB7" t="str">
        <f>"&lt;--variation, see the gap"</f>
        <v>&lt;--variation, see the gap</v>
      </c>
      <c r="AE7">
        <f t="shared" si="8"/>
        <v>100</v>
      </c>
      <c r="AF7">
        <f>C7*100/$B$7</f>
        <v>77.642554645665939</v>
      </c>
      <c r="AG7">
        <f t="shared" ref="AG7:AN7" si="15">D7*100/$B$7</f>
        <v>83.840058075047708</v>
      </c>
      <c r="AH7">
        <f t="shared" si="15"/>
        <v>102.14296539920321</v>
      </c>
      <c r="AI7">
        <f t="shared" si="15"/>
        <v>102.93454683410866</v>
      </c>
      <c r="AJ7">
        <f t="shared" si="15"/>
        <v>115.10752475381335</v>
      </c>
      <c r="AK7">
        <f t="shared" si="15"/>
        <v>203.35920131363903</v>
      </c>
      <c r="AL7">
        <f t="shared" si="15"/>
        <v>196.94932237733141</v>
      </c>
      <c r="AM7">
        <f t="shared" si="15"/>
        <v>208.07007619453981</v>
      </c>
      <c r="AN7">
        <f t="shared" si="15"/>
        <v>248.93305441350091</v>
      </c>
      <c r="AO7" s="27">
        <f t="shared" si="10"/>
        <v>0.10664716100342742</v>
      </c>
      <c r="AP7" s="32">
        <f t="shared" si="13"/>
        <v>28537.110340795381</v>
      </c>
      <c r="AQ7" s="32">
        <f>AP7*(1+$AO$7)</f>
        <v>31580.512141882758</v>
      </c>
      <c r="AR7" s="32">
        <f t="shared" ref="AR7:AT7" si="16">AQ7*(1+$AO$7)</f>
        <v>34948.484104848823</v>
      </c>
      <c r="AS7" s="32">
        <f t="shared" si="16"/>
        <v>38675.64071600436</v>
      </c>
      <c r="AT7" s="32">
        <f t="shared" si="16"/>
        <v>42800.28799835479</v>
      </c>
    </row>
    <row r="8" spans="1:46" s="2" customFormat="1" x14ac:dyDescent="0.3">
      <c r="A8" s="2" t="s">
        <v>26</v>
      </c>
      <c r="B8" s="15">
        <f>'Data Sheet'!B61</f>
        <v>14429.53</v>
      </c>
      <c r="C8" s="15">
        <f>'Data Sheet'!C61</f>
        <v>14793</v>
      </c>
      <c r="D8" s="15">
        <f>'Data Sheet'!D61</f>
        <v>15706</v>
      </c>
      <c r="E8" s="15">
        <f>'Data Sheet'!E61</f>
        <v>17862</v>
      </c>
      <c r="F8" s="15">
        <f>'Data Sheet'!F61</f>
        <v>18629</v>
      </c>
      <c r="G8" s="15">
        <f>'Data Sheet'!G61</f>
        <v>20153</v>
      </c>
      <c r="H8" s="15">
        <f>'Data Sheet'!H61</f>
        <v>68740</v>
      </c>
      <c r="I8" s="15">
        <f>'Data Sheet'!I61</f>
        <v>70506</v>
      </c>
      <c r="J8" s="15">
        <f>'Data Sheet'!J61</f>
        <v>73077</v>
      </c>
      <c r="K8" s="15">
        <f>'Data Sheet'!K61</f>
        <v>78489</v>
      </c>
      <c r="N8" s="2">
        <f>(B8/B8)*100</f>
        <v>100</v>
      </c>
      <c r="O8" s="2">
        <f t="shared" ref="O8:W8" si="17">(C8/C8)*100</f>
        <v>100</v>
      </c>
      <c r="P8" s="2">
        <f t="shared" si="17"/>
        <v>100</v>
      </c>
      <c r="Q8" s="2">
        <f t="shared" si="17"/>
        <v>100</v>
      </c>
      <c r="R8" s="2">
        <f t="shared" si="17"/>
        <v>100</v>
      </c>
      <c r="S8" s="2">
        <f t="shared" si="17"/>
        <v>100</v>
      </c>
      <c r="T8" s="2">
        <f t="shared" si="17"/>
        <v>100</v>
      </c>
      <c r="U8" s="2">
        <f t="shared" si="17"/>
        <v>100</v>
      </c>
      <c r="V8" s="2">
        <f t="shared" si="17"/>
        <v>100</v>
      </c>
      <c r="W8" s="2">
        <f t="shared" si="17"/>
        <v>100</v>
      </c>
      <c r="X8"/>
      <c r="Y8"/>
      <c r="Z8"/>
      <c r="AA8"/>
      <c r="AE8">
        <f t="shared" si="8"/>
        <v>100</v>
      </c>
      <c r="AF8">
        <f>C8*100/$B$8</f>
        <v>102.51893166305486</v>
      </c>
      <c r="AG8">
        <f t="shared" ref="AG8:AN8" si="18">D8*100/$B$8</f>
        <v>108.84623407692419</v>
      </c>
      <c r="AH8">
        <f t="shared" si="18"/>
        <v>123.78781568076022</v>
      </c>
      <c r="AI8">
        <f t="shared" si="18"/>
        <v>129.10330412702285</v>
      </c>
      <c r="AJ8">
        <f t="shared" si="18"/>
        <v>139.66497869299968</v>
      </c>
      <c r="AK8">
        <f t="shared" si="18"/>
        <v>476.38419269373293</v>
      </c>
      <c r="AL8">
        <f t="shared" si="18"/>
        <v>488.62298356218116</v>
      </c>
      <c r="AM8">
        <f t="shared" si="18"/>
        <v>506.44061171777594</v>
      </c>
      <c r="AN8">
        <f t="shared" si="18"/>
        <v>543.94703084577247</v>
      </c>
      <c r="AO8" s="27"/>
      <c r="AP8" s="32"/>
      <c r="AQ8" s="32"/>
    </row>
    <row r="9" spans="1:46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X9"/>
      <c r="Y9"/>
      <c r="Z9"/>
      <c r="AA9"/>
      <c r="AE9"/>
      <c r="AF9"/>
      <c r="AO9" s="27"/>
      <c r="AP9" s="32"/>
      <c r="AQ9" s="32"/>
    </row>
    <row r="10" spans="1:46" x14ac:dyDescent="0.3">
      <c r="A10" t="s">
        <v>27</v>
      </c>
      <c r="B10" s="14">
        <f>'Data Sheet'!B62</f>
        <v>2821.01</v>
      </c>
      <c r="C10" s="14">
        <f>'Data Sheet'!C62</f>
        <v>3258</v>
      </c>
      <c r="D10" s="14">
        <f>'Data Sheet'!D62</f>
        <v>4419</v>
      </c>
      <c r="E10" s="14">
        <f>'Data Sheet'!E62</f>
        <v>4528</v>
      </c>
      <c r="F10" s="14">
        <f>'Data Sheet'!F62</f>
        <v>4715</v>
      </c>
      <c r="G10" s="14">
        <f>'Data Sheet'!G62</f>
        <v>5479</v>
      </c>
      <c r="H10" s="14">
        <f>'Data Sheet'!H62</f>
        <v>51443</v>
      </c>
      <c r="I10" s="14">
        <f>'Data Sheet'!I62</f>
        <v>51473</v>
      </c>
      <c r="J10" s="14">
        <f>'Data Sheet'!J62</f>
        <v>52678</v>
      </c>
      <c r="K10" s="14">
        <f>'Data Sheet'!K62</f>
        <v>53744</v>
      </c>
      <c r="N10">
        <f>(B10/B$14)*100</f>
        <v>19.550255621631475</v>
      </c>
      <c r="O10">
        <f t="shared" ref="O10:W10" si="19">(C10/C$14)*100</f>
        <v>22.023930237274385</v>
      </c>
      <c r="P10">
        <f t="shared" si="19"/>
        <v>28.135744301540811</v>
      </c>
      <c r="Q10">
        <f t="shared" si="19"/>
        <v>25.349904825887361</v>
      </c>
      <c r="R10">
        <f t="shared" si="19"/>
        <v>25.310000536797467</v>
      </c>
      <c r="S10">
        <f t="shared" si="19"/>
        <v>27.187019302337124</v>
      </c>
      <c r="T10">
        <f t="shared" si="19"/>
        <v>74.837067209775967</v>
      </c>
      <c r="U10">
        <f t="shared" si="19"/>
        <v>73.005134314810078</v>
      </c>
      <c r="V10">
        <f t="shared" si="19"/>
        <v>72.085608330938598</v>
      </c>
      <c r="W10">
        <f t="shared" si="19"/>
        <v>68.473289250723042</v>
      </c>
      <c r="X10">
        <f t="shared" ref="X10:X13" si="20">MIN(N10:W10)</f>
        <v>19.550255621631475</v>
      </c>
      <c r="Y10">
        <f t="shared" ref="Y10:Y13" si="21">MAX(N10:W10)</f>
        <v>74.837067209775967</v>
      </c>
      <c r="Z10">
        <f t="shared" ref="Z10:Z13" si="22">MEDIAN(N10:W10)</f>
        <v>27.661381801938965</v>
      </c>
      <c r="AA10">
        <f t="shared" ref="AA10:AA13" si="23">AVERAGE(N10:W10)</f>
        <v>43.595795393171635</v>
      </c>
      <c r="AE10">
        <f>B10*100/B10</f>
        <v>99.999999999999986</v>
      </c>
      <c r="AF10">
        <f>C10*100/$B$10</f>
        <v>115.49055125646487</v>
      </c>
      <c r="AG10">
        <f t="shared" ref="AG10:AN10" si="24">D10*100/$B$10</f>
        <v>156.6460239417797</v>
      </c>
      <c r="AH10">
        <f t="shared" si="24"/>
        <v>160.5098883024165</v>
      </c>
      <c r="AI10">
        <f t="shared" si="24"/>
        <v>167.13871982020623</v>
      </c>
      <c r="AJ10">
        <f t="shared" si="24"/>
        <v>194.22121864155037</v>
      </c>
      <c r="AK10">
        <f t="shared" si="24"/>
        <v>1823.5667367361334</v>
      </c>
      <c r="AL10">
        <f t="shared" si="24"/>
        <v>1824.6301856427306</v>
      </c>
      <c r="AM10">
        <f t="shared" si="24"/>
        <v>1867.3453833910548</v>
      </c>
      <c r="AN10">
        <f t="shared" si="24"/>
        <v>1905.1332678721449</v>
      </c>
      <c r="AO10" s="27">
        <f t="shared" si="10"/>
        <v>0.3874390987612566</v>
      </c>
      <c r="AP10" s="32">
        <f t="shared" si="13"/>
        <v>74566.526923824975</v>
      </c>
      <c r="AQ10" s="32">
        <f>AP10*(1+$AO$10)</f>
        <v>103456.5149129487</v>
      </c>
      <c r="AR10" s="32">
        <f t="shared" ref="AR10:AT10" si="25">AQ10*(1+$AO$10)</f>
        <v>143539.61381180203</v>
      </c>
      <c r="AS10" s="32">
        <f t="shared" si="25"/>
        <v>199152.47242358542</v>
      </c>
      <c r="AT10" s="32">
        <f t="shared" si="25"/>
        <v>276311.92685545539</v>
      </c>
    </row>
    <row r="11" spans="1:46" x14ac:dyDescent="0.3">
      <c r="A11" t="s">
        <v>28</v>
      </c>
      <c r="B11" s="14">
        <f>'Data Sheet'!B63</f>
        <v>516.29999999999995</v>
      </c>
      <c r="C11" s="14">
        <f>'Data Sheet'!C63</f>
        <v>408</v>
      </c>
      <c r="D11" s="14">
        <f>'Data Sheet'!D63</f>
        <v>229</v>
      </c>
      <c r="E11" s="14">
        <f>'Data Sheet'!E63</f>
        <v>461</v>
      </c>
      <c r="F11" s="14">
        <f>'Data Sheet'!F63</f>
        <v>406</v>
      </c>
      <c r="G11" s="14">
        <f>'Data Sheet'!G63</f>
        <v>597</v>
      </c>
      <c r="H11" s="14">
        <f>'Data Sheet'!H63</f>
        <v>745</v>
      </c>
      <c r="I11" s="14">
        <f>'Data Sheet'!I63</f>
        <v>1313</v>
      </c>
      <c r="J11" s="14">
        <f>'Data Sheet'!J63</f>
        <v>1132</v>
      </c>
      <c r="K11" s="14">
        <f>'Data Sheet'!K63</f>
        <v>1025</v>
      </c>
      <c r="N11">
        <f t="shared" ref="N11:N13" si="26">(B11/B$14)*100</f>
        <v>3.5780791196941268</v>
      </c>
      <c r="O11">
        <f t="shared" ref="O11:O13" si="27">(C11/C$14)*100</f>
        <v>2.7580612451835327</v>
      </c>
      <c r="P11">
        <f t="shared" ref="P11:P13" si="28">(D11/D$14)*100</f>
        <v>1.4580415127976569</v>
      </c>
      <c r="Q11">
        <f t="shared" ref="Q11:Q13" si="29">(E11/E$14)*100</f>
        <v>2.5808979957451572</v>
      </c>
      <c r="R11">
        <f t="shared" ref="R11:R13" si="30">(F11/F$14)*100</f>
        <v>2.1793977132427935</v>
      </c>
      <c r="S11">
        <f t="shared" ref="S11:S13" si="31">(G11/G$14)*100</f>
        <v>2.9623381134322431</v>
      </c>
      <c r="T11">
        <f t="shared" ref="T11:T13" si="32">(H11/H$14)*100</f>
        <v>1.083794006400931</v>
      </c>
      <c r="U11">
        <f t="shared" ref="U11:U13" si="33">(I11/I$14)*100</f>
        <v>1.8622528579128019</v>
      </c>
      <c r="V11">
        <f t="shared" ref="V11:V13" si="34">(J11/J$14)*100</f>
        <v>1.5490510009989462</v>
      </c>
      <c r="W11">
        <f t="shared" ref="W11:W13" si="35">(K11/K$14)*100</f>
        <v>1.305915478602097</v>
      </c>
      <c r="X11">
        <f t="shared" si="20"/>
        <v>1.083794006400931</v>
      </c>
      <c r="Y11">
        <f t="shared" si="21"/>
        <v>3.5780791196941268</v>
      </c>
      <c r="Z11">
        <f t="shared" si="22"/>
        <v>2.0208252855777977</v>
      </c>
      <c r="AA11">
        <f t="shared" si="23"/>
        <v>2.1317829044010286</v>
      </c>
      <c r="AE11">
        <f t="shared" si="8"/>
        <v>100</v>
      </c>
      <c r="AF11">
        <f>C11*100/$B$11</f>
        <v>79.023823358512502</v>
      </c>
      <c r="AG11">
        <f t="shared" ref="AG11:AN11" si="36">D11*100/$B$11</f>
        <v>44.354057718380787</v>
      </c>
      <c r="AH11">
        <f t="shared" si="36"/>
        <v>89.289172961456529</v>
      </c>
      <c r="AI11">
        <f t="shared" si="36"/>
        <v>78.636451675382531</v>
      </c>
      <c r="AJ11">
        <f t="shared" si="36"/>
        <v>115.63044741429403</v>
      </c>
      <c r="AK11">
        <f t="shared" si="36"/>
        <v>144.29595196591131</v>
      </c>
      <c r="AL11">
        <f t="shared" si="36"/>
        <v>254.30950997482086</v>
      </c>
      <c r="AM11">
        <f t="shared" si="36"/>
        <v>219.2523726515592</v>
      </c>
      <c r="AN11">
        <f t="shared" si="36"/>
        <v>198.52798760410616</v>
      </c>
      <c r="AO11" s="27">
        <f t="shared" si="10"/>
        <v>7.9173579886711476E-2</v>
      </c>
      <c r="AP11" s="32">
        <f t="shared" si="13"/>
        <v>1106.1529193838792</v>
      </c>
      <c r="AQ11" s="32">
        <f>AP11*(1+$AO$11)</f>
        <v>1193.7310059136378</v>
      </c>
      <c r="AR11" s="32">
        <f t="shared" ref="AR11:AT11" si="37">AQ11*(1+$AO$11)</f>
        <v>1288.2429630735855</v>
      </c>
      <c r="AS11" s="32">
        <f t="shared" si="37"/>
        <v>1390.237770223986</v>
      </c>
      <c r="AT11" s="32">
        <f t="shared" si="37"/>
        <v>1500.3078713863383</v>
      </c>
    </row>
    <row r="12" spans="1:46" x14ac:dyDescent="0.3">
      <c r="A12" t="s">
        <v>29</v>
      </c>
      <c r="B12" s="14">
        <f>'Data Sheet'!B64</f>
        <v>3025.08</v>
      </c>
      <c r="C12" s="14">
        <f>'Data Sheet'!C64</f>
        <v>2592</v>
      </c>
      <c r="D12" s="14">
        <f>'Data Sheet'!D64</f>
        <v>3794</v>
      </c>
      <c r="E12" s="14">
        <f>'Data Sheet'!E64</f>
        <v>2873</v>
      </c>
      <c r="F12" s="14">
        <f>'Data Sheet'!F64</f>
        <v>2716</v>
      </c>
      <c r="G12" s="14">
        <f>'Data Sheet'!G64</f>
        <v>1255</v>
      </c>
      <c r="H12" s="14">
        <f>'Data Sheet'!H64</f>
        <v>2709</v>
      </c>
      <c r="I12" s="14">
        <f>'Data Sheet'!I64</f>
        <v>3521</v>
      </c>
      <c r="J12" s="14">
        <f>'Data Sheet'!J64</f>
        <v>2882</v>
      </c>
      <c r="K12" s="14">
        <f>'Data Sheet'!K64</f>
        <v>4625</v>
      </c>
      <c r="N12">
        <f t="shared" si="26"/>
        <v>20.964508199504763</v>
      </c>
      <c r="O12">
        <f t="shared" si="27"/>
        <v>17.521800851754207</v>
      </c>
      <c r="P12">
        <f t="shared" si="28"/>
        <v>24.156373360499174</v>
      </c>
      <c r="Q12">
        <f t="shared" si="29"/>
        <v>16.084425036390101</v>
      </c>
      <c r="R12">
        <f t="shared" si="30"/>
        <v>14.579419185141445</v>
      </c>
      <c r="S12">
        <f t="shared" si="31"/>
        <v>6.2273606907160222</v>
      </c>
      <c r="T12">
        <f t="shared" si="32"/>
        <v>3.9409368635437882</v>
      </c>
      <c r="U12">
        <f t="shared" si="33"/>
        <v>4.993901228264261</v>
      </c>
      <c r="V12">
        <f t="shared" si="34"/>
        <v>3.94378532233124</v>
      </c>
      <c r="W12">
        <f t="shared" si="35"/>
        <v>5.8925454522289744</v>
      </c>
      <c r="X12">
        <f t="shared" si="20"/>
        <v>3.9409368635437882</v>
      </c>
      <c r="Y12">
        <f t="shared" si="21"/>
        <v>24.156373360499174</v>
      </c>
      <c r="Z12">
        <f t="shared" si="22"/>
        <v>10.403389937928733</v>
      </c>
      <c r="AA12">
        <f t="shared" si="23"/>
        <v>11.830505619037398</v>
      </c>
      <c r="AE12">
        <f t="shared" si="8"/>
        <v>100</v>
      </c>
      <c r="AF12">
        <f>C12*100/$B$12</f>
        <v>85.683684398429136</v>
      </c>
      <c r="AG12">
        <f t="shared" ref="AG12:AN12" si="38">D12*100/$B$12</f>
        <v>125.41817075912043</v>
      </c>
      <c r="AH12">
        <f t="shared" si="38"/>
        <v>94.972694936993406</v>
      </c>
      <c r="AI12">
        <f t="shared" si="38"/>
        <v>89.782749547119423</v>
      </c>
      <c r="AJ12">
        <f t="shared" si="38"/>
        <v>41.486506141986325</v>
      </c>
      <c r="AK12">
        <f t="shared" si="38"/>
        <v>89.551350708080449</v>
      </c>
      <c r="AL12">
        <f t="shared" si="38"/>
        <v>116.39361603660069</v>
      </c>
      <c r="AM12">
        <f t="shared" si="38"/>
        <v>95.270207730043509</v>
      </c>
      <c r="AN12">
        <f t="shared" si="38"/>
        <v>152.88851865074642</v>
      </c>
      <c r="AO12" s="27">
        <f t="shared" si="10"/>
        <v>4.8301233880434058E-2</v>
      </c>
      <c r="AP12" s="32">
        <f t="shared" si="13"/>
        <v>4848.3932066970074</v>
      </c>
      <c r="AQ12" s="32">
        <f>AP12*(1+$AO$12)</f>
        <v>5082.5765809179875</v>
      </c>
      <c r="AR12" s="32">
        <f t="shared" ref="AR12:AT12" si="39">AQ12*(1+$AO$12)</f>
        <v>5328.0713010681238</v>
      </c>
      <c r="AS12" s="32">
        <f t="shared" si="39"/>
        <v>5585.423719112644</v>
      </c>
      <c r="AT12" s="32">
        <f t="shared" si="39"/>
        <v>5855.2065764908275</v>
      </c>
    </row>
    <row r="13" spans="1:46" x14ac:dyDescent="0.3">
      <c r="A13" t="s">
        <v>73</v>
      </c>
      <c r="B13" s="14">
        <f>'Data Sheet'!B65</f>
        <v>8067.14</v>
      </c>
      <c r="C13" s="14">
        <f>'Data Sheet'!C65</f>
        <v>8535</v>
      </c>
      <c r="D13" s="14">
        <f>'Data Sheet'!D65</f>
        <v>7264</v>
      </c>
      <c r="E13" s="14">
        <f>'Data Sheet'!E65</f>
        <v>10000</v>
      </c>
      <c r="F13" s="14">
        <f>'Data Sheet'!F65</f>
        <v>10792</v>
      </c>
      <c r="G13" s="14">
        <f>'Data Sheet'!G65</f>
        <v>12822</v>
      </c>
      <c r="H13" s="14">
        <f>'Data Sheet'!H65</f>
        <v>13843</v>
      </c>
      <c r="I13" s="14">
        <f>'Data Sheet'!I65</f>
        <v>14199</v>
      </c>
      <c r="J13" s="14">
        <f>'Data Sheet'!J65</f>
        <v>16385</v>
      </c>
      <c r="K13" s="14">
        <f>'Data Sheet'!K65</f>
        <v>19095</v>
      </c>
      <c r="N13">
        <f t="shared" si="26"/>
        <v>55.907157059169634</v>
      </c>
      <c r="O13">
        <f t="shared" si="27"/>
        <v>57.696207665787867</v>
      </c>
      <c r="P13">
        <f t="shared" si="28"/>
        <v>46.249840825162359</v>
      </c>
      <c r="Q13">
        <f t="shared" si="29"/>
        <v>55.98477214197738</v>
      </c>
      <c r="R13">
        <f t="shared" si="30"/>
        <v>57.931182564818293</v>
      </c>
      <c r="S13">
        <f t="shared" si="31"/>
        <v>63.623281893514616</v>
      </c>
      <c r="T13">
        <f t="shared" si="32"/>
        <v>20.138201920279315</v>
      </c>
      <c r="U13">
        <f t="shared" si="33"/>
        <v>20.138711599012851</v>
      </c>
      <c r="V13">
        <f t="shared" si="34"/>
        <v>22.421555345731214</v>
      </c>
      <c r="W13">
        <f t="shared" si="35"/>
        <v>24.328249818445897</v>
      </c>
      <c r="X13">
        <f t="shared" si="20"/>
        <v>20.138201920279315</v>
      </c>
      <c r="Y13">
        <f t="shared" si="21"/>
        <v>63.623281893514616</v>
      </c>
      <c r="Z13">
        <f t="shared" si="22"/>
        <v>51.078498942165993</v>
      </c>
      <c r="AA13">
        <f t="shared" si="23"/>
        <v>42.441916083389948</v>
      </c>
      <c r="AE13">
        <f t="shared" si="8"/>
        <v>100</v>
      </c>
      <c r="AF13">
        <f>C13*100/$B$13</f>
        <v>105.79957704961113</v>
      </c>
      <c r="AG13">
        <f t="shared" ref="AG13:AN13" si="40">D13*100/$B$13</f>
        <v>90.04430318551556</v>
      </c>
      <c r="AH13">
        <f t="shared" si="40"/>
        <v>123.9596684822626</v>
      </c>
      <c r="AI13">
        <f t="shared" si="40"/>
        <v>133.77727422605781</v>
      </c>
      <c r="AJ13">
        <f t="shared" si="40"/>
        <v>158.94108692795712</v>
      </c>
      <c r="AK13">
        <f t="shared" si="40"/>
        <v>171.59736907999613</v>
      </c>
      <c r="AL13">
        <f t="shared" si="40"/>
        <v>176.01033327796466</v>
      </c>
      <c r="AM13">
        <f t="shared" si="40"/>
        <v>203.10791680818727</v>
      </c>
      <c r="AN13">
        <f t="shared" si="40"/>
        <v>236.70098696688044</v>
      </c>
      <c r="AO13" s="27">
        <f t="shared" si="10"/>
        <v>0.10046892994373002</v>
      </c>
      <c r="AP13" s="32">
        <f t="shared" si="13"/>
        <v>21013.454217275525</v>
      </c>
      <c r="AQ13" s="32">
        <f>AP13*(1+$AO$13)</f>
        <v>23124.653476906758</v>
      </c>
      <c r="AR13" s="32">
        <f t="shared" ref="AR13:AT13" si="41">AQ13*(1+$AO$13)</f>
        <v>25447.962667051135</v>
      </c>
      <c r="AS13" s="32">
        <f t="shared" si="41"/>
        <v>28004.692245457754</v>
      </c>
      <c r="AT13" s="32">
        <f t="shared" si="41"/>
        <v>30818.293708762369</v>
      </c>
    </row>
    <row r="14" spans="1:46" s="2" customFormat="1" x14ac:dyDescent="0.3">
      <c r="A14" s="2" t="s">
        <v>26</v>
      </c>
      <c r="B14" s="14">
        <f>'Data Sheet'!B66</f>
        <v>14429.53</v>
      </c>
      <c r="C14" s="14">
        <f>'Data Sheet'!C66</f>
        <v>14793</v>
      </c>
      <c r="D14" s="14">
        <f>'Data Sheet'!D66</f>
        <v>15706</v>
      </c>
      <c r="E14" s="14">
        <f>'Data Sheet'!E66</f>
        <v>17862</v>
      </c>
      <c r="F14" s="14">
        <f>'Data Sheet'!F66</f>
        <v>18629</v>
      </c>
      <c r="G14" s="14">
        <f>'Data Sheet'!G66</f>
        <v>20153</v>
      </c>
      <c r="H14" s="14">
        <f>'Data Sheet'!H66</f>
        <v>68740</v>
      </c>
      <c r="I14" s="14">
        <f>'Data Sheet'!I66</f>
        <v>70506</v>
      </c>
      <c r="J14" s="14">
        <f>'Data Sheet'!J66</f>
        <v>73077</v>
      </c>
      <c r="K14" s="14">
        <f>'Data Sheet'!K66</f>
        <v>78489</v>
      </c>
      <c r="N14" s="2">
        <f t="shared" ref="N14" si="42">(B14/B14)*100</f>
        <v>100</v>
      </c>
      <c r="O14" s="2">
        <f t="shared" ref="O14" si="43">(C14/C14)*100</f>
        <v>100</v>
      </c>
      <c r="P14" s="2">
        <f t="shared" ref="P14" si="44">(D14/D14)*100</f>
        <v>100</v>
      </c>
      <c r="Q14" s="2">
        <f t="shared" ref="Q14" si="45">(E14/E14)*100</f>
        <v>100</v>
      </c>
      <c r="R14" s="2">
        <f t="shared" ref="R14" si="46">(F14/F14)*100</f>
        <v>100</v>
      </c>
      <c r="S14" s="2">
        <f t="shared" ref="S14" si="47">(G14/G14)*100</f>
        <v>100</v>
      </c>
      <c r="T14" s="2">
        <f t="shared" ref="T14" si="48">(H14/H14)*100</f>
        <v>100</v>
      </c>
      <c r="U14" s="2">
        <f t="shared" ref="U14" si="49">(I14/I14)*100</f>
        <v>100</v>
      </c>
      <c r="V14" s="2">
        <f t="shared" ref="V14" si="50">(J14/J14)*100</f>
        <v>100</v>
      </c>
      <c r="W14" s="2">
        <f t="shared" ref="W14" si="51">(K14/K14)*100</f>
        <v>100</v>
      </c>
      <c r="X14"/>
      <c r="Y14"/>
      <c r="Z14"/>
      <c r="AA14"/>
      <c r="AE14">
        <f t="shared" si="8"/>
        <v>100</v>
      </c>
      <c r="AF14">
        <f>C14*100/$B$14</f>
        <v>102.51893166305486</v>
      </c>
      <c r="AG14">
        <f t="shared" ref="AG14:AN14" si="52">D14*100/$B$14</f>
        <v>108.84623407692419</v>
      </c>
      <c r="AH14">
        <f t="shared" si="52"/>
        <v>123.78781568076022</v>
      </c>
      <c r="AI14">
        <f t="shared" si="52"/>
        <v>129.10330412702285</v>
      </c>
      <c r="AJ14">
        <f t="shared" si="52"/>
        <v>139.66497869299968</v>
      </c>
      <c r="AK14">
        <f t="shared" si="52"/>
        <v>476.38419269373293</v>
      </c>
      <c r="AL14">
        <f t="shared" si="52"/>
        <v>488.62298356218116</v>
      </c>
      <c r="AM14">
        <f t="shared" si="52"/>
        <v>506.44061171777594</v>
      </c>
      <c r="AN14">
        <f t="shared" si="52"/>
        <v>543.94703084577247</v>
      </c>
      <c r="AO14" s="27"/>
      <c r="AP14" s="32"/>
    </row>
    <row r="15" spans="1:46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46" x14ac:dyDescent="0.3">
      <c r="A16" t="s">
        <v>30</v>
      </c>
      <c r="B16" s="4">
        <f>B13-B7</f>
        <v>-2291.87</v>
      </c>
      <c r="C16" s="4">
        <f t="shared" ref="C16:K16" si="53">C13-C7</f>
        <v>492</v>
      </c>
      <c r="D16" s="4">
        <f t="shared" si="53"/>
        <v>-1421</v>
      </c>
      <c r="E16" s="4">
        <f t="shared" si="53"/>
        <v>-581</v>
      </c>
      <c r="F16" s="4">
        <f t="shared" si="53"/>
        <v>129</v>
      </c>
      <c r="G16" s="4">
        <f t="shared" si="53"/>
        <v>898</v>
      </c>
      <c r="H16" s="4">
        <f t="shared" si="53"/>
        <v>-7223</v>
      </c>
      <c r="I16" s="4">
        <f t="shared" si="53"/>
        <v>-6203</v>
      </c>
      <c r="J16" s="4">
        <f t="shared" si="53"/>
        <v>-5169</v>
      </c>
      <c r="K16" s="4">
        <f t="shared" si="53"/>
        <v>-6692</v>
      </c>
    </row>
    <row r="17" spans="1:11" x14ac:dyDescent="0.3">
      <c r="A17" t="s">
        <v>44</v>
      </c>
      <c r="B17" s="4">
        <f>'Data Sheet'!B67</f>
        <v>1010.28</v>
      </c>
      <c r="C17" s="4">
        <f>'Data Sheet'!C67</f>
        <v>1264</v>
      </c>
      <c r="D17" s="4">
        <f>'Data Sheet'!D67</f>
        <v>1085</v>
      </c>
      <c r="E17" s="4">
        <f>'Data Sheet'!E67</f>
        <v>1310</v>
      </c>
      <c r="F17" s="4">
        <f>'Data Sheet'!F67</f>
        <v>1816</v>
      </c>
      <c r="G17" s="4">
        <f>'Data Sheet'!G67</f>
        <v>1149</v>
      </c>
      <c r="H17" s="4">
        <f>'Data Sheet'!H67</f>
        <v>1758</v>
      </c>
      <c r="I17" s="4">
        <f>'Data Sheet'!I67</f>
        <v>2236</v>
      </c>
      <c r="J17" s="4">
        <f>'Data Sheet'!J67</f>
        <v>3079</v>
      </c>
      <c r="K17" s="4">
        <f>'Data Sheet'!K67</f>
        <v>2997</v>
      </c>
    </row>
    <row r="18" spans="1:11" x14ac:dyDescent="0.3">
      <c r="A18" t="s">
        <v>45</v>
      </c>
      <c r="B18" s="4">
        <f>'Data Sheet'!B68</f>
        <v>2848.79</v>
      </c>
      <c r="C18" s="4">
        <f>'Data Sheet'!C68</f>
        <v>2726</v>
      </c>
      <c r="D18" s="4">
        <f>'Data Sheet'!D68</f>
        <v>2541</v>
      </c>
      <c r="E18" s="4">
        <f>'Data Sheet'!E68</f>
        <v>2513</v>
      </c>
      <c r="F18" s="4">
        <f>'Data Sheet'!F68</f>
        <v>2574</v>
      </c>
      <c r="G18" s="4">
        <f>'Data Sheet'!G68</f>
        <v>2767</v>
      </c>
      <c r="H18" s="4">
        <f>'Data Sheet'!H68</f>
        <v>3579</v>
      </c>
      <c r="I18" s="4">
        <f>'Data Sheet'!I68</f>
        <v>4096</v>
      </c>
      <c r="J18" s="4">
        <f>'Data Sheet'!J68</f>
        <v>4251</v>
      </c>
      <c r="K18" s="4">
        <f>'Data Sheet'!K68</f>
        <v>4022</v>
      </c>
    </row>
    <row r="20" spans="1:11" x14ac:dyDescent="0.3">
      <c r="A20" t="s">
        <v>46</v>
      </c>
      <c r="B20" s="4">
        <f>IF('Profit &amp; Loss'!B4&gt;0,'Balance Sheet'!B17/('Profit &amp; Loss'!B4/365),0)</f>
        <v>11.533529608075018</v>
      </c>
      <c r="C20" s="4">
        <f>IF('Profit &amp; Loss'!C4&gt;0,'Balance Sheet'!C17/('Profit &amp; Loss'!C4/365),0)</f>
        <v>14.334182563847635</v>
      </c>
      <c r="D20" s="4">
        <f>IF('Profit &amp; Loss'!D4&gt;0,'Balance Sheet'!D17/('Profit &amp; Loss'!D4/365),0)</f>
        <v>11.942132561365419</v>
      </c>
      <c r="E20" s="4">
        <f>IF('Profit &amp; Loss'!E4&gt;0,'Balance Sheet'!E17/('Profit &amp; Loss'!E4/365),0)</f>
        <v>13.4519623013082</v>
      </c>
      <c r="F20" s="4">
        <f>IF('Profit &amp; Loss'!F4&gt;0,'Balance Sheet'!F17/('Profit &amp; Loss'!F4/365),0)</f>
        <v>16.861867209361485</v>
      </c>
      <c r="G20" s="4">
        <f>IF('Profit &amp; Loss'!G4&gt;0,'Balance Sheet'!G17/('Profit &amp; Loss'!G4/365),0)</f>
        <v>10.541814342809744</v>
      </c>
      <c r="H20" s="4">
        <f>IF('Profit &amp; Loss'!H4&gt;0,'Balance Sheet'!H17/('Profit &amp; Loss'!H4/365),0)</f>
        <v>13.644424598111764</v>
      </c>
      <c r="I20" s="4">
        <f>IF('Profit &amp; Loss'!I4&gt;0,'Balance Sheet'!I17/('Profit &amp; Loss'!I4/365),0)</f>
        <v>15.56152995461999</v>
      </c>
      <c r="J20" s="4">
        <f>IF('Profit &amp; Loss'!J4&gt;0,'Balance Sheet'!J17/('Profit &amp; Loss'!J4/365),0)</f>
        <v>18.551254539451964</v>
      </c>
      <c r="K20" s="4">
        <f>IF('Profit &amp; Loss'!K4&gt;0,'Balance Sheet'!K17/('Profit &amp; Loss'!K4/365),0)</f>
        <v>17.673274525009692</v>
      </c>
    </row>
    <row r="21" spans="1:11" x14ac:dyDescent="0.3">
      <c r="A21" t="s">
        <v>47</v>
      </c>
      <c r="B21" s="4">
        <f>IF('Balance Sheet'!B18&gt;0,'Profit &amp; Loss'!B4/'Balance Sheet'!B18,0)</f>
        <v>11.223077166095079</v>
      </c>
      <c r="C21" s="4">
        <f>IF('Balance Sheet'!C18&gt;0,'Profit &amp; Loss'!C4/'Balance Sheet'!C18,0)</f>
        <v>11.807043286867204</v>
      </c>
      <c r="D21" s="4">
        <f>IF('Balance Sheet'!D18&gt;0,'Profit &amp; Loss'!D4/'Balance Sheet'!D18,0)</f>
        <v>13.050767414403778</v>
      </c>
      <c r="E21" s="4">
        <f>IF('Balance Sheet'!E18&gt;0,'Profit &amp; Loss'!E4/'Balance Sheet'!E18,0)</f>
        <v>14.144448865897333</v>
      </c>
      <c r="F21" s="4">
        <f>IF('Balance Sheet'!F18&gt;0,'Profit &amp; Loss'!F4/'Balance Sheet'!F18,0)</f>
        <v>15.271950271950272</v>
      </c>
      <c r="G21" s="4">
        <f>IF('Balance Sheet'!G18&gt;0,'Profit &amp; Loss'!G4/'Balance Sheet'!G18,0)</f>
        <v>14.377665341525118</v>
      </c>
      <c r="H21" s="4">
        <f>IF('Balance Sheet'!H18&gt;0,'Profit &amp; Loss'!H4/'Balance Sheet'!H18,0)</f>
        <v>13.139983235540655</v>
      </c>
      <c r="I21" s="4">
        <f>IF('Balance Sheet'!I18&gt;0,'Profit &amp; Loss'!I4/'Balance Sheet'!I18,0)</f>
        <v>12.80419921875</v>
      </c>
      <c r="J21" s="4">
        <f>IF('Balance Sheet'!J18&gt;0,'Profit &amp; Loss'!J4/'Balance Sheet'!J18,0)</f>
        <v>14.250764525993883</v>
      </c>
      <c r="K21" s="4">
        <f>IF('Balance Sheet'!K18&gt;0,'Profit &amp; Loss'!K4/'Balance Sheet'!K18,0)</f>
        <v>15.389358528095475</v>
      </c>
    </row>
    <row r="23" spans="1:11" s="2" customFormat="1" x14ac:dyDescent="0.3">
      <c r="A23" s="2" t="s">
        <v>59</v>
      </c>
      <c r="B23" s="10">
        <f>IF(SUM('Balance Sheet'!B4:B5)&gt;0,'Profit &amp; Loss'!B12/SUM('Balance Sheet'!B4:B5),"")</f>
        <v>1.0833275398015632</v>
      </c>
      <c r="C23" s="10">
        <f>IF(SUM('Balance Sheet'!C4:C5)&gt;0,'Profit &amp; Loss'!C12/SUM('Balance Sheet'!C4:C5),"")</f>
        <v>0.6315228966986155</v>
      </c>
      <c r="D23" s="10">
        <f>IF(SUM('Balance Sheet'!D4:D5)&gt;0,'Profit &amp; Loss'!D12/SUM('Balance Sheet'!D4:D5),"")</f>
        <v>0.66370106761565839</v>
      </c>
      <c r="E23" s="10">
        <f>IF(SUM('Balance Sheet'!E4:E5)&gt;0,'Profit &amp; Loss'!E12/SUM('Balance Sheet'!E4:E5),"")</f>
        <v>0.71611042439225381</v>
      </c>
      <c r="F23" s="10">
        <f>IF(SUM('Balance Sheet'!F4:F5)&gt;0,'Profit &amp; Loss'!F12/SUM('Balance Sheet'!F4:F5),"")</f>
        <v>0.76954366340409308</v>
      </c>
      <c r="G23" s="10">
        <f>IF(SUM('Balance Sheet'!G4:G5)&gt;0,'Profit &amp; Loss'!G12/SUM('Balance Sheet'!G4:G5),"")</f>
        <v>0.82002673471867782</v>
      </c>
      <c r="H23" s="10">
        <f>IF(SUM('Balance Sheet'!H4:H5)&gt;0,'Profit &amp; Loss'!H12/SUM('Balance Sheet'!H4:H5),"")</f>
        <v>0.16770147250073414</v>
      </c>
      <c r="I23" s="10">
        <f>IF(SUM('Balance Sheet'!I4:I5)&gt;0,'Profit &amp; Loss'!I12/SUM('Balance Sheet'!I4:I5),"")</f>
        <v>0.18097878151688715</v>
      </c>
      <c r="J23" s="10">
        <f>IF(SUM('Balance Sheet'!J4:J5)&gt;0,'Profit &amp; Loss'!J12/SUM('Balance Sheet'!J4:J5),"")</f>
        <v>0.201176844783715</v>
      </c>
      <c r="K23" s="10">
        <f>IF(SUM('Balance Sheet'!K4:K5)&gt;0,'Profit &amp; Loss'!K12/SUM('Balance Sheet'!K4:K5),"")</f>
        <v>0.20065211449099926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1.1169518655295678</v>
      </c>
      <c r="D24" s="10">
        <f>IF((C4+C5+C6+D4+D5+D6)&gt;0,('Profit &amp; Loss'!D10+'Profit &amp; Loss'!D9)*2/(C4+C5+C6+D4+D5+D6),"")</f>
        <v>0.9443032459516375</v>
      </c>
      <c r="E24" s="10">
        <f>IF((D4+D5+D6+E4+E5+E6)&gt;0,('Profit &amp; Loss'!E10+'Profit &amp; Loss'!E9)*2/(D4+D5+D6+E4+E5+E6),"")</f>
        <v>1.0253111452943644</v>
      </c>
      <c r="F24" s="10">
        <f>IF((E4+E5+E6+F4+F5+F6)&gt;0,('Profit &amp; Loss'!F10+'Profit &amp; Loss'!F9)*2/(E4+E5+E6+F4+F5+F6),"")</f>
        <v>1.1329441857414573</v>
      </c>
      <c r="G24" s="10">
        <f>IF((F4+F5+F6+G4+G5+G6)&gt;0,('Profit &amp; Loss'!G10+'Profit &amp; Loss'!G9)*2/(F4+F5+F6+G4+G5+G6),"")</f>
        <v>1.1464032108675517</v>
      </c>
      <c r="H24" s="10">
        <f>IF((G4+G5+G6+H4+H5+H6)&gt;0,('Profit &amp; Loss'!H10+'Profit &amp; Loss'!H9)*2/(G4+G5+G6+H4+H5+H6),"")</f>
        <v>0.38359300931971452</v>
      </c>
      <c r="I24" s="10">
        <f>IF((H4+H5+H6+I4+I5+I6)&gt;0,('Profit &amp; Loss'!I10+'Profit &amp; Loss'!I9)*2/(H4+H5+H6+I4+I5+I6),"")</f>
        <v>0.2451471701200679</v>
      </c>
      <c r="J24" s="10">
        <f>IF((I4+I5+I6+J4+J5+J6)&gt;0,('Profit &amp; Loss'!J10+'Profit &amp; Loss'!J9)*2/(I4+I5+I6+J4+J5+J6),"")</f>
        <v>0.26485087624351794</v>
      </c>
      <c r="K24" s="10">
        <f>IF((J4+J5+J6+K4+K5+K6)&gt;0,('Profit &amp; Loss'!K10+'Profit &amp; Loss'!K9)*2/(J4+J5+J6+K4+K5+K6),"")</f>
        <v>0.27363876229311584</v>
      </c>
    </row>
  </sheetData>
  <mergeCells count="1">
    <mergeCell ref="AP2:AT2"/>
  </mergeCells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HINDUSTAN UNILEVER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">
      <c r="A4" s="2" t="s">
        <v>32</v>
      </c>
      <c r="B4" s="1">
        <f>'Data Sheet'!B82</f>
        <v>3291.91</v>
      </c>
      <c r="C4" s="1">
        <f>'Data Sheet'!C82</f>
        <v>4171</v>
      </c>
      <c r="D4" s="1">
        <f>'Data Sheet'!D82</f>
        <v>5185</v>
      </c>
      <c r="E4" s="1">
        <f>'Data Sheet'!E82</f>
        <v>6059</v>
      </c>
      <c r="F4" s="1">
        <f>'Data Sheet'!F82</f>
        <v>5800</v>
      </c>
      <c r="G4" s="1">
        <f>'Data Sheet'!G82</f>
        <v>7623</v>
      </c>
      <c r="H4" s="1">
        <f>'Data Sheet'!H82</f>
        <v>9163</v>
      </c>
      <c r="I4" s="1">
        <f>'Data Sheet'!I82</f>
        <v>9048</v>
      </c>
      <c r="J4" s="1">
        <f>'Data Sheet'!J82</f>
        <v>9991</v>
      </c>
      <c r="K4" s="1">
        <f>'Data Sheet'!K82</f>
        <v>15469</v>
      </c>
    </row>
    <row r="5" spans="1:11" x14ac:dyDescent="0.3">
      <c r="A5" t="s">
        <v>33</v>
      </c>
      <c r="B5" s="6">
        <f>'Data Sheet'!B83</f>
        <v>137.97</v>
      </c>
      <c r="C5" s="6">
        <f>'Data Sheet'!C83</f>
        <v>-282</v>
      </c>
      <c r="D5" s="6">
        <f>'Data Sheet'!D83</f>
        <v>-1173</v>
      </c>
      <c r="E5" s="6">
        <f>'Data Sheet'!E83</f>
        <v>-1063</v>
      </c>
      <c r="F5" s="6">
        <f>'Data Sheet'!F83</f>
        <v>-438</v>
      </c>
      <c r="G5" s="6">
        <f>'Data Sheet'!G83</f>
        <v>1791</v>
      </c>
      <c r="H5" s="6">
        <f>'Data Sheet'!H83</f>
        <v>-1228</v>
      </c>
      <c r="I5" s="6">
        <f>'Data Sheet'!I83</f>
        <v>-1728</v>
      </c>
      <c r="J5" s="6">
        <f>'Data Sheet'!J83</f>
        <v>-1484</v>
      </c>
      <c r="K5" s="6">
        <f>'Data Sheet'!K83</f>
        <v>-5324</v>
      </c>
    </row>
    <row r="6" spans="1:11" x14ac:dyDescent="0.3">
      <c r="A6" t="s">
        <v>34</v>
      </c>
      <c r="B6" s="6">
        <f>'Data Sheet'!B84</f>
        <v>-3462.42</v>
      </c>
      <c r="C6" s="6">
        <f>'Data Sheet'!C84</f>
        <v>-3864</v>
      </c>
      <c r="D6" s="6">
        <f>'Data Sheet'!D84</f>
        <v>-4214</v>
      </c>
      <c r="E6" s="6">
        <f>'Data Sheet'!E84</f>
        <v>-4975</v>
      </c>
      <c r="F6" s="6">
        <f>'Data Sheet'!F84</f>
        <v>-5390</v>
      </c>
      <c r="G6" s="6">
        <f>'Data Sheet'!G84</f>
        <v>-6819</v>
      </c>
      <c r="H6" s="6">
        <f>'Data Sheet'!H84</f>
        <v>-9309</v>
      </c>
      <c r="I6" s="6">
        <f>'Data Sheet'!I84</f>
        <v>-8015</v>
      </c>
      <c r="J6" s="6">
        <f>'Data Sheet'!J84</f>
        <v>-8953</v>
      </c>
      <c r="K6" s="6">
        <f>'Data Sheet'!K84</f>
        <v>-10034</v>
      </c>
    </row>
    <row r="7" spans="1:11" s="2" customFormat="1" x14ac:dyDescent="0.3">
      <c r="A7" s="2" t="s">
        <v>35</v>
      </c>
      <c r="B7" s="1">
        <f>'Data Sheet'!B85</f>
        <v>-32.54</v>
      </c>
      <c r="C7" s="1">
        <f>'Data Sheet'!C85</f>
        <v>25</v>
      </c>
      <c r="D7" s="1">
        <f>'Data Sheet'!D85</f>
        <v>-202</v>
      </c>
      <c r="E7" s="1">
        <f>'Data Sheet'!E85</f>
        <v>21</v>
      </c>
      <c r="F7" s="1">
        <f>'Data Sheet'!F85</f>
        <v>-28</v>
      </c>
      <c r="G7" s="1">
        <f>'Data Sheet'!G85</f>
        <v>2595</v>
      </c>
      <c r="H7" s="1">
        <f>'Data Sheet'!H85</f>
        <v>-1374</v>
      </c>
      <c r="I7" s="1">
        <f>'Data Sheet'!I85</f>
        <v>-695</v>
      </c>
      <c r="J7" s="1">
        <f>'Data Sheet'!J85</f>
        <v>-446</v>
      </c>
      <c r="K7" s="1">
        <f>'Data Sheet'!K85</f>
        <v>111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54" activePane="bottomRight" state="frozen"/>
      <selection activeCell="C4" sqref="C4"/>
      <selection pane="topRight" activeCell="C4" sqref="C4"/>
      <selection pane="bottomLeft" activeCell="C4" sqref="C4"/>
      <selection pane="bottomRight" activeCell="B59" sqref="B59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109" t="str">
        <f>IF(B2&lt;&gt;B3, "A NEW VERSION OF THE WORKSHEET IS AVAILABLE", "")</f>
        <v/>
      </c>
      <c r="F1" s="109"/>
      <c r="G1" s="109"/>
      <c r="H1" s="109"/>
      <c r="I1" s="109"/>
      <c r="J1" s="109"/>
      <c r="K1" s="109"/>
    </row>
    <row r="2" spans="1:11" x14ac:dyDescent="0.3">
      <c r="A2" s="1" t="s">
        <v>61</v>
      </c>
      <c r="B2" s="4">
        <v>2.1</v>
      </c>
      <c r="E2" s="110" t="s">
        <v>36</v>
      </c>
      <c r="F2" s="110"/>
      <c r="G2" s="110"/>
      <c r="H2" s="110"/>
      <c r="I2" s="110"/>
      <c r="J2" s="110"/>
      <c r="K2" s="110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234.95913072550985</v>
      </c>
    </row>
    <row r="7" spans="1:11" x14ac:dyDescent="0.3">
      <c r="A7" s="4" t="s">
        <v>31</v>
      </c>
      <c r="B7">
        <v>1</v>
      </c>
    </row>
    <row r="8" spans="1:11" x14ac:dyDescent="0.3">
      <c r="A8" s="4" t="s">
        <v>43</v>
      </c>
      <c r="B8">
        <v>2243.25</v>
      </c>
    </row>
    <row r="9" spans="1:11" x14ac:dyDescent="0.3">
      <c r="A9" s="4" t="s">
        <v>79</v>
      </c>
      <c r="B9">
        <v>527072.06999999995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">
      <c r="A17" s="6" t="s">
        <v>6</v>
      </c>
      <c r="B17">
        <v>31972.19</v>
      </c>
      <c r="C17">
        <v>32186</v>
      </c>
      <c r="D17">
        <v>33162</v>
      </c>
      <c r="E17">
        <v>35545</v>
      </c>
      <c r="F17">
        <v>39310</v>
      </c>
      <c r="G17">
        <v>39783</v>
      </c>
      <c r="H17">
        <v>47028</v>
      </c>
      <c r="I17">
        <v>52446</v>
      </c>
      <c r="J17">
        <v>60580</v>
      </c>
      <c r="K17">
        <v>61896</v>
      </c>
    </row>
    <row r="18" spans="1:11" s="6" customFormat="1" x14ac:dyDescent="0.3">
      <c r="A18" s="4" t="s">
        <v>80</v>
      </c>
      <c r="B18">
        <v>13509.4</v>
      </c>
      <c r="C18">
        <v>13184</v>
      </c>
      <c r="D18">
        <v>13606</v>
      </c>
      <c r="E18">
        <v>14233</v>
      </c>
      <c r="F18">
        <v>15845</v>
      </c>
      <c r="G18">
        <v>15697</v>
      </c>
      <c r="H18">
        <v>20141</v>
      </c>
      <c r="I18">
        <v>22871</v>
      </c>
      <c r="J18">
        <v>28427</v>
      </c>
      <c r="K18">
        <v>26822</v>
      </c>
    </row>
    <row r="19" spans="1:11" s="6" customFormat="1" x14ac:dyDescent="0.3">
      <c r="A19" s="4" t="s">
        <v>81</v>
      </c>
      <c r="B19">
        <v>-57.04</v>
      </c>
      <c r="C19">
        <v>-83</v>
      </c>
      <c r="D19">
        <v>-144</v>
      </c>
      <c r="E19">
        <v>72</v>
      </c>
      <c r="F19">
        <v>-12</v>
      </c>
      <c r="G19">
        <v>108</v>
      </c>
      <c r="H19">
        <v>405</v>
      </c>
      <c r="I19">
        <v>22</v>
      </c>
      <c r="J19">
        <v>75</v>
      </c>
      <c r="K19">
        <v>11</v>
      </c>
    </row>
    <row r="20" spans="1:11" s="6" customFormat="1" x14ac:dyDescent="0.3">
      <c r="A20" s="4" t="s">
        <v>82</v>
      </c>
      <c r="B20">
        <v>346.97</v>
      </c>
      <c r="C20">
        <v>309</v>
      </c>
      <c r="D20">
        <v>295</v>
      </c>
      <c r="E20">
        <v>295</v>
      </c>
      <c r="F20">
        <v>308</v>
      </c>
      <c r="G20">
        <v>299</v>
      </c>
      <c r="H20">
        <v>339</v>
      </c>
      <c r="I20">
        <v>318</v>
      </c>
      <c r="J20">
        <v>384</v>
      </c>
      <c r="K20">
        <v>446</v>
      </c>
    </row>
    <row r="21" spans="1:11" s="6" customFormat="1" x14ac:dyDescent="0.3">
      <c r="A21" s="4" t="s">
        <v>83</v>
      </c>
      <c r="B21">
        <v>3164.64</v>
      </c>
      <c r="C21">
        <v>2966</v>
      </c>
      <c r="D21">
        <v>2887</v>
      </c>
      <c r="E21">
        <v>2998</v>
      </c>
      <c r="F21">
        <v>3041</v>
      </c>
      <c r="G21">
        <v>2906</v>
      </c>
      <c r="H21">
        <v>2868</v>
      </c>
      <c r="I21">
        <v>3354</v>
      </c>
      <c r="J21">
        <v>3791</v>
      </c>
      <c r="K21">
        <v>3385</v>
      </c>
    </row>
    <row r="22" spans="1:11" s="6" customFormat="1" x14ac:dyDescent="0.3">
      <c r="A22" s="4" t="s">
        <v>84</v>
      </c>
      <c r="B22">
        <v>1723.87</v>
      </c>
      <c r="C22">
        <v>1680</v>
      </c>
      <c r="D22">
        <v>1743</v>
      </c>
      <c r="E22">
        <v>1860</v>
      </c>
      <c r="F22">
        <v>1875</v>
      </c>
      <c r="G22">
        <v>1820</v>
      </c>
      <c r="H22">
        <v>2358</v>
      </c>
      <c r="I22">
        <v>2545</v>
      </c>
      <c r="J22">
        <v>2854</v>
      </c>
      <c r="K22">
        <v>3009</v>
      </c>
    </row>
    <row r="23" spans="1:11" s="6" customFormat="1" x14ac:dyDescent="0.3">
      <c r="A23" s="4" t="s">
        <v>85</v>
      </c>
      <c r="B23">
        <v>6769.04</v>
      </c>
      <c r="C23">
        <v>6741</v>
      </c>
      <c r="D23">
        <v>6689</v>
      </c>
      <c r="E23">
        <v>7252</v>
      </c>
      <c r="F23">
        <v>7796</v>
      </c>
      <c r="G23">
        <v>7620</v>
      </c>
      <c r="H23">
        <v>7906</v>
      </c>
      <c r="I23">
        <v>8164</v>
      </c>
      <c r="J23">
        <v>8785</v>
      </c>
      <c r="K23">
        <v>10773</v>
      </c>
    </row>
    <row r="24" spans="1:11" s="6" customFormat="1" x14ac:dyDescent="0.3">
      <c r="A24" s="4" t="s">
        <v>86</v>
      </c>
      <c r="B24">
        <v>988.81</v>
      </c>
      <c r="C24">
        <v>1313</v>
      </c>
      <c r="D24">
        <v>1470</v>
      </c>
      <c r="E24">
        <v>1480</v>
      </c>
      <c r="F24">
        <v>1553</v>
      </c>
      <c r="G24">
        <v>1688</v>
      </c>
      <c r="H24">
        <v>2195</v>
      </c>
      <c r="I24">
        <v>2359</v>
      </c>
      <c r="J24">
        <v>2267</v>
      </c>
      <c r="K24">
        <v>2813</v>
      </c>
    </row>
    <row r="25" spans="1:11" s="6" customFormat="1" x14ac:dyDescent="0.3">
      <c r="A25" s="6" t="s">
        <v>9</v>
      </c>
      <c r="B25">
        <v>1247.18</v>
      </c>
      <c r="C25">
        <v>486</v>
      </c>
      <c r="D25">
        <v>606</v>
      </c>
      <c r="E25">
        <v>353</v>
      </c>
      <c r="F25">
        <v>322</v>
      </c>
      <c r="G25">
        <v>424</v>
      </c>
      <c r="H25">
        <v>170</v>
      </c>
      <c r="I25">
        <v>219</v>
      </c>
      <c r="J25">
        <v>448</v>
      </c>
      <c r="K25">
        <v>817</v>
      </c>
    </row>
    <row r="26" spans="1:11" s="6" customFormat="1" x14ac:dyDescent="0.3">
      <c r="A26" s="6" t="s">
        <v>10</v>
      </c>
      <c r="B26">
        <v>322.39</v>
      </c>
      <c r="C26">
        <v>353</v>
      </c>
      <c r="D26">
        <v>432</v>
      </c>
      <c r="E26">
        <v>520</v>
      </c>
      <c r="F26">
        <v>565</v>
      </c>
      <c r="G26">
        <v>1002</v>
      </c>
      <c r="H26">
        <v>1074</v>
      </c>
      <c r="I26">
        <v>1091</v>
      </c>
      <c r="J26">
        <v>1137</v>
      </c>
      <c r="K26">
        <v>1216</v>
      </c>
    </row>
    <row r="27" spans="1:11" s="6" customFormat="1" x14ac:dyDescent="0.3">
      <c r="A27" s="6" t="s">
        <v>11</v>
      </c>
      <c r="B27">
        <v>17.7</v>
      </c>
      <c r="C27">
        <v>17</v>
      </c>
      <c r="D27">
        <v>35</v>
      </c>
      <c r="E27">
        <v>26</v>
      </c>
      <c r="F27">
        <v>33</v>
      </c>
      <c r="G27">
        <v>118</v>
      </c>
      <c r="H27">
        <v>117</v>
      </c>
      <c r="I27">
        <v>106</v>
      </c>
      <c r="J27">
        <v>114</v>
      </c>
      <c r="K27">
        <v>334</v>
      </c>
    </row>
    <row r="28" spans="1:11" s="6" customFormat="1" x14ac:dyDescent="0.3">
      <c r="A28" s="6" t="s">
        <v>12</v>
      </c>
      <c r="B28">
        <v>6319.51</v>
      </c>
      <c r="C28">
        <v>6026</v>
      </c>
      <c r="D28">
        <v>6467</v>
      </c>
      <c r="E28">
        <v>7306</v>
      </c>
      <c r="F28">
        <v>8604</v>
      </c>
      <c r="G28">
        <v>9165</v>
      </c>
      <c r="H28">
        <v>10605</v>
      </c>
      <c r="I28">
        <v>11879</v>
      </c>
      <c r="J28">
        <v>13344</v>
      </c>
      <c r="K28">
        <v>13926</v>
      </c>
    </row>
    <row r="29" spans="1:11" s="6" customFormat="1" x14ac:dyDescent="0.3">
      <c r="A29" s="6" t="s">
        <v>13</v>
      </c>
      <c r="B29">
        <v>1944</v>
      </c>
      <c r="C29">
        <v>1875</v>
      </c>
      <c r="D29">
        <v>1977</v>
      </c>
      <c r="E29">
        <v>2079</v>
      </c>
      <c r="F29">
        <v>2544</v>
      </c>
      <c r="G29">
        <v>2409</v>
      </c>
      <c r="H29">
        <v>2606</v>
      </c>
      <c r="I29">
        <v>2987</v>
      </c>
      <c r="J29">
        <v>3201</v>
      </c>
      <c r="K29">
        <v>3644</v>
      </c>
    </row>
    <row r="30" spans="1:11" s="6" customFormat="1" x14ac:dyDescent="0.3">
      <c r="A30" s="6" t="s">
        <v>14</v>
      </c>
      <c r="B30">
        <v>4363.08</v>
      </c>
      <c r="C30">
        <v>4151</v>
      </c>
      <c r="D30">
        <v>4476</v>
      </c>
      <c r="E30">
        <v>5214</v>
      </c>
      <c r="F30">
        <v>6054</v>
      </c>
      <c r="G30">
        <v>6748</v>
      </c>
      <c r="H30">
        <v>7995</v>
      </c>
      <c r="I30">
        <v>8879</v>
      </c>
      <c r="J30">
        <v>10120</v>
      </c>
      <c r="K30">
        <v>10277</v>
      </c>
    </row>
    <row r="31" spans="1:11" s="6" customFormat="1" x14ac:dyDescent="0.3">
      <c r="A31" s="6" t="s">
        <v>70</v>
      </c>
      <c r="B31">
        <v>3245.25</v>
      </c>
      <c r="C31">
        <v>3456</v>
      </c>
      <c r="D31">
        <v>3672</v>
      </c>
      <c r="E31">
        <v>4320</v>
      </c>
      <c r="F31">
        <v>4752</v>
      </c>
      <c r="G31">
        <v>5400</v>
      </c>
      <c r="H31">
        <v>9517.5</v>
      </c>
      <c r="I31">
        <v>7990</v>
      </c>
      <c r="J31">
        <v>9165</v>
      </c>
      <c r="K31">
        <v>9870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44834</v>
      </c>
      <c r="C41" s="12">
        <v>44926</v>
      </c>
      <c r="D41" s="12">
        <v>45016</v>
      </c>
      <c r="E41" s="12">
        <v>45107</v>
      </c>
      <c r="F41" s="12">
        <v>45199</v>
      </c>
      <c r="G41" s="12">
        <v>45291</v>
      </c>
      <c r="H41" s="12">
        <v>45382</v>
      </c>
      <c r="I41" s="12">
        <v>45473</v>
      </c>
      <c r="J41" s="12">
        <v>45565</v>
      </c>
      <c r="K41" s="12">
        <v>45657</v>
      </c>
    </row>
    <row r="42" spans="1:11" s="6" customFormat="1" x14ac:dyDescent="0.3">
      <c r="A42" s="6" t="s">
        <v>6</v>
      </c>
      <c r="B42">
        <v>15144</v>
      </c>
      <c r="C42">
        <v>15597</v>
      </c>
      <c r="D42">
        <v>15215</v>
      </c>
      <c r="E42">
        <v>15496</v>
      </c>
      <c r="F42">
        <v>15623</v>
      </c>
      <c r="G42">
        <v>15567</v>
      </c>
      <c r="H42">
        <v>15210</v>
      </c>
      <c r="I42">
        <v>15707</v>
      </c>
      <c r="J42">
        <v>15926</v>
      </c>
      <c r="K42">
        <v>15818</v>
      </c>
    </row>
    <row r="43" spans="1:11" s="6" customFormat="1" x14ac:dyDescent="0.3">
      <c r="A43" s="6" t="s">
        <v>7</v>
      </c>
      <c r="B43">
        <v>11665</v>
      </c>
      <c r="C43">
        <v>11903</v>
      </c>
      <c r="D43">
        <v>11643</v>
      </c>
      <c r="E43">
        <v>11832</v>
      </c>
      <c r="F43">
        <v>11828</v>
      </c>
      <c r="G43">
        <v>11902</v>
      </c>
      <c r="H43">
        <v>11675</v>
      </c>
      <c r="I43">
        <v>11965</v>
      </c>
      <c r="J43">
        <v>12139</v>
      </c>
      <c r="K43">
        <v>12123</v>
      </c>
    </row>
    <row r="44" spans="1:11" s="6" customFormat="1" x14ac:dyDescent="0.3">
      <c r="A44" s="6" t="s">
        <v>9</v>
      </c>
      <c r="B44">
        <v>80</v>
      </c>
      <c r="C44">
        <v>7</v>
      </c>
      <c r="D44">
        <v>240</v>
      </c>
      <c r="E44">
        <v>146</v>
      </c>
      <c r="F44">
        <v>178</v>
      </c>
      <c r="G44">
        <v>184</v>
      </c>
      <c r="H44">
        <v>309</v>
      </c>
      <c r="I44">
        <v>209</v>
      </c>
      <c r="J44">
        <v>203</v>
      </c>
      <c r="K44">
        <v>740</v>
      </c>
    </row>
    <row r="45" spans="1:11" s="6" customFormat="1" x14ac:dyDescent="0.3">
      <c r="A45" s="6" t="s">
        <v>10</v>
      </c>
      <c r="B45">
        <v>272</v>
      </c>
      <c r="C45">
        <v>293</v>
      </c>
      <c r="D45">
        <v>291</v>
      </c>
      <c r="E45">
        <v>286</v>
      </c>
      <c r="F45">
        <v>297</v>
      </c>
      <c r="G45">
        <v>313</v>
      </c>
      <c r="H45">
        <v>320</v>
      </c>
      <c r="I45">
        <v>329</v>
      </c>
      <c r="J45">
        <v>338</v>
      </c>
      <c r="K45">
        <v>341</v>
      </c>
    </row>
    <row r="46" spans="1:11" s="6" customFormat="1" x14ac:dyDescent="0.3">
      <c r="A46" s="6" t="s">
        <v>11</v>
      </c>
      <c r="B46">
        <v>28</v>
      </c>
      <c r="C46">
        <v>29</v>
      </c>
      <c r="D46">
        <v>29</v>
      </c>
      <c r="E46">
        <v>50</v>
      </c>
      <c r="F46">
        <v>88</v>
      </c>
      <c r="G46">
        <v>91</v>
      </c>
      <c r="H46">
        <v>105</v>
      </c>
      <c r="I46">
        <v>93</v>
      </c>
      <c r="J46">
        <v>110</v>
      </c>
      <c r="K46">
        <v>112</v>
      </c>
    </row>
    <row r="47" spans="1:11" s="6" customFormat="1" x14ac:dyDescent="0.3">
      <c r="A47" s="6" t="s">
        <v>12</v>
      </c>
      <c r="B47">
        <v>3259</v>
      </c>
      <c r="C47">
        <v>3379</v>
      </c>
      <c r="D47">
        <v>3492</v>
      </c>
      <c r="E47">
        <v>3474</v>
      </c>
      <c r="F47">
        <v>3588</v>
      </c>
      <c r="G47">
        <v>3445</v>
      </c>
      <c r="H47">
        <v>3419</v>
      </c>
      <c r="I47">
        <v>3529</v>
      </c>
      <c r="J47">
        <v>3542</v>
      </c>
      <c r="K47">
        <v>3982</v>
      </c>
    </row>
    <row r="48" spans="1:11" s="6" customFormat="1" x14ac:dyDescent="0.3">
      <c r="A48" s="6" t="s">
        <v>13</v>
      </c>
      <c r="B48">
        <v>589</v>
      </c>
      <c r="C48">
        <v>898</v>
      </c>
      <c r="D48">
        <v>891</v>
      </c>
      <c r="E48">
        <v>918</v>
      </c>
      <c r="F48">
        <v>931</v>
      </c>
      <c r="G48">
        <v>937</v>
      </c>
      <c r="H48">
        <v>858</v>
      </c>
      <c r="I48">
        <v>917</v>
      </c>
      <c r="J48">
        <v>947</v>
      </c>
      <c r="K48">
        <v>993</v>
      </c>
    </row>
    <row r="49" spans="1:11" s="6" customFormat="1" x14ac:dyDescent="0.3">
      <c r="A49" s="6" t="s">
        <v>14</v>
      </c>
      <c r="B49">
        <v>2665</v>
      </c>
      <c r="C49">
        <v>2474</v>
      </c>
      <c r="D49">
        <v>2600</v>
      </c>
      <c r="E49">
        <v>2554</v>
      </c>
      <c r="F49">
        <v>2656</v>
      </c>
      <c r="G49">
        <v>2509</v>
      </c>
      <c r="H49">
        <v>2558</v>
      </c>
      <c r="I49">
        <v>2610</v>
      </c>
      <c r="J49">
        <v>2591</v>
      </c>
      <c r="K49">
        <v>2984</v>
      </c>
    </row>
    <row r="50" spans="1:11" x14ac:dyDescent="0.3">
      <c r="A50" s="6" t="s">
        <v>8</v>
      </c>
      <c r="B50">
        <v>3479</v>
      </c>
      <c r="C50">
        <v>3694</v>
      </c>
      <c r="D50">
        <v>3572</v>
      </c>
      <c r="E50">
        <v>3664</v>
      </c>
      <c r="F50">
        <v>3795</v>
      </c>
      <c r="G50">
        <v>3665</v>
      </c>
      <c r="H50">
        <v>3535</v>
      </c>
      <c r="I50">
        <v>3742</v>
      </c>
      <c r="J50">
        <v>3787</v>
      </c>
      <c r="K50">
        <v>3695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">
      <c r="A57" s="6" t="s">
        <v>24</v>
      </c>
      <c r="B57">
        <v>216.35</v>
      </c>
      <c r="C57">
        <v>216</v>
      </c>
      <c r="D57">
        <v>216</v>
      </c>
      <c r="E57">
        <v>216</v>
      </c>
      <c r="F57">
        <v>216</v>
      </c>
      <c r="G57">
        <v>216</v>
      </c>
      <c r="H57">
        <v>235</v>
      </c>
      <c r="I57">
        <v>235</v>
      </c>
      <c r="J57">
        <v>235</v>
      </c>
      <c r="K57">
        <v>235</v>
      </c>
    </row>
    <row r="58" spans="1:11" x14ac:dyDescent="0.3">
      <c r="A58" s="6" t="s">
        <v>25</v>
      </c>
      <c r="B58">
        <v>3811.13</v>
      </c>
      <c r="C58">
        <v>6357</v>
      </c>
      <c r="D58">
        <v>6528</v>
      </c>
      <c r="E58">
        <v>7065</v>
      </c>
      <c r="F58">
        <v>7651</v>
      </c>
      <c r="G58">
        <v>8013</v>
      </c>
      <c r="H58">
        <v>47439</v>
      </c>
      <c r="I58">
        <v>48826</v>
      </c>
      <c r="J58">
        <v>50069</v>
      </c>
      <c r="K58">
        <v>50983</v>
      </c>
    </row>
    <row r="59" spans="1:11" x14ac:dyDescent="0.3">
      <c r="A59" s="6" t="s">
        <v>71</v>
      </c>
      <c r="B59">
        <v>43.04</v>
      </c>
      <c r="C59">
        <v>177</v>
      </c>
      <c r="D59">
        <v>277</v>
      </c>
      <c r="F59">
        <v>99</v>
      </c>
      <c r="I59">
        <v>1043</v>
      </c>
      <c r="J59">
        <v>1219</v>
      </c>
      <c r="K59">
        <v>1484</v>
      </c>
    </row>
    <row r="60" spans="1:11" x14ac:dyDescent="0.3">
      <c r="A60" s="6" t="s">
        <v>72</v>
      </c>
      <c r="B60">
        <v>10359.01</v>
      </c>
      <c r="C60">
        <v>8043</v>
      </c>
      <c r="D60">
        <v>8685</v>
      </c>
      <c r="E60">
        <v>10581</v>
      </c>
      <c r="F60">
        <v>10663</v>
      </c>
      <c r="G60">
        <v>11924</v>
      </c>
      <c r="H60">
        <v>21066</v>
      </c>
      <c r="I60">
        <v>20402</v>
      </c>
      <c r="J60">
        <v>21554</v>
      </c>
      <c r="K60">
        <v>25787</v>
      </c>
    </row>
    <row r="61" spans="1:11" s="1" customFormat="1" x14ac:dyDescent="0.3">
      <c r="A61" s="1" t="s">
        <v>26</v>
      </c>
      <c r="B61">
        <v>14429.53</v>
      </c>
      <c r="C61">
        <v>14793</v>
      </c>
      <c r="D61">
        <v>15706</v>
      </c>
      <c r="E61">
        <v>17862</v>
      </c>
      <c r="F61">
        <v>18629</v>
      </c>
      <c r="G61">
        <v>20153</v>
      </c>
      <c r="H61">
        <v>68740</v>
      </c>
      <c r="I61">
        <v>70506</v>
      </c>
      <c r="J61">
        <v>73077</v>
      </c>
      <c r="K61">
        <v>78489</v>
      </c>
    </row>
    <row r="62" spans="1:11" x14ac:dyDescent="0.3">
      <c r="A62" s="6" t="s">
        <v>27</v>
      </c>
      <c r="B62">
        <v>2821.01</v>
      </c>
      <c r="C62">
        <v>3258</v>
      </c>
      <c r="D62">
        <v>4419</v>
      </c>
      <c r="E62">
        <v>4528</v>
      </c>
      <c r="F62">
        <v>4715</v>
      </c>
      <c r="G62">
        <v>5479</v>
      </c>
      <c r="H62">
        <v>51443</v>
      </c>
      <c r="I62">
        <v>51473</v>
      </c>
      <c r="J62">
        <v>52678</v>
      </c>
      <c r="K62">
        <v>53744</v>
      </c>
    </row>
    <row r="63" spans="1:11" x14ac:dyDescent="0.3">
      <c r="A63" s="6" t="s">
        <v>28</v>
      </c>
      <c r="B63">
        <v>516.29999999999995</v>
      </c>
      <c r="C63">
        <v>408</v>
      </c>
      <c r="D63">
        <v>229</v>
      </c>
      <c r="E63">
        <v>461</v>
      </c>
      <c r="F63">
        <v>406</v>
      </c>
      <c r="G63">
        <v>597</v>
      </c>
      <c r="H63">
        <v>745</v>
      </c>
      <c r="I63">
        <v>1313</v>
      </c>
      <c r="J63">
        <v>1132</v>
      </c>
      <c r="K63">
        <v>1025</v>
      </c>
    </row>
    <row r="64" spans="1:11" x14ac:dyDescent="0.3">
      <c r="A64" s="6" t="s">
        <v>29</v>
      </c>
      <c r="B64">
        <v>3025.08</v>
      </c>
      <c r="C64">
        <v>2592</v>
      </c>
      <c r="D64">
        <v>3794</v>
      </c>
      <c r="E64">
        <v>2873</v>
      </c>
      <c r="F64">
        <v>2716</v>
      </c>
      <c r="G64">
        <v>1255</v>
      </c>
      <c r="H64">
        <v>2709</v>
      </c>
      <c r="I64">
        <v>3521</v>
      </c>
      <c r="J64">
        <v>2882</v>
      </c>
      <c r="K64">
        <v>4625</v>
      </c>
    </row>
    <row r="65" spans="1:11" x14ac:dyDescent="0.3">
      <c r="A65" s="6" t="s">
        <v>73</v>
      </c>
      <c r="B65">
        <v>8067.14</v>
      </c>
      <c r="C65">
        <v>8535</v>
      </c>
      <c r="D65">
        <v>7264</v>
      </c>
      <c r="E65">
        <v>10000</v>
      </c>
      <c r="F65">
        <v>10792</v>
      </c>
      <c r="G65">
        <v>12822</v>
      </c>
      <c r="H65">
        <v>13843</v>
      </c>
      <c r="I65">
        <v>14199</v>
      </c>
      <c r="J65">
        <v>16385</v>
      </c>
      <c r="K65">
        <v>19095</v>
      </c>
    </row>
    <row r="66" spans="1:11" s="1" customFormat="1" x14ac:dyDescent="0.3">
      <c r="A66" s="1" t="s">
        <v>26</v>
      </c>
      <c r="B66">
        <v>14429.53</v>
      </c>
      <c r="C66">
        <v>14793</v>
      </c>
      <c r="D66">
        <v>15706</v>
      </c>
      <c r="E66">
        <v>17862</v>
      </c>
      <c r="F66">
        <v>18629</v>
      </c>
      <c r="G66">
        <v>20153</v>
      </c>
      <c r="H66">
        <v>68740</v>
      </c>
      <c r="I66">
        <v>70506</v>
      </c>
      <c r="J66">
        <v>73077</v>
      </c>
      <c r="K66">
        <v>78489</v>
      </c>
    </row>
    <row r="67" spans="1:11" s="6" customFormat="1" x14ac:dyDescent="0.3">
      <c r="A67" s="6" t="s">
        <v>78</v>
      </c>
      <c r="B67">
        <v>1010.28</v>
      </c>
      <c r="C67">
        <v>1264</v>
      </c>
      <c r="D67">
        <v>1085</v>
      </c>
      <c r="E67">
        <v>1310</v>
      </c>
      <c r="F67">
        <v>1816</v>
      </c>
      <c r="G67">
        <v>1149</v>
      </c>
      <c r="H67">
        <v>1758</v>
      </c>
      <c r="I67">
        <v>2236</v>
      </c>
      <c r="J67">
        <v>3079</v>
      </c>
      <c r="K67">
        <v>2997</v>
      </c>
    </row>
    <row r="68" spans="1:11" x14ac:dyDescent="0.3">
      <c r="A68" s="6" t="s">
        <v>45</v>
      </c>
      <c r="B68">
        <v>2848.79</v>
      </c>
      <c r="C68">
        <v>2726</v>
      </c>
      <c r="D68">
        <v>2541</v>
      </c>
      <c r="E68">
        <v>2513</v>
      </c>
      <c r="F68">
        <v>2574</v>
      </c>
      <c r="G68">
        <v>2767</v>
      </c>
      <c r="H68">
        <v>3579</v>
      </c>
      <c r="I68">
        <v>4096</v>
      </c>
      <c r="J68">
        <v>4251</v>
      </c>
      <c r="K68">
        <v>4022</v>
      </c>
    </row>
    <row r="69" spans="1:11" x14ac:dyDescent="0.3">
      <c r="A69" s="4" t="s">
        <v>87</v>
      </c>
      <c r="B69">
        <v>2689.49</v>
      </c>
      <c r="C69">
        <v>3009</v>
      </c>
      <c r="D69">
        <v>1828</v>
      </c>
      <c r="E69">
        <v>3485</v>
      </c>
      <c r="F69">
        <v>3757</v>
      </c>
      <c r="G69">
        <v>5113</v>
      </c>
      <c r="H69">
        <v>4471</v>
      </c>
      <c r="I69">
        <v>3846</v>
      </c>
      <c r="J69">
        <v>4678</v>
      </c>
      <c r="K69">
        <v>7559</v>
      </c>
    </row>
    <row r="70" spans="1:11" x14ac:dyDescent="0.3">
      <c r="A70" s="4" t="s">
        <v>74</v>
      </c>
      <c r="B70">
        <v>2163464851</v>
      </c>
      <c r="C70">
        <v>2163936971</v>
      </c>
      <c r="D70">
        <v>2164349639</v>
      </c>
      <c r="E70">
        <v>2164528777</v>
      </c>
      <c r="F70">
        <v>2164704405</v>
      </c>
      <c r="G70">
        <v>2164704405</v>
      </c>
      <c r="H70">
        <v>2349567819</v>
      </c>
      <c r="I70">
        <v>2349591262</v>
      </c>
      <c r="J70">
        <v>2349591262</v>
      </c>
      <c r="K70">
        <v>2349591262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">
      <c r="A82" s="6" t="s">
        <v>32</v>
      </c>
      <c r="B82">
        <v>3291.91</v>
      </c>
      <c r="C82">
        <v>4171</v>
      </c>
      <c r="D82">
        <v>5185</v>
      </c>
      <c r="E82">
        <v>6059</v>
      </c>
      <c r="F82">
        <v>5800</v>
      </c>
      <c r="G82">
        <v>7623</v>
      </c>
      <c r="H82">
        <v>9163</v>
      </c>
      <c r="I82">
        <v>9048</v>
      </c>
      <c r="J82">
        <v>9991</v>
      </c>
      <c r="K82">
        <v>15469</v>
      </c>
    </row>
    <row r="83" spans="1:11" s="6" customFormat="1" x14ac:dyDescent="0.3">
      <c r="A83" s="6" t="s">
        <v>33</v>
      </c>
      <c r="B83">
        <v>137.97</v>
      </c>
      <c r="C83">
        <v>-282</v>
      </c>
      <c r="D83">
        <v>-1173</v>
      </c>
      <c r="E83">
        <v>-1063</v>
      </c>
      <c r="F83">
        <v>-438</v>
      </c>
      <c r="G83">
        <v>1791</v>
      </c>
      <c r="H83">
        <v>-1228</v>
      </c>
      <c r="I83">
        <v>-1728</v>
      </c>
      <c r="J83">
        <v>-1484</v>
      </c>
      <c r="K83">
        <v>-5324</v>
      </c>
    </row>
    <row r="84" spans="1:11" s="6" customFormat="1" x14ac:dyDescent="0.3">
      <c r="A84" s="6" t="s">
        <v>34</v>
      </c>
      <c r="B84">
        <v>-3462.42</v>
      </c>
      <c r="C84">
        <v>-3864</v>
      </c>
      <c r="D84">
        <v>-4214</v>
      </c>
      <c r="E84">
        <v>-4975</v>
      </c>
      <c r="F84">
        <v>-5390</v>
      </c>
      <c r="G84">
        <v>-6819</v>
      </c>
      <c r="H84">
        <v>-9309</v>
      </c>
      <c r="I84">
        <v>-8015</v>
      </c>
      <c r="J84">
        <v>-8953</v>
      </c>
      <c r="K84">
        <v>-10034</v>
      </c>
    </row>
    <row r="85" spans="1:11" s="1" customFormat="1" x14ac:dyDescent="0.3">
      <c r="A85" s="6" t="s">
        <v>35</v>
      </c>
      <c r="B85">
        <v>-32.54</v>
      </c>
      <c r="C85">
        <v>25</v>
      </c>
      <c r="D85">
        <v>-202</v>
      </c>
      <c r="E85">
        <v>21</v>
      </c>
      <c r="F85">
        <v>-28</v>
      </c>
      <c r="G85">
        <v>2595</v>
      </c>
      <c r="H85">
        <v>-1374</v>
      </c>
      <c r="I85">
        <v>-695</v>
      </c>
      <c r="J85">
        <v>-446</v>
      </c>
      <c r="K85">
        <v>111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B90">
        <v>873.55</v>
      </c>
      <c r="C90">
        <v>869.5</v>
      </c>
      <c r="D90">
        <v>911.75</v>
      </c>
      <c r="E90">
        <v>1333.35</v>
      </c>
      <c r="F90">
        <v>1706.8</v>
      </c>
      <c r="G90">
        <v>2298.5</v>
      </c>
      <c r="H90">
        <v>2431.5</v>
      </c>
      <c r="I90">
        <v>2048.65</v>
      </c>
      <c r="J90">
        <v>2560.35</v>
      </c>
      <c r="K90">
        <v>2264.35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216.35</v>
      </c>
      <c r="C93" s="24">
        <v>216.39</v>
      </c>
      <c r="D93" s="24">
        <v>216.43</v>
      </c>
      <c r="E93" s="24">
        <v>216.45</v>
      </c>
      <c r="F93" s="24">
        <v>216.47</v>
      </c>
      <c r="G93" s="24">
        <v>216.48</v>
      </c>
      <c r="H93" s="24">
        <v>234.96</v>
      </c>
      <c r="I93" s="24">
        <v>234.96</v>
      </c>
      <c r="J93" s="24">
        <v>234.96</v>
      </c>
      <c r="K93" s="24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Revenue projection</vt:lpstr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PRIYANSHU SHEKHAR - BASE University</cp:lastModifiedBy>
  <cp:lastPrinted>2012-12-06T18:14:13Z</cp:lastPrinted>
  <dcterms:created xsi:type="dcterms:W3CDTF">2012-08-17T09:55:37Z</dcterms:created>
  <dcterms:modified xsi:type="dcterms:W3CDTF">2025-03-06T21:23:54Z</dcterms:modified>
</cp:coreProperties>
</file>