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rsh\Desktop\"/>
    </mc:Choice>
  </mc:AlternateContent>
  <xr:revisionPtr revIDLastSave="0" documentId="13_ncr:1_{510B3124-44A8-4E44-B022-B4D19ACDB202}" xr6:coauthVersionLast="47" xr6:coauthVersionMax="47" xr10:uidLastSave="{00000000-0000-0000-0000-000000000000}"/>
  <bookViews>
    <workbookView xWindow="-108" yWindow="-108" windowWidth="23256" windowHeight="12456" xr2:uid="{22368D2A-E664-4671-96CB-0BDCF630C997}"/>
  </bookViews>
  <sheets>
    <sheet name="Sheet1" sheetId="1" r:id="rId1"/>
  </sheets>
  <externalReferences>
    <externalReference r:id="rId2"/>
  </externalReferences>
  <definedNames>
    <definedName name="_xlnm.Print_Area" localSheetId="0">Sheet1!$A$1:$T$58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8" i="1" l="1"/>
  <c r="M48" i="1"/>
  <c r="N25" i="1"/>
  <c r="N47" i="1"/>
  <c r="M47" i="1"/>
  <c r="N24" i="1"/>
  <c r="N46" i="1"/>
  <c r="M46" i="1"/>
  <c r="N23" i="1"/>
  <c r="N45" i="1"/>
  <c r="M45" i="1"/>
  <c r="N22" i="1"/>
  <c r="N44" i="1"/>
  <c r="M44" i="1"/>
  <c r="N21" i="1"/>
  <c r="N43" i="1"/>
  <c r="M43" i="1"/>
  <c r="N20" i="1"/>
  <c r="N42" i="1"/>
  <c r="M42" i="1"/>
  <c r="N19" i="1"/>
  <c r="N41" i="1"/>
  <c r="M41" i="1"/>
  <c r="N18" i="1"/>
  <c r="C20" i="1"/>
  <c r="C36" i="1" s="1"/>
  <c r="N40" i="1"/>
  <c r="M40" i="1"/>
  <c r="N17" i="1"/>
  <c r="N39" i="1"/>
  <c r="M39" i="1"/>
  <c r="N16" i="1"/>
  <c r="N38" i="1"/>
  <c r="M38" i="1"/>
  <c r="N15" i="1"/>
  <c r="N37" i="1"/>
  <c r="M37" i="1"/>
  <c r="N14" i="1"/>
  <c r="N36" i="1"/>
  <c r="M36" i="1"/>
  <c r="N13" i="1"/>
  <c r="N35" i="1"/>
  <c r="M35" i="1"/>
  <c r="N12" i="1"/>
  <c r="N34" i="1"/>
  <c r="M34" i="1"/>
  <c r="N11" i="1"/>
  <c r="N33" i="1"/>
  <c r="M33" i="1"/>
  <c r="N10" i="1"/>
  <c r="N32" i="1"/>
  <c r="M32" i="1"/>
  <c r="N9" i="1"/>
  <c r="N31" i="1"/>
  <c r="M31" i="1"/>
  <c r="N8" i="1"/>
  <c r="M8" i="1"/>
  <c r="M24" i="1" s="1"/>
  <c r="J33" i="1"/>
  <c r="J37" i="1" s="1"/>
  <c r="O34" i="1" s="1"/>
  <c r="J10" i="1"/>
  <c r="J14" i="1" s="1"/>
  <c r="P34" i="1" l="1"/>
  <c r="M18" i="1"/>
  <c r="O18" i="1" s="1"/>
  <c r="P18" i="1" s="1"/>
  <c r="O44" i="1"/>
  <c r="P44" i="1" s="1"/>
  <c r="C33" i="1"/>
  <c r="C37" i="1"/>
  <c r="M19" i="1"/>
  <c r="O19" i="1" s="1"/>
  <c r="P19" i="1" s="1"/>
  <c r="C38" i="1"/>
  <c r="O32" i="1"/>
  <c r="P32" i="1" s="1"/>
  <c r="G9" i="1"/>
  <c r="O31" i="1"/>
  <c r="P31" i="1" s="1"/>
  <c r="C39" i="1"/>
  <c r="C40" i="1"/>
  <c r="O48" i="1"/>
  <c r="P48" i="1" s="1"/>
  <c r="O8" i="1"/>
  <c r="P8" i="1" s="1"/>
  <c r="O24" i="1"/>
  <c r="P24" i="1" s="1"/>
  <c r="O43" i="1"/>
  <c r="P43" i="1" s="1"/>
  <c r="M23" i="1"/>
  <c r="O23" i="1" s="1"/>
  <c r="P23" i="1" s="1"/>
  <c r="M13" i="1"/>
  <c r="O13" i="1" s="1"/>
  <c r="P13" i="1" s="1"/>
  <c r="M17" i="1"/>
  <c r="O17" i="1" s="1"/>
  <c r="P17" i="1" s="1"/>
  <c r="M12" i="1"/>
  <c r="O12" i="1" s="1"/>
  <c r="P12" i="1" s="1"/>
  <c r="M21" i="1"/>
  <c r="O21" i="1" s="1"/>
  <c r="P21" i="1" s="1"/>
  <c r="M25" i="1"/>
  <c r="O25" i="1" s="1"/>
  <c r="P25" i="1" s="1"/>
  <c r="M20" i="1"/>
  <c r="O20" i="1" s="1"/>
  <c r="P20" i="1" s="1"/>
  <c r="M10" i="1"/>
  <c r="O10" i="1" s="1"/>
  <c r="P10" i="1" s="1"/>
  <c r="M22" i="1"/>
  <c r="O22" i="1" s="1"/>
  <c r="P22" i="1" s="1"/>
  <c r="M16" i="1"/>
  <c r="O16" i="1" s="1"/>
  <c r="P16" i="1" s="1"/>
  <c r="M9" i="1"/>
  <c r="O9" i="1" s="1"/>
  <c r="P9" i="1" s="1"/>
  <c r="M15" i="1"/>
  <c r="O15" i="1" s="1"/>
  <c r="P15" i="1" s="1"/>
  <c r="O38" i="1"/>
  <c r="P38" i="1" s="1"/>
  <c r="M14" i="1"/>
  <c r="O14" i="1" s="1"/>
  <c r="P14" i="1" s="1"/>
  <c r="M11" i="1"/>
  <c r="O11" i="1" s="1"/>
  <c r="P11" i="1" s="1"/>
  <c r="O47" i="1"/>
  <c r="P47" i="1" s="1"/>
  <c r="O42" i="1"/>
  <c r="P42" i="1" s="1"/>
  <c r="O37" i="1"/>
  <c r="P37" i="1" s="1"/>
  <c r="O41" i="1"/>
  <c r="P41" i="1" s="1"/>
  <c r="O36" i="1"/>
  <c r="P36" i="1" s="1"/>
  <c r="O33" i="1"/>
  <c r="P33" i="1" s="1"/>
  <c r="O46" i="1"/>
  <c r="P46" i="1" s="1"/>
  <c r="O35" i="1"/>
  <c r="P35" i="1" s="1"/>
  <c r="O40" i="1"/>
  <c r="P40" i="1" s="1"/>
  <c r="O45" i="1"/>
  <c r="P45" i="1" s="1"/>
  <c r="O39" i="1"/>
  <c r="P39" i="1" s="1"/>
  <c r="C34" i="1"/>
  <c r="C35" i="1"/>
  <c r="J44" i="1" l="1"/>
  <c r="Q44" i="1" s="1"/>
  <c r="R44" i="1" s="1"/>
  <c r="S44" i="1" s="1"/>
  <c r="G17" i="1"/>
  <c r="J20" i="1"/>
  <c r="Q18" i="1" s="1"/>
  <c r="R18" i="1" s="1"/>
  <c r="S18" i="1" s="1"/>
  <c r="G16" i="1"/>
  <c r="Q32" i="1" l="1"/>
  <c r="R32" i="1" s="1"/>
  <c r="S32" i="1" s="1"/>
  <c r="Q36" i="1"/>
  <c r="R36" i="1" s="1"/>
  <c r="S36" i="1" s="1"/>
  <c r="Q33" i="1"/>
  <c r="R33" i="1" s="1"/>
  <c r="S33" i="1" s="1"/>
  <c r="Q40" i="1"/>
  <c r="R40" i="1" s="1"/>
  <c r="S40" i="1" s="1"/>
  <c r="Q43" i="1"/>
  <c r="R43" i="1" s="1"/>
  <c r="S43" i="1" s="1"/>
  <c r="Q47" i="1"/>
  <c r="R47" i="1" s="1"/>
  <c r="S47" i="1" s="1"/>
  <c r="Q42" i="1"/>
  <c r="R42" i="1" s="1"/>
  <c r="S42" i="1" s="1"/>
  <c r="Q41" i="1"/>
  <c r="R41" i="1" s="1"/>
  <c r="S41" i="1" s="1"/>
  <c r="Q35" i="1"/>
  <c r="R35" i="1" s="1"/>
  <c r="S35" i="1" s="1"/>
  <c r="Q45" i="1"/>
  <c r="R45" i="1" s="1"/>
  <c r="S45" i="1" s="1"/>
  <c r="Q8" i="1"/>
  <c r="R8" i="1" s="1"/>
  <c r="S8" i="1" s="1"/>
  <c r="Q37" i="1"/>
  <c r="R37" i="1" s="1"/>
  <c r="S37" i="1" s="1"/>
  <c r="Q48" i="1"/>
  <c r="R48" i="1" s="1"/>
  <c r="S48" i="1" s="1"/>
  <c r="Q46" i="1"/>
  <c r="R46" i="1" s="1"/>
  <c r="S46" i="1" s="1"/>
  <c r="Q38" i="1"/>
  <c r="R38" i="1" s="1"/>
  <c r="S38" i="1" s="1"/>
  <c r="Q34" i="1"/>
  <c r="R34" i="1" s="1"/>
  <c r="S34" i="1" s="1"/>
  <c r="Q39" i="1"/>
  <c r="R39" i="1" s="1"/>
  <c r="S39" i="1" s="1"/>
  <c r="Q31" i="1"/>
  <c r="R31" i="1" s="1"/>
  <c r="S31" i="1" s="1"/>
  <c r="G19" i="1"/>
  <c r="G21" i="1" s="1"/>
  <c r="Q12" i="1"/>
  <c r="R12" i="1" s="1"/>
  <c r="S12" i="1" s="1"/>
  <c r="Q14" i="1"/>
  <c r="R14" i="1" s="1"/>
  <c r="S14" i="1" s="1"/>
  <c r="Q17" i="1"/>
  <c r="R17" i="1" s="1"/>
  <c r="S17" i="1" s="1"/>
  <c r="Q25" i="1"/>
  <c r="R25" i="1" s="1"/>
  <c r="S25" i="1" s="1"/>
  <c r="Q11" i="1"/>
  <c r="R11" i="1" s="1"/>
  <c r="S11" i="1" s="1"/>
  <c r="Q9" i="1"/>
  <c r="R9" i="1" s="1"/>
  <c r="S9" i="1" s="1"/>
  <c r="Q23" i="1"/>
  <c r="R23" i="1" s="1"/>
  <c r="S23" i="1" s="1"/>
  <c r="Q24" i="1"/>
  <c r="R24" i="1" s="1"/>
  <c r="S24" i="1" s="1"/>
  <c r="Q10" i="1"/>
  <c r="R10" i="1" s="1"/>
  <c r="S10" i="1" s="1"/>
  <c r="Q13" i="1"/>
  <c r="R13" i="1" s="1"/>
  <c r="S13" i="1" s="1"/>
  <c r="Q20" i="1"/>
  <c r="R20" i="1" s="1"/>
  <c r="S20" i="1" s="1"/>
  <c r="G22" i="1"/>
  <c r="Q22" i="1"/>
  <c r="R22" i="1" s="1"/>
  <c r="S22" i="1" s="1"/>
  <c r="Q21" i="1"/>
  <c r="R21" i="1" s="1"/>
  <c r="S21" i="1" s="1"/>
  <c r="Q16" i="1"/>
  <c r="R16" i="1" s="1"/>
  <c r="S16" i="1" s="1"/>
  <c r="Q15" i="1"/>
  <c r="R15" i="1" s="1"/>
  <c r="S15" i="1" s="1"/>
  <c r="Q19" i="1"/>
  <c r="R19" i="1" s="1"/>
  <c r="S19" i="1" s="1"/>
  <c r="J47" i="1" l="1"/>
  <c r="J45" i="1"/>
  <c r="J46" i="1" s="1"/>
  <c r="J23" i="1"/>
  <c r="J21" i="1"/>
  <c r="J22" i="1" s="1"/>
</calcChain>
</file>

<file path=xl/sharedStrings.xml><?xml version="1.0" encoding="utf-8"?>
<sst xmlns="http://schemas.openxmlformats.org/spreadsheetml/2006/main" count="79" uniqueCount="50">
  <si>
    <t>Increase in Yield by</t>
  </si>
  <si>
    <t xml:space="preserve">Decrease in Yield by </t>
  </si>
  <si>
    <t>Steps:</t>
  </si>
  <si>
    <t>1. Calculate the Bond price on the basis of Face Value,</t>
  </si>
  <si>
    <t>Scenario 1</t>
  </si>
  <si>
    <t>Sr.no</t>
  </si>
  <si>
    <t xml:space="preserve">Time </t>
  </si>
  <si>
    <t xml:space="preserve">Coupon </t>
  </si>
  <si>
    <t>DF</t>
  </si>
  <si>
    <t>DCF</t>
  </si>
  <si>
    <t>Weights</t>
  </si>
  <si>
    <t>W*T</t>
  </si>
  <si>
    <t>w*t*(1+T)</t>
  </si>
  <si>
    <t>Scenario 2</t>
  </si>
  <si>
    <t xml:space="preserve"> Frequency, time, YTM and Coupon rate and note them.</t>
  </si>
  <si>
    <t>2. Calculate Duration and Convexity for the Inputs.</t>
  </si>
  <si>
    <t>Face Value</t>
  </si>
  <si>
    <t>Bond Price</t>
  </si>
  <si>
    <t>3. Construct scenarios based on change in yield.</t>
  </si>
  <si>
    <t xml:space="preserve">Yield </t>
  </si>
  <si>
    <t>McCulay Duration</t>
  </si>
  <si>
    <t>Maturity</t>
  </si>
  <si>
    <t>Modified Duration</t>
  </si>
  <si>
    <t>5. The change based on scenarios can be interpreted.</t>
  </si>
  <si>
    <t>Coupon rate</t>
  </si>
  <si>
    <t>Covexity</t>
  </si>
  <si>
    <t>Bond Issuer</t>
  </si>
  <si>
    <t>ICL Fincorp Limited</t>
  </si>
  <si>
    <t>Frequency</t>
  </si>
  <si>
    <t>Bond Symbol</t>
  </si>
  <si>
    <t>INE01CY07KO0</t>
  </si>
  <si>
    <t>Bond Features</t>
  </si>
  <si>
    <t>PV in Excel</t>
  </si>
  <si>
    <t>Increase in Value (V+)</t>
  </si>
  <si>
    <t>Decrease  in Value (V-)</t>
  </si>
  <si>
    <t>Magnitude of change</t>
  </si>
  <si>
    <t>Difference due to change in yield</t>
  </si>
  <si>
    <t>Modified Duration by change</t>
  </si>
  <si>
    <t>Modified Convexity by change</t>
  </si>
  <si>
    <t>Yield</t>
  </si>
  <si>
    <t>Bond Characterstics:</t>
  </si>
  <si>
    <t>Bond Pricing</t>
  </si>
  <si>
    <t>&gt;&gt;</t>
  </si>
  <si>
    <t>Maturity: The bond matures in 1.5 years, indicating it is a short-term debt instrument.</t>
  </si>
  <si>
    <t>Coupon Rate: The bond pays an annual coupon rate of 11.6%, meaning the bondholder receives 11.6% of the bond's face value as interest per year.</t>
  </si>
  <si>
    <t>Yield to Maturity (YTM): The bond's yield to maturity is 13.89%, which is higher than the coupon rate, suggesting the bond is trading at a discount in the market.</t>
  </si>
  <si>
    <t>Periodic Coupon Payments: The bondholder receives 0.00967% of the face value once every month.</t>
  </si>
  <si>
    <t>Price vs. Par Value: Since the YTM is greater than the coupon rate, the bond is priced below its face value (a discount bond) to compensate for the higher return required by investors.</t>
  </si>
  <si>
    <r>
      <t>4. Enter the the</t>
    </r>
    <r>
      <rPr>
        <b/>
        <i/>
        <sz val="12"/>
        <color theme="1"/>
        <rFont val="Calibri"/>
        <family val="2"/>
        <scheme val="minor"/>
      </rPr>
      <t xml:space="preserve"> "Magnitute of change".</t>
    </r>
  </si>
  <si>
    <t xml:space="preserve">                                   Enter Input 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</si>
</sst>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\ #,##0.00;[Red]&quot;₹&quot;\ \-#,##0.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48"/>
      <color theme="0"/>
      <name val="Arial Black"/>
      <family val="2"/>
    </font>
    <font>
      <sz val="11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2" fillId="0" borderId="1" xfId="0" applyFont="1" applyBorder="1"/>
    <xf numFmtId="10" fontId="2" fillId="0" borderId="1" xfId="0" applyNumberFormat="1" applyFont="1" applyBorder="1"/>
    <xf numFmtId="0" fontId="2" fillId="4" borderId="0" xfId="0" applyFont="1" applyFill="1"/>
    <xf numFmtId="9" fontId="2" fillId="4" borderId="0" xfId="0" applyNumberFormat="1" applyFont="1" applyFill="1"/>
    <xf numFmtId="0" fontId="1" fillId="0" borderId="0" xfId="0" applyFont="1"/>
    <xf numFmtId="0" fontId="5" fillId="5" borderId="0" xfId="0" applyFont="1" applyFill="1" applyAlignment="1">
      <alignment horizontal="center"/>
    </xf>
    <xf numFmtId="0" fontId="5" fillId="4" borderId="0" xfId="0" applyFont="1" applyFill="1" applyAlignment="1"/>
    <xf numFmtId="0" fontId="2" fillId="0" borderId="3" xfId="0" applyFont="1" applyBorder="1"/>
    <xf numFmtId="0" fontId="2" fillId="0" borderId="0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3" borderId="8" xfId="0" applyFont="1" applyFill="1" applyBorder="1"/>
    <xf numFmtId="0" fontId="2" fillId="0" borderId="9" xfId="0" applyFont="1" applyBorder="1"/>
    <xf numFmtId="0" fontId="2" fillId="0" borderId="10" xfId="0" applyFont="1" applyBorder="1"/>
    <xf numFmtId="0" fontId="2" fillId="0" borderId="8" xfId="0" applyFont="1" applyBorder="1"/>
    <xf numFmtId="0" fontId="3" fillId="0" borderId="6" xfId="0" applyFont="1" applyBorder="1"/>
    <xf numFmtId="8" fontId="2" fillId="0" borderId="10" xfId="0" applyNumberFormat="1" applyFont="1" applyBorder="1"/>
    <xf numFmtId="9" fontId="2" fillId="0" borderId="5" xfId="0" applyNumberFormat="1" applyFont="1" applyBorder="1"/>
    <xf numFmtId="9" fontId="2" fillId="0" borderId="9" xfId="0" applyNumberFormat="1" applyFont="1" applyBorder="1"/>
    <xf numFmtId="10" fontId="2" fillId="0" borderId="6" xfId="0" applyNumberFormat="1" applyFont="1" applyBorder="1"/>
    <xf numFmtId="0" fontId="2" fillId="0" borderId="11" xfId="0" applyFont="1" applyBorder="1"/>
    <xf numFmtId="9" fontId="2" fillId="2" borderId="11" xfId="0" applyNumberFormat="1" applyFont="1" applyFill="1" applyBorder="1"/>
    <xf numFmtId="9" fontId="2" fillId="6" borderId="11" xfId="0" applyNumberFormat="1" applyFont="1" applyFill="1" applyBorder="1"/>
    <xf numFmtId="9" fontId="2" fillId="6" borderId="6" xfId="0" applyNumberFormat="1" applyFont="1" applyFill="1" applyBorder="1"/>
    <xf numFmtId="0" fontId="4" fillId="0" borderId="0" xfId="0" applyFont="1"/>
    <xf numFmtId="0" fontId="0" fillId="0" borderId="0" xfId="0" applyAlignment="1">
      <alignment wrapText="1"/>
    </xf>
    <xf numFmtId="0" fontId="6" fillId="0" borderId="0" xfId="0" applyFont="1" applyAlignment="1">
      <alignment vertical="center"/>
    </xf>
    <xf numFmtId="0" fontId="0" fillId="0" borderId="0" xfId="0" applyFont="1" applyAlignment="1">
      <alignment wrapText="1"/>
    </xf>
    <xf numFmtId="0" fontId="8" fillId="2" borderId="2" xfId="0" applyFont="1" applyFill="1" applyBorder="1"/>
    <xf numFmtId="0" fontId="4" fillId="2" borderId="1" xfId="0" applyFont="1" applyFill="1" applyBorder="1"/>
    <xf numFmtId="0" fontId="4" fillId="0" borderId="9" xfId="0" applyFont="1" applyBorder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980314960629919"/>
          <c:y val="0.19486111111111112"/>
          <c:w val="0.89019685039370078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strRef>
              <c:f>[1]Sheet3!$L$33</c:f>
              <c:strCache>
                <c:ptCount val="1"/>
                <c:pt idx="0">
                  <c:v>Bond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[1]Sheet3!$K$34:$K$41</c:f>
              <c:numCache>
                <c:formatCode>0%</c:formatCode>
                <c:ptCount val="8"/>
                <c:pt idx="0">
                  <c:v>0.06</c:v>
                </c:pt>
                <c:pt idx="1">
                  <c:v>7.0000000000000007E-2</c:v>
                </c:pt>
                <c:pt idx="2">
                  <c:v>0.08</c:v>
                </c:pt>
                <c:pt idx="3">
                  <c:v>0.09</c:v>
                </c:pt>
                <c:pt idx="4">
                  <c:v>0.1</c:v>
                </c:pt>
                <c:pt idx="5">
                  <c:v>0.11</c:v>
                </c:pt>
                <c:pt idx="6">
                  <c:v>0.12</c:v>
                </c:pt>
                <c:pt idx="7">
                  <c:v>0.13</c:v>
                </c:pt>
              </c:numCache>
            </c:numRef>
          </c:cat>
          <c:val>
            <c:numRef>
              <c:f>[1]Sheet3!$L$34:$L$41</c:f>
              <c:numCache>
                <c:formatCode>General</c:formatCode>
                <c:ptCount val="8"/>
                <c:pt idx="0">
                  <c:v>991.04712251032402</c:v>
                </c:pt>
                <c:pt idx="1">
                  <c:v>989.76498873663024</c:v>
                </c:pt>
                <c:pt idx="2">
                  <c:v>988.49682411352205</c:v>
                </c:pt>
                <c:pt idx="3">
                  <c:v>987.24244857911197</c:v>
                </c:pt>
                <c:pt idx="4">
                  <c:v>986.00168466605965</c:v>
                </c:pt>
                <c:pt idx="5">
                  <c:v>984.77435746090555</c:v>
                </c:pt>
                <c:pt idx="6">
                  <c:v>983.56029456400961</c:v>
                </c:pt>
                <c:pt idx="7">
                  <c:v>982.35932605023174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F9-4A6E-80BE-5E29B28401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4598415"/>
        <c:axId val="1504598895"/>
      </c:lineChart>
      <c:catAx>
        <c:axId val="1504598415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598895"/>
        <c:crosses val="autoZero"/>
        <c:auto val="1"/>
        <c:lblAlgn val="ctr"/>
        <c:lblOffset val="100"/>
        <c:noMultiLvlLbl val="0"/>
      </c:catAx>
      <c:valAx>
        <c:axId val="1504598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5984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1182414</xdr:colOff>
      <xdr:row>30</xdr:row>
      <xdr:rowOff>53936</xdr:rowOff>
    </xdr:from>
    <xdr:to>
      <xdr:col>6</xdr:col>
      <xdr:colOff>1326931</xdr:colOff>
      <xdr:row>47</xdr:row>
      <xdr:rowOff>13138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E8A937B-853C-4571-8840-C90FC3AA6E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darsh\Desktop\Excel_BOND_VALUATION.xlsx" TargetMode="External"/><Relationship Id="rId1" Type="http://schemas.openxmlformats.org/officeDocument/2006/relationships/externalLinkPath" Target="Excel_BOND_VALU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3"/>
      <sheetName val="Sheet2"/>
      <sheetName val="Sheet1"/>
      <sheetName val="Sheet4"/>
    </sheetNames>
    <sheetDataSet>
      <sheetData sheetId="0">
        <row r="33">
          <cell r="L33" t="str">
            <v>Bond Price</v>
          </cell>
        </row>
        <row r="34">
          <cell r="K34">
            <v>0.06</v>
          </cell>
          <cell r="L34">
            <v>991.04712251032402</v>
          </cell>
        </row>
        <row r="35">
          <cell r="K35">
            <v>7.0000000000000007E-2</v>
          </cell>
          <cell r="L35">
            <v>989.76498873663024</v>
          </cell>
        </row>
        <row r="36">
          <cell r="K36">
            <v>0.08</v>
          </cell>
          <cell r="L36">
            <v>988.49682411352205</v>
          </cell>
        </row>
        <row r="37">
          <cell r="K37">
            <v>0.09</v>
          </cell>
          <cell r="L37">
            <v>987.24244857911197</v>
          </cell>
        </row>
        <row r="38">
          <cell r="K38">
            <v>0.1</v>
          </cell>
          <cell r="L38">
            <v>986.00168466605965</v>
          </cell>
        </row>
        <row r="39">
          <cell r="K39">
            <v>0.11</v>
          </cell>
          <cell r="L39">
            <v>984.77435746090555</v>
          </cell>
        </row>
        <row r="40">
          <cell r="K40">
            <v>0.12</v>
          </cell>
          <cell r="L40">
            <v>983.56029456400961</v>
          </cell>
        </row>
        <row r="41">
          <cell r="K41">
            <v>0.13</v>
          </cell>
          <cell r="L41">
            <v>982.35932605023174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6B683-29C8-4395-8C0C-8426D936F472}">
  <sheetPr>
    <pageSetUpPr fitToPage="1"/>
  </sheetPr>
  <dimension ref="A1:AH68"/>
  <sheetViews>
    <sheetView showGridLines="0" tabSelected="1" zoomScale="65" zoomScaleNormal="100" workbookViewId="0">
      <selection activeCell="H25" sqref="H25"/>
    </sheetView>
  </sheetViews>
  <sheetFormatPr defaultRowHeight="15.6" x14ac:dyDescent="0.3"/>
  <cols>
    <col min="1" max="1" width="3.6640625" style="1" customWidth="1"/>
    <col min="2" max="2" width="16.44140625" style="1" customWidth="1"/>
    <col min="3" max="3" width="21.33203125" style="1" customWidth="1"/>
    <col min="4" max="4" width="36.6640625" style="1" customWidth="1"/>
    <col min="5" max="5" width="36.6640625" style="1" bestFit="1" customWidth="1"/>
    <col min="6" max="6" width="32.109375" style="1" customWidth="1"/>
    <col min="7" max="8" width="22.77734375" style="1" customWidth="1"/>
    <col min="9" max="9" width="23.109375" style="1" bestFit="1" customWidth="1"/>
    <col min="10" max="10" width="12.88671875" style="1" customWidth="1"/>
    <col min="11" max="11" width="8.88671875" style="1"/>
    <col min="12" max="12" width="9.77734375" style="1" customWidth="1"/>
    <col min="13" max="13" width="13.21875" style="1" customWidth="1"/>
    <col min="14" max="14" width="16.109375" style="1" customWidth="1"/>
    <col min="15" max="15" width="17" style="1" customWidth="1"/>
    <col min="16" max="16" width="15.109375" style="1" customWidth="1"/>
    <col min="17" max="17" width="14.77734375" style="1" customWidth="1"/>
    <col min="18" max="18" width="13.33203125" style="1" customWidth="1"/>
    <col min="19" max="19" width="12.88671875" style="1" customWidth="1"/>
    <col min="20" max="23" width="8.88671875" style="1"/>
    <col min="24" max="24" width="20.77734375" style="1" bestFit="1" customWidth="1"/>
    <col min="25" max="25" width="11.6640625" style="1" customWidth="1"/>
    <col min="26" max="27" width="8.88671875" style="1"/>
    <col min="28" max="28" width="10.88671875" style="1" customWidth="1"/>
    <col min="29" max="29" width="15.21875" style="1" customWidth="1"/>
    <col min="30" max="30" width="18.21875" style="1" customWidth="1"/>
    <col min="31" max="31" width="17.21875" style="1" customWidth="1"/>
    <col min="32" max="32" width="16.44140625" style="1" customWidth="1"/>
    <col min="33" max="33" width="18.77734375" style="1" customWidth="1"/>
    <col min="34" max="34" width="16" style="1" customWidth="1"/>
    <col min="35" max="36" width="8.88671875" style="1"/>
    <col min="37" max="37" width="21.21875" style="1" customWidth="1"/>
    <col min="38" max="38" width="16.88671875" style="1" customWidth="1"/>
    <col min="39" max="16384" width="8.88671875" style="1"/>
  </cols>
  <sheetData>
    <row r="1" spans="1:34" ht="15.6" customHeight="1" x14ac:dyDescent="1.7">
      <c r="B1" s="10" t="s">
        <v>41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</row>
    <row r="2" spans="1:34" ht="15.6" customHeight="1" x14ac:dyDescent="1.7"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</row>
    <row r="3" spans="1:34" ht="15.6" customHeight="1" x14ac:dyDescent="1.7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</row>
    <row r="4" spans="1:34" ht="15.6" customHeight="1" x14ac:dyDescent="1.7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</row>
    <row r="5" spans="1:34" ht="15.6" customHeight="1" x14ac:dyDescent="1.7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</row>
    <row r="7" spans="1:34" ht="16.2" thickBot="1" x14ac:dyDescent="0.35">
      <c r="A7" s="31" t="s">
        <v>42</v>
      </c>
      <c r="B7" s="35" t="s">
        <v>2</v>
      </c>
      <c r="F7" s="17" t="s">
        <v>26</v>
      </c>
      <c r="G7" s="21" t="s">
        <v>27</v>
      </c>
      <c r="I7" s="2" t="s">
        <v>4</v>
      </c>
      <c r="L7" s="2" t="s">
        <v>5</v>
      </c>
      <c r="M7" s="3" t="s">
        <v>6</v>
      </c>
      <c r="N7" s="3" t="s">
        <v>7</v>
      </c>
      <c r="O7" s="3" t="s">
        <v>8</v>
      </c>
      <c r="P7" s="3" t="s">
        <v>9</v>
      </c>
      <c r="Q7" s="3" t="s">
        <v>10</v>
      </c>
      <c r="R7" s="3" t="s">
        <v>11</v>
      </c>
      <c r="S7" s="3" t="s">
        <v>12</v>
      </c>
    </row>
    <row r="8" spans="1:34" ht="16.2" thickTop="1" x14ac:dyDescent="0.3">
      <c r="B8" s="12" t="s">
        <v>3</v>
      </c>
      <c r="C8" s="12"/>
      <c r="D8" s="12"/>
      <c r="F8" s="15" t="s">
        <v>29</v>
      </c>
      <c r="G8" s="22" t="s">
        <v>30</v>
      </c>
      <c r="L8" s="5">
        <v>1</v>
      </c>
      <c r="M8" s="5">
        <f>1/12</f>
        <v>8.3333333333333329E-2</v>
      </c>
      <c r="N8" s="5">
        <f>($J$13*$J$16/$J$17)</f>
        <v>9.6666666666666661</v>
      </c>
      <c r="O8" s="5">
        <f>1/(1+($J$14/$J$17))^(M8*$J$17)</f>
        <v>0.98929092572898369</v>
      </c>
      <c r="P8" s="5">
        <f>(O8*N8)</f>
        <v>9.5631456153801757</v>
      </c>
      <c r="Q8" s="5">
        <f>(P8/$J$20)</f>
        <v>9.7468958835624318E-3</v>
      </c>
      <c r="R8" s="5">
        <f>(Q8*M8)</f>
        <v>8.1224132363020261E-4</v>
      </c>
      <c r="S8" s="5">
        <f>(R8*(1+M8))</f>
        <v>8.7992810059938612E-4</v>
      </c>
    </row>
    <row r="9" spans="1:34" x14ac:dyDescent="0.3">
      <c r="B9" s="13" t="s">
        <v>14</v>
      </c>
      <c r="C9" s="13"/>
      <c r="D9" s="13"/>
      <c r="F9" s="37" t="s">
        <v>32</v>
      </c>
      <c r="G9" s="23">
        <f>PV(C20/C23,C23*C21,-C19*C22/C23,,0)+ C19/(1+ C20/C23)^(C23*C21)</f>
        <v>982.4907968024703</v>
      </c>
      <c r="L9" s="5">
        <v>2</v>
      </c>
      <c r="M9" s="5">
        <f>($M$8*L9)</f>
        <v>0.16666666666666666</v>
      </c>
      <c r="N9" s="5">
        <f>($J$13*$J$16/$J$17)</f>
        <v>9.6666666666666661</v>
      </c>
      <c r="O9" s="5">
        <f>1/(1+($J$14/$J$17))^(M9*$J$17)</f>
        <v>0.97869653572970949</v>
      </c>
      <c r="P9" s="5">
        <f t="shared" ref="P9:P25" si="0">(O9*N9)</f>
        <v>9.460733178720524</v>
      </c>
      <c r="Q9" s="5">
        <f>(P9/$J$20)</f>
        <v>9.6425156516334962E-3</v>
      </c>
      <c r="R9" s="5">
        <f t="shared" ref="R9:R25" si="1">(Q9*M9)</f>
        <v>1.607085941938916E-3</v>
      </c>
      <c r="S9" s="5">
        <f t="shared" ref="S9:S25" si="2">(R9*(1+M9))</f>
        <v>1.8749335989287355E-3</v>
      </c>
    </row>
    <row r="10" spans="1:34" x14ac:dyDescent="0.3">
      <c r="B10" s="13" t="s">
        <v>15</v>
      </c>
      <c r="C10" s="13"/>
      <c r="D10" s="13"/>
      <c r="E10" s="4"/>
      <c r="I10" s="27" t="s">
        <v>0</v>
      </c>
      <c r="J10" s="28">
        <f>G18</f>
        <v>1E-3</v>
      </c>
      <c r="L10" s="5">
        <v>3</v>
      </c>
      <c r="M10" s="5">
        <f>($M$8*L10)</f>
        <v>0.25</v>
      </c>
      <c r="N10" s="5">
        <f>($J$13*$J$16/$J$17)</f>
        <v>9.6666666666666661</v>
      </c>
      <c r="O10" s="5">
        <f>1/(1+($J$14/$J$17))^(M10*$J$17)</f>
        <v>0.9682156018397936</v>
      </c>
      <c r="P10" s="5">
        <f t="shared" si="0"/>
        <v>9.3594174844513383</v>
      </c>
      <c r="Q10" s="5">
        <f>(P10/$J$20)</f>
        <v>9.5392532353607163E-3</v>
      </c>
      <c r="R10" s="5">
        <f t="shared" si="1"/>
        <v>2.3848133088401791E-3</v>
      </c>
      <c r="S10" s="5">
        <f t="shared" si="2"/>
        <v>2.9810166360502237E-3</v>
      </c>
    </row>
    <row r="11" spans="1:34" x14ac:dyDescent="0.3">
      <c r="B11" s="13" t="s">
        <v>18</v>
      </c>
      <c r="C11" s="13"/>
      <c r="D11" s="13"/>
      <c r="F11" s="17" t="s">
        <v>17</v>
      </c>
      <c r="G11" s="18">
        <v>982.49</v>
      </c>
      <c r="L11" s="5">
        <v>4</v>
      </c>
      <c r="M11" s="5">
        <f>($M$8*L11)</f>
        <v>0.33333333333333331</v>
      </c>
      <c r="N11" s="5">
        <f>($J$13*$J$16/$J$17)</f>
        <v>9.6666666666666661</v>
      </c>
      <c r="O11" s="5">
        <f>1/(1+($J$14/$J$17))^(M11*$J$17)</f>
        <v>0.95784690904933456</v>
      </c>
      <c r="P11" s="5">
        <f t="shared" si="0"/>
        <v>9.2591867874768994</v>
      </c>
      <c r="Q11" s="5">
        <f>(P11/$J$20)</f>
        <v>9.4370966639732053E-3</v>
      </c>
      <c r="R11" s="5">
        <f t="shared" si="1"/>
        <v>3.1456988879910684E-3</v>
      </c>
      <c r="S11" s="5">
        <f t="shared" si="2"/>
        <v>4.1942651839880912E-3</v>
      </c>
    </row>
    <row r="12" spans="1:34" x14ac:dyDescent="0.3">
      <c r="B12" s="13" t="s">
        <v>48</v>
      </c>
      <c r="C12" s="13"/>
      <c r="D12" s="13"/>
      <c r="F12" s="15" t="s">
        <v>20</v>
      </c>
      <c r="G12" s="16">
        <v>1.3826492600974671</v>
      </c>
      <c r="L12" s="5">
        <v>5</v>
      </c>
      <c r="M12" s="5">
        <f>($M$8*L12)</f>
        <v>0.41666666666666663</v>
      </c>
      <c r="N12" s="5">
        <f>($J$13*$J$16/$J$17)</f>
        <v>9.6666666666666661</v>
      </c>
      <c r="O12" s="5">
        <f>1/(1+($J$14/$J$17))^(M12*$J$17)</f>
        <v>0.94758925536006178</v>
      </c>
      <c r="P12" s="5">
        <f t="shared" si="0"/>
        <v>9.1600294684805963</v>
      </c>
      <c r="Q12" s="5">
        <f>(P12/$J$20)</f>
        <v>9.3360340948959557E-3</v>
      </c>
      <c r="R12" s="5">
        <f t="shared" si="1"/>
        <v>3.8900142062066479E-3</v>
      </c>
      <c r="S12" s="5">
        <f t="shared" si="2"/>
        <v>5.5108534587927508E-3</v>
      </c>
    </row>
    <row r="13" spans="1:34" ht="16.2" thickBot="1" x14ac:dyDescent="0.35">
      <c r="B13" s="14" t="s">
        <v>23</v>
      </c>
      <c r="C13" s="14"/>
      <c r="D13" s="14"/>
      <c r="F13" s="15" t="s">
        <v>22</v>
      </c>
      <c r="G13" s="16">
        <v>1.3679551419477121</v>
      </c>
      <c r="I13" s="5" t="s">
        <v>16</v>
      </c>
      <c r="J13" s="5">
        <v>1000</v>
      </c>
      <c r="L13" s="5">
        <v>6</v>
      </c>
      <c r="M13" s="5">
        <f>($M$8*L13)</f>
        <v>0.5</v>
      </c>
      <c r="N13" s="5">
        <f>($J$13*$J$16/$J$17)</f>
        <v>9.6666666666666661</v>
      </c>
      <c r="O13" s="5">
        <f>1/(1+($J$14/$J$17))^(M13*$J$17)</f>
        <v>0.93744145164599391</v>
      </c>
      <c r="P13" s="5">
        <f t="shared" si="0"/>
        <v>9.0619340325779412</v>
      </c>
      <c r="Q13" s="5">
        <f>(P13/$J$20)</f>
        <v>9.2360538123769757E-3</v>
      </c>
      <c r="R13" s="5">
        <f t="shared" si="1"/>
        <v>4.6180269061884879E-3</v>
      </c>
      <c r="S13" s="5">
        <f t="shared" si="2"/>
        <v>6.9270403592827318E-3</v>
      </c>
    </row>
    <row r="14" spans="1:34" ht="16.2" thickTop="1" x14ac:dyDescent="0.3">
      <c r="F14" s="19" t="s">
        <v>25</v>
      </c>
      <c r="G14" s="20">
        <v>3.3964303456677691</v>
      </c>
      <c r="I14" s="5" t="s">
        <v>19</v>
      </c>
      <c r="J14" s="6">
        <f>12.89%+J10</f>
        <v>0.12990000000000002</v>
      </c>
      <c r="L14" s="5">
        <v>7</v>
      </c>
      <c r="M14" s="5">
        <f>($M$8*L14)</f>
        <v>0.58333333333333326</v>
      </c>
      <c r="N14" s="5">
        <f>($J$13*$J$16/$J$17)</f>
        <v>9.6666666666666661</v>
      </c>
      <c r="O14" s="5">
        <f>1/(1+($J$14/$J$17))^(M14*$J$17)</f>
        <v>0.92740232151558755</v>
      </c>
      <c r="P14" s="5">
        <f t="shared" si="0"/>
        <v>8.9648891079840123</v>
      </c>
      <c r="Q14" s="5">
        <f>(P14/$J$20)</f>
        <v>9.1371442261291274E-3</v>
      </c>
      <c r="R14" s="5">
        <f t="shared" si="1"/>
        <v>5.3300007985753236E-3</v>
      </c>
      <c r="S14" s="5">
        <f t="shared" si="2"/>
        <v>8.4391679310775961E-3</v>
      </c>
    </row>
    <row r="15" spans="1:34" x14ac:dyDescent="0.3">
      <c r="I15" s="5" t="s">
        <v>21</v>
      </c>
      <c r="J15" s="5">
        <v>1.5</v>
      </c>
      <c r="L15" s="5">
        <v>8</v>
      </c>
      <c r="M15" s="5">
        <f>($M$8*L15)</f>
        <v>0.66666666666666663</v>
      </c>
      <c r="N15" s="5">
        <f>($J$13*$J$16/$J$17)</f>
        <v>9.6666666666666661</v>
      </c>
      <c r="O15" s="5">
        <f>1/(1+($J$14/$J$17))^(M15*$J$17)</f>
        <v>0.91747070117536422</v>
      </c>
      <c r="P15" s="5">
        <f t="shared" si="0"/>
        <v>8.8688834446951876</v>
      </c>
      <c r="Q15" s="5">
        <f>(P15/$J$20)</f>
        <v>9.0392938699865241E-3</v>
      </c>
      <c r="R15" s="5">
        <f t="shared" si="1"/>
        <v>6.0261959133243491E-3</v>
      </c>
      <c r="S15" s="5">
        <f t="shared" si="2"/>
        <v>1.0043659855540581E-2</v>
      </c>
    </row>
    <row r="16" spans="1:34" x14ac:dyDescent="0.3">
      <c r="F16" s="17" t="s">
        <v>33</v>
      </c>
      <c r="G16" s="21">
        <f>SUM(P8:P25)</f>
        <v>981.14781666108286</v>
      </c>
      <c r="I16" s="5" t="s">
        <v>24</v>
      </c>
      <c r="J16" s="6">
        <v>0.11600000000000001</v>
      </c>
      <c r="L16" s="5">
        <v>9</v>
      </c>
      <c r="M16" s="5">
        <f>($M$8*L16)</f>
        <v>0.75</v>
      </c>
      <c r="N16" s="5">
        <f>($J$13*$J$16/$J$17)</f>
        <v>9.6666666666666661</v>
      </c>
      <c r="O16" s="5">
        <f>1/(1+($J$14/$J$17))^(M16*$J$17)</f>
        <v>0.90764543929499575</v>
      </c>
      <c r="P16" s="5">
        <f t="shared" si="0"/>
        <v>8.7739059131849579</v>
      </c>
      <c r="Q16" s="5">
        <f>(P16/$J$20)</f>
        <v>8.9424914005752938E-3</v>
      </c>
      <c r="R16" s="5">
        <f t="shared" si="1"/>
        <v>6.7068685504314707E-3</v>
      </c>
      <c r="S16" s="5">
        <f t="shared" si="2"/>
        <v>1.1737019963255074E-2</v>
      </c>
    </row>
    <row r="17" spans="1:19" x14ac:dyDescent="0.3">
      <c r="A17" s="31" t="s">
        <v>42</v>
      </c>
      <c r="B17" s="36" t="s">
        <v>31</v>
      </c>
      <c r="F17" s="15" t="s">
        <v>34</v>
      </c>
      <c r="G17" s="16">
        <f>SUM(P31:P48)</f>
        <v>983.83582444566184</v>
      </c>
      <c r="I17" s="5" t="s">
        <v>28</v>
      </c>
      <c r="J17" s="5">
        <v>12</v>
      </c>
      <c r="L17" s="5">
        <v>10</v>
      </c>
      <c r="M17" s="5">
        <f>($M$8*L17)</f>
        <v>0.83333333333333326</v>
      </c>
      <c r="N17" s="5">
        <f>($J$13*$J$16/$J$17)</f>
        <v>9.6666666666666661</v>
      </c>
      <c r="O17" s="5">
        <f>1/(1+($J$14/$J$17))^(M17*$J$17)</f>
        <v>0.89792539687383643</v>
      </c>
      <c r="P17" s="5">
        <f t="shared" si="0"/>
        <v>8.6799455031137516</v>
      </c>
      <c r="Q17" s="5">
        <f>(P17/$J$20)</f>
        <v>8.8467255959986078E-3</v>
      </c>
      <c r="R17" s="5">
        <f t="shared" si="1"/>
        <v>7.3722713299988396E-3</v>
      </c>
      <c r="S17" s="5">
        <f t="shared" si="2"/>
        <v>1.3515830771664539E-2</v>
      </c>
    </row>
    <row r="18" spans="1:19" x14ac:dyDescent="0.3">
      <c r="E18" s="1" t="s">
        <v>49</v>
      </c>
      <c r="F18" s="15" t="s">
        <v>35</v>
      </c>
      <c r="G18" s="30">
        <v>1E-3</v>
      </c>
      <c r="L18" s="5">
        <v>11</v>
      </c>
      <c r="M18" s="5">
        <f>($M$8*L18)</f>
        <v>0.91666666666666663</v>
      </c>
      <c r="N18" s="5">
        <f>($J$13*$J$16/$J$17)</f>
        <v>9.6666666666666661</v>
      </c>
      <c r="O18" s="5">
        <f>1/(1+($J$14/$J$17))^(M18*$J$17)</f>
        <v>0.88830944710888271</v>
      </c>
      <c r="P18" s="5">
        <f t="shared" si="0"/>
        <v>8.5869913220525316</v>
      </c>
      <c r="Q18" s="5">
        <f>(P18/$J$20)</f>
        <v>8.751985354535757E-3</v>
      </c>
      <c r="R18" s="5">
        <f t="shared" si="1"/>
        <v>8.0226532416577765E-3</v>
      </c>
      <c r="S18" s="5">
        <f t="shared" si="2"/>
        <v>1.5376752046510737E-2</v>
      </c>
    </row>
    <row r="19" spans="1:19" x14ac:dyDescent="0.3">
      <c r="B19" s="5" t="s">
        <v>16</v>
      </c>
      <c r="C19" s="5">
        <v>1000</v>
      </c>
      <c r="F19" s="19" t="s">
        <v>36</v>
      </c>
      <c r="G19" s="20">
        <f>(G17-G16)</f>
        <v>2.6880077845789856</v>
      </c>
      <c r="L19" s="5">
        <v>12</v>
      </c>
      <c r="M19" s="5">
        <f>($M$8*L19)</f>
        <v>1</v>
      </c>
      <c r="N19" s="5">
        <f>($J$13*$J$16/$J$17)</f>
        <v>9.6666666666666661</v>
      </c>
      <c r="O19" s="5">
        <f>1/(1+($J$14/$J$17))^(M19*$J$17)</f>
        <v>0.87879647526414828</v>
      </c>
      <c r="P19" s="5">
        <f t="shared" si="0"/>
        <v>8.495032594220099</v>
      </c>
      <c r="Q19" s="5">
        <f>(P19/$J$20)</f>
        <v>8.6582596933551872E-3</v>
      </c>
      <c r="R19" s="5">
        <f t="shared" si="1"/>
        <v>8.6582596933551872E-3</v>
      </c>
      <c r="S19" s="5">
        <f t="shared" si="2"/>
        <v>1.7316519386710374E-2</v>
      </c>
    </row>
    <row r="20" spans="1:19" x14ac:dyDescent="0.3">
      <c r="B20" s="5" t="s">
        <v>19</v>
      </c>
      <c r="C20" s="6">
        <f>12.89%+C14</f>
        <v>0.12890000000000001</v>
      </c>
      <c r="H20" s="7"/>
      <c r="I20" s="17" t="s">
        <v>17</v>
      </c>
      <c r="J20" s="21">
        <f>SUM(P8:P25)</f>
        <v>981.14781666108286</v>
      </c>
      <c r="L20" s="5">
        <v>13</v>
      </c>
      <c r="M20" s="5">
        <f>($M$8*L20)</f>
        <v>1.0833333333333333</v>
      </c>
      <c r="N20" s="5">
        <f>($J$13*$J$16/$J$17)</f>
        <v>9.6666666666666661</v>
      </c>
      <c r="O20" s="5">
        <f>1/(1+($J$14/$J$17))^(M20*$J$17)</f>
        <v>0.86938537854143716</v>
      </c>
      <c r="P20" s="5">
        <f t="shared" si="0"/>
        <v>8.4040586592338915</v>
      </c>
      <c r="Q20" s="5">
        <f>(P20/$J$20)</f>
        <v>8.5655377472412999E-3</v>
      </c>
      <c r="R20" s="5">
        <f t="shared" si="1"/>
        <v>9.2793325595114072E-3</v>
      </c>
      <c r="S20" s="5">
        <f t="shared" si="2"/>
        <v>1.933194283231543E-2</v>
      </c>
    </row>
    <row r="21" spans="1:19" x14ac:dyDescent="0.3">
      <c r="B21" s="5" t="s">
        <v>21</v>
      </c>
      <c r="C21" s="5">
        <v>1.5</v>
      </c>
      <c r="F21" s="17" t="s">
        <v>37</v>
      </c>
      <c r="G21" s="21">
        <f>G19/(2*G11*G18)</f>
        <v>1.3679568161401061</v>
      </c>
      <c r="I21" s="15" t="s">
        <v>20</v>
      </c>
      <c r="J21" s="16">
        <f>+SUM(R8:R25)</f>
        <v>1.3825482426626634</v>
      </c>
      <c r="L21" s="5">
        <v>14</v>
      </c>
      <c r="M21" s="5">
        <f>($M$8*L21)</f>
        <v>1.1666666666666665</v>
      </c>
      <c r="N21" s="5">
        <f>($J$13*$J$16/$J$17)</f>
        <v>9.6666666666666661</v>
      </c>
      <c r="O21" s="5">
        <f>1/(1+($J$14/$J$17))^(M21*$J$17)</f>
        <v>0.86007506595250116</v>
      </c>
      <c r="P21" s="5">
        <f t="shared" si="0"/>
        <v>8.3140589708741768</v>
      </c>
      <c r="Q21" s="5">
        <f>(P21/$J$20)</f>
        <v>8.4738087673348981E-3</v>
      </c>
      <c r="R21" s="5">
        <f t="shared" si="1"/>
        <v>9.8861102285573797E-3</v>
      </c>
      <c r="S21" s="5">
        <f t="shared" si="2"/>
        <v>2.1419905495207656E-2</v>
      </c>
    </row>
    <row r="22" spans="1:19" x14ac:dyDescent="0.3">
      <c r="B22" s="5" t="s">
        <v>24</v>
      </c>
      <c r="C22" s="6">
        <v>0.11600000000000001</v>
      </c>
      <c r="F22" s="19" t="s">
        <v>38</v>
      </c>
      <c r="G22" s="20">
        <f>ROUND((G16+G17-(2*G11))/(G11*(G18^2)),8)</f>
        <v>3.7059987799999998</v>
      </c>
      <c r="I22" s="15" t="s">
        <v>22</v>
      </c>
      <c r="J22" s="16">
        <f>(J21/(1+(J14/J17)))</f>
        <v>1.3677424308487258</v>
      </c>
      <c r="L22" s="5">
        <v>15</v>
      </c>
      <c r="M22" s="5">
        <f>($M$8*L22)</f>
        <v>1.25</v>
      </c>
      <c r="N22" s="5">
        <f>($J$13*$J$16/$J$17)</f>
        <v>9.6666666666666661</v>
      </c>
      <c r="O22" s="5">
        <f>1/(1+($J$14/$J$17))^(M22*$J$17)</f>
        <v>0.85086445819256662</v>
      </c>
      <c r="P22" s="5">
        <f t="shared" si="0"/>
        <v>8.2250230958614772</v>
      </c>
      <c r="Q22" s="5">
        <f>(P22/$J$20)</f>
        <v>8.3830621198871212E-3</v>
      </c>
      <c r="R22" s="5">
        <f t="shared" si="1"/>
        <v>1.0478827649858902E-2</v>
      </c>
      <c r="S22" s="5">
        <f t="shared" si="2"/>
        <v>2.357736221218253E-2</v>
      </c>
    </row>
    <row r="23" spans="1:19" x14ac:dyDescent="0.3">
      <c r="B23" s="5" t="s">
        <v>28</v>
      </c>
      <c r="C23" s="5">
        <v>12</v>
      </c>
      <c r="I23" s="19" t="s">
        <v>25</v>
      </c>
      <c r="J23" s="20">
        <f>SUM(S8:S25)</f>
        <v>3.3961392666895374</v>
      </c>
      <c r="L23" s="5">
        <v>16</v>
      </c>
      <c r="M23" s="5">
        <f>($M$8*L23)</f>
        <v>1.3333333333333333</v>
      </c>
      <c r="N23" s="5">
        <f>($J$13*$J$16/$J$17)</f>
        <v>9.6666666666666661</v>
      </c>
      <c r="O23" s="5">
        <f>1/(1+($J$14/$J$17))^(M23*$J$17)</f>
        <v>0.84175248751521459</v>
      </c>
      <c r="P23" s="5">
        <f t="shared" si="0"/>
        <v>8.136940712647073</v>
      </c>
      <c r="Q23" s="5">
        <f>(P23/$J$20)</f>
        <v>8.293287285026707E-3</v>
      </c>
      <c r="R23" s="5">
        <f t="shared" si="1"/>
        <v>1.1057716380035609E-2</v>
      </c>
      <c r="S23" s="5">
        <f t="shared" si="2"/>
        <v>2.5801338220083084E-2</v>
      </c>
    </row>
    <row r="24" spans="1:19" x14ac:dyDescent="0.3">
      <c r="L24" s="5">
        <v>17</v>
      </c>
      <c r="M24" s="5">
        <f>($M$8*L24)</f>
        <v>1.4166666666666665</v>
      </c>
      <c r="N24" s="5">
        <f>($J$13*$J$16/$J$17)</f>
        <v>9.6666666666666661</v>
      </c>
      <c r="O24" s="5">
        <f>1/(1+($J$14/$J$17))^(M24*$J$17)</f>
        <v>0.8327380976086014</v>
      </c>
      <c r="P24" s="5">
        <f t="shared" si="0"/>
        <v>8.0498016102164804</v>
      </c>
      <c r="Q24" s="5">
        <f>(P24/$J$20)</f>
        <v>8.2044738555404825E-3</v>
      </c>
      <c r="R24" s="5">
        <f t="shared" si="1"/>
        <v>1.1623004628682349E-2</v>
      </c>
      <c r="S24" s="5">
        <f t="shared" si="2"/>
        <v>2.8088927852649007E-2</v>
      </c>
    </row>
    <row r="25" spans="1:19" x14ac:dyDescent="0.3">
      <c r="L25" s="5">
        <v>18</v>
      </c>
      <c r="M25" s="5">
        <f>($M$8*L25)</f>
        <v>1.5</v>
      </c>
      <c r="N25" s="5">
        <f>($J$13*$J$16/$J$17)+J13</f>
        <v>1009.6666666666666</v>
      </c>
      <c r="O25" s="5">
        <f>1/(1+($J$14/$J$17))^(M25*$J$17)</f>
        <v>0.82382024347300609</v>
      </c>
      <c r="P25" s="5">
        <f t="shared" si="0"/>
        <v>831.78383915991174</v>
      </c>
      <c r="Q25" s="5">
        <f>(P25/$J$20)</f>
        <v>0.84776608074258619</v>
      </c>
      <c r="R25" s="5">
        <f t="shared" si="1"/>
        <v>1.2716491211138794</v>
      </c>
      <c r="S25" s="5">
        <f t="shared" si="2"/>
        <v>3.1791228027846987</v>
      </c>
    </row>
    <row r="27" spans="1:19" x14ac:dyDescent="0.3">
      <c r="H27" s="8"/>
    </row>
    <row r="30" spans="1:19" x14ac:dyDescent="0.3">
      <c r="I30" s="2" t="s">
        <v>13</v>
      </c>
      <c r="L30" s="2" t="s">
        <v>5</v>
      </c>
      <c r="M30" s="3" t="s">
        <v>6</v>
      </c>
      <c r="N30" s="3" t="s">
        <v>7</v>
      </c>
      <c r="O30" s="3" t="s">
        <v>8</v>
      </c>
      <c r="P30" s="3" t="s">
        <v>9</v>
      </c>
      <c r="Q30" s="3" t="s">
        <v>10</v>
      </c>
      <c r="R30" s="3" t="s">
        <v>11</v>
      </c>
      <c r="S30" s="3" t="s">
        <v>12</v>
      </c>
    </row>
    <row r="31" spans="1:19" x14ac:dyDescent="0.3">
      <c r="L31" s="5">
        <v>1</v>
      </c>
      <c r="M31" s="5">
        <f>L31/12</f>
        <v>8.3333333333333329E-2</v>
      </c>
      <c r="N31" s="5">
        <f>($J$36*$J$39/$J$40)</f>
        <v>9.6666666666666661</v>
      </c>
      <c r="O31" s="5">
        <f>1/(1+($J$37/$J$40))^(M31*$J$40)</f>
        <v>0.98945406871758501</v>
      </c>
      <c r="P31" s="5">
        <f>(O31*N31)</f>
        <v>9.5647226642699881</v>
      </c>
      <c r="Q31" s="5">
        <f>(P31/$J$44)</f>
        <v>9.7218686559408327E-3</v>
      </c>
      <c r="R31" s="5">
        <f>(Q31*M31)</f>
        <v>8.1015572132840273E-4</v>
      </c>
      <c r="S31" s="5">
        <f>R31*(1+M31)</f>
        <v>8.7766869810576955E-4</v>
      </c>
    </row>
    <row r="32" spans="1:19" x14ac:dyDescent="0.3">
      <c r="A32" s="31" t="s">
        <v>42</v>
      </c>
      <c r="B32" s="17" t="s">
        <v>39</v>
      </c>
      <c r="C32" s="21" t="s">
        <v>17</v>
      </c>
      <c r="L32" s="5">
        <v>2</v>
      </c>
      <c r="M32" s="5">
        <f t="shared" ref="M32:M48" si="3">L32/12</f>
        <v>0.16666666666666666</v>
      </c>
      <c r="N32" s="5">
        <f>($J$36*$J$39/$J$40)</f>
        <v>9.6666666666666661</v>
      </c>
      <c r="O32" s="5">
        <f>1/(1+($J$37/$J$40))^(M32*$J$40)</f>
        <v>0.97901935410178342</v>
      </c>
      <c r="P32" s="5">
        <f t="shared" ref="P32:P48" si="4">(O32*N32)</f>
        <v>9.4638537563172385</v>
      </c>
      <c r="Q32" s="5">
        <f>(P32/$J$44)</f>
        <v>9.6193424971586158E-3</v>
      </c>
      <c r="R32" s="5">
        <f t="shared" ref="R32:R48" si="5">(Q32*M32)</f>
        <v>1.6032237495264359E-3</v>
      </c>
      <c r="S32" s="5">
        <f t="shared" ref="S32:S48" si="6">R32*(1+M32)</f>
        <v>1.870427707780842E-3</v>
      </c>
    </row>
    <row r="33" spans="2:19" x14ac:dyDescent="0.3">
      <c r="B33" s="24">
        <v>0.06</v>
      </c>
      <c r="C33" s="16">
        <f>PV(B33/$C$23,$C$23*$C$21,-$C$19*$C$22/$C$23,,0)+ $C$19/(1+$C$20/$C$23)^($C$23*$C$21)</f>
        <v>991.04712251032402</v>
      </c>
      <c r="I33" s="27" t="s">
        <v>1</v>
      </c>
      <c r="J33" s="29">
        <f>G18</f>
        <v>1E-3</v>
      </c>
      <c r="L33" s="5">
        <v>3</v>
      </c>
      <c r="M33" s="5">
        <f t="shared" si="3"/>
        <v>0.25</v>
      </c>
      <c r="N33" s="5">
        <f>($J$36*$J$39/$J$40)</f>
        <v>9.6666666666666661</v>
      </c>
      <c r="O33" s="5">
        <f>1/(1+($J$37/$J$40))^(M33*$J$40)</f>
        <v>0.96869468326927166</v>
      </c>
      <c r="P33" s="5">
        <f t="shared" si="4"/>
        <v>9.3640486049362917</v>
      </c>
      <c r="Q33" s="5">
        <f>(P33/$J$44)</f>
        <v>9.5178975722015665E-3</v>
      </c>
      <c r="R33" s="5">
        <f t="shared" si="5"/>
        <v>2.3794743930503916E-3</v>
      </c>
      <c r="S33" s="5">
        <f t="shared" si="6"/>
        <v>2.9743429913129896E-3</v>
      </c>
    </row>
    <row r="34" spans="2:19" x14ac:dyDescent="0.3">
      <c r="B34" s="24">
        <v>7.0000000000000007E-2</v>
      </c>
      <c r="C34" s="16">
        <f t="shared" ref="C34:C40" si="7">PV(B34/$C$23,$C$23*$C$21,-$C$19*$C$22/$C$23,,0)+ $C$19/(1+$C$20/$C$23)^($C$23*$C$21)</f>
        <v>989.76498873663024</v>
      </c>
      <c r="L34" s="5">
        <v>4</v>
      </c>
      <c r="M34" s="5">
        <f t="shared" si="3"/>
        <v>0.33333333333333331</v>
      </c>
      <c r="N34" s="5">
        <f>($J$36*$J$39/$J$40)</f>
        <v>9.6666666666666661</v>
      </c>
      <c r="O34" s="5">
        <f>1/(1+($J$37/$J$40))^(M34*$J$40)</f>
        <v>0.95847889570587319</v>
      </c>
      <c r="P34" s="5">
        <f t="shared" si="4"/>
        <v>9.2652959918234394</v>
      </c>
      <c r="Q34" s="5">
        <f>(P34/$J$44)</f>
        <v>9.4175224784520638E-3</v>
      </c>
      <c r="R34" s="5">
        <f t="shared" si="5"/>
        <v>3.1391741594840213E-3</v>
      </c>
      <c r="S34" s="5">
        <f t="shared" si="6"/>
        <v>4.185565545978695E-3</v>
      </c>
    </row>
    <row r="35" spans="2:19" x14ac:dyDescent="0.3">
      <c r="B35" s="24">
        <v>0.08</v>
      </c>
      <c r="C35" s="16">
        <f t="shared" si="7"/>
        <v>988.49682411352205</v>
      </c>
      <c r="L35" s="5">
        <v>5</v>
      </c>
      <c r="M35" s="5">
        <f t="shared" si="3"/>
        <v>0.41666666666666669</v>
      </c>
      <c r="N35" s="5">
        <f>($J$36*$J$39/$J$40)</f>
        <v>9.6666666666666661</v>
      </c>
      <c r="O35" s="5">
        <f>1/(1+($J$37/$J$40))^(M35*$J$40)</f>
        <v>0.94837084313611397</v>
      </c>
      <c r="P35" s="5">
        <f t="shared" si="4"/>
        <v>9.1675848169824352</v>
      </c>
      <c r="Q35" s="5">
        <f>(P35/$J$44)</f>
        <v>9.3182059335437106E-3</v>
      </c>
      <c r="R35" s="5">
        <f t="shared" si="5"/>
        <v>3.8825858056432128E-3</v>
      </c>
      <c r="S35" s="5">
        <f t="shared" si="6"/>
        <v>5.5003298913278847E-3</v>
      </c>
    </row>
    <row r="36" spans="2:19" x14ac:dyDescent="0.3">
      <c r="B36" s="24">
        <v>0.09</v>
      </c>
      <c r="C36" s="16">
        <f t="shared" si="7"/>
        <v>987.24244857911197</v>
      </c>
      <c r="I36" s="17" t="s">
        <v>16</v>
      </c>
      <c r="J36" s="21">
        <v>1000</v>
      </c>
      <c r="L36" s="5">
        <v>6</v>
      </c>
      <c r="M36" s="5">
        <f t="shared" si="3"/>
        <v>0.5</v>
      </c>
      <c r="N36" s="5">
        <f>($J$36*$J$39/$J$40)</f>
        <v>9.6666666666666661</v>
      </c>
      <c r="O36" s="5">
        <f>1/(1+($J$37/$J$40))^(M36*$J$40)</f>
        <v>0.93836938939415471</v>
      </c>
      <c r="P36" s="5">
        <f t="shared" si="4"/>
        <v>9.0709040974768289</v>
      </c>
      <c r="Q36" s="5">
        <f>(P36/$J$44)</f>
        <v>9.2199367740931695E-3</v>
      </c>
      <c r="R36" s="5">
        <f t="shared" si="5"/>
        <v>4.6099683870465848E-3</v>
      </c>
      <c r="S36" s="5">
        <f t="shared" si="6"/>
        <v>6.9149525805698771E-3</v>
      </c>
    </row>
    <row r="37" spans="2:19" x14ac:dyDescent="0.3">
      <c r="B37" s="24">
        <v>0.1</v>
      </c>
      <c r="C37" s="16">
        <f t="shared" si="7"/>
        <v>986.00168466605965</v>
      </c>
      <c r="I37" s="15" t="s">
        <v>19</v>
      </c>
      <c r="J37" s="26">
        <f>12.89%-J33</f>
        <v>0.12790000000000001</v>
      </c>
      <c r="L37" s="5">
        <v>7</v>
      </c>
      <c r="M37" s="5">
        <f t="shared" si="3"/>
        <v>0.58333333333333337</v>
      </c>
      <c r="N37" s="5">
        <f>($J$36*$J$39/$J$40)</f>
        <v>9.6666666666666661</v>
      </c>
      <c r="O37" s="5">
        <f>1/(1+($J$37/$J$40))^(M37*$J$40)</f>
        <v>0.9284734102960821</v>
      </c>
      <c r="P37" s="5">
        <f t="shared" si="4"/>
        <v>8.9752429661954594</v>
      </c>
      <c r="Q37" s="5">
        <f>(P37/$J$44)</f>
        <v>9.1227039544453693E-3</v>
      </c>
      <c r="R37" s="5">
        <f t="shared" si="5"/>
        <v>5.3215773067597991E-3</v>
      </c>
      <c r="S37" s="5">
        <f t="shared" si="6"/>
        <v>8.4258307357030163E-3</v>
      </c>
    </row>
    <row r="38" spans="2:19" x14ac:dyDescent="0.3">
      <c r="B38" s="24">
        <v>0.11</v>
      </c>
      <c r="C38" s="16">
        <f t="shared" si="7"/>
        <v>984.77435746090555</v>
      </c>
      <c r="I38" s="15" t="s">
        <v>21</v>
      </c>
      <c r="J38" s="16">
        <v>1.5</v>
      </c>
      <c r="L38" s="5">
        <v>8</v>
      </c>
      <c r="M38" s="5">
        <f t="shared" si="3"/>
        <v>0.66666666666666663</v>
      </c>
      <c r="N38" s="5">
        <f>($J$36*$J$39/$J$40)</f>
        <v>9.6666666666666661</v>
      </c>
      <c r="O38" s="5">
        <f>1/(1+($J$37/$J$40))^(M38*$J$40)</f>
        <v>0.91868179351355017</v>
      </c>
      <c r="P38" s="5">
        <f t="shared" si="4"/>
        <v>8.8805906706309852</v>
      </c>
      <c r="Q38" s="5">
        <f>(P38/$J$44)</f>
        <v>9.0264965454319741E-3</v>
      </c>
      <c r="R38" s="5">
        <f t="shared" si="5"/>
        <v>6.017664363621316E-3</v>
      </c>
      <c r="S38" s="5">
        <f t="shared" si="6"/>
        <v>1.0029440606035526E-2</v>
      </c>
    </row>
    <row r="39" spans="2:19" x14ac:dyDescent="0.3">
      <c r="B39" s="24">
        <v>0.12</v>
      </c>
      <c r="C39" s="16">
        <f t="shared" si="7"/>
        <v>983.56029456400961</v>
      </c>
      <c r="I39" s="15" t="s">
        <v>24</v>
      </c>
      <c r="J39" s="26">
        <v>0.11600000000000001</v>
      </c>
      <c r="L39" s="5">
        <v>9</v>
      </c>
      <c r="M39" s="5">
        <f t="shared" si="3"/>
        <v>0.75</v>
      </c>
      <c r="N39" s="5">
        <f>($J$36*$J$39/$J$40)</f>
        <v>9.6666666666666661</v>
      </c>
      <c r="O39" s="5">
        <f>1/(1+($J$37/$J$40))^(M39*$J$40)</f>
        <v>0.90899343844875058</v>
      </c>
      <c r="P39" s="5">
        <f t="shared" si="4"/>
        <v>8.7869365716712551</v>
      </c>
      <c r="Q39" s="5">
        <f>(P39/$J$44)</f>
        <v>8.9313037331428917E-3</v>
      </c>
      <c r="R39" s="5">
        <f t="shared" si="5"/>
        <v>6.6984777998571688E-3</v>
      </c>
      <c r="S39" s="5">
        <f t="shared" si="6"/>
        <v>1.1722336149750046E-2</v>
      </c>
    </row>
    <row r="40" spans="2:19" x14ac:dyDescent="0.3">
      <c r="B40" s="25">
        <v>0.13</v>
      </c>
      <c r="C40" s="20">
        <f t="shared" si="7"/>
        <v>982.35932605023174</v>
      </c>
      <c r="I40" s="19" t="s">
        <v>28</v>
      </c>
      <c r="J40" s="20">
        <v>12</v>
      </c>
      <c r="L40" s="5">
        <v>10</v>
      </c>
      <c r="M40" s="5">
        <f t="shared" si="3"/>
        <v>0.83333333333333337</v>
      </c>
      <c r="N40" s="5">
        <f>($J$36*$J$39/$J$40)</f>
        <v>9.6666666666666661</v>
      </c>
      <c r="O40" s="5">
        <f>1/(1+($J$37/$J$40))^(M40*$J$40)</f>
        <v>0.89940725611070393</v>
      </c>
      <c r="P40" s="5">
        <f t="shared" si="4"/>
        <v>8.6942701424034716</v>
      </c>
      <c r="Q40" s="5">
        <f>(P40/$J$44)</f>
        <v>8.8371148177107915E-3</v>
      </c>
      <c r="R40" s="5">
        <f t="shared" si="5"/>
        <v>7.3642623480923266E-3</v>
      </c>
      <c r="S40" s="5">
        <f t="shared" si="6"/>
        <v>1.3501147638169267E-2</v>
      </c>
    </row>
    <row r="41" spans="2:19" x14ac:dyDescent="0.3">
      <c r="B41" s="9"/>
      <c r="L41" s="5">
        <v>11</v>
      </c>
      <c r="M41" s="5">
        <f t="shared" si="3"/>
        <v>0.91666666666666663</v>
      </c>
      <c r="N41" s="5">
        <f>($J$36*$J$39/$J$40)</f>
        <v>9.6666666666666661</v>
      </c>
      <c r="O41" s="5">
        <f>1/(1+($J$37/$J$40))^(M41*$J$40)</f>
        <v>0.88992216899285492</v>
      </c>
      <c r="P41" s="5">
        <f t="shared" si="4"/>
        <v>8.6025809669309297</v>
      </c>
      <c r="Q41" s="5">
        <f>(P41/$J$44)</f>
        <v>8.7439192121083996E-3</v>
      </c>
      <c r="R41" s="5">
        <f t="shared" si="5"/>
        <v>8.0152592777660327E-3</v>
      </c>
      <c r="S41" s="5">
        <f t="shared" si="6"/>
        <v>1.5362580282384894E-2</v>
      </c>
    </row>
    <row r="42" spans="2:19" x14ac:dyDescent="0.3">
      <c r="L42" s="5">
        <v>12</v>
      </c>
      <c r="M42" s="5">
        <f t="shared" si="3"/>
        <v>1</v>
      </c>
      <c r="N42" s="5">
        <f>($J$36*$J$39/$J$40)</f>
        <v>9.6666666666666661</v>
      </c>
      <c r="O42" s="5">
        <f>1/(1+($J$37/$J$40))^(M42*$J$40)</f>
        <v>0.88053711095195852</v>
      </c>
      <c r="P42" s="5">
        <f t="shared" si="4"/>
        <v>8.5118587392022658</v>
      </c>
      <c r="Q42" s="5">
        <f>(P42/$J$44)</f>
        <v>8.6517064409585166E-3</v>
      </c>
      <c r="R42" s="5">
        <f t="shared" si="5"/>
        <v>8.6517064409585166E-3</v>
      </c>
      <c r="S42" s="5">
        <f t="shared" si="6"/>
        <v>1.7303412881917033E-2</v>
      </c>
    </row>
    <row r="43" spans="2:19" x14ac:dyDescent="0.3">
      <c r="L43" s="5">
        <v>13</v>
      </c>
      <c r="M43" s="5">
        <f t="shared" si="3"/>
        <v>1.0833333333333333</v>
      </c>
      <c r="N43" s="5">
        <f>($J$36*$J$39/$J$40)</f>
        <v>9.6666666666666661</v>
      </c>
      <c r="O43" s="5">
        <f>1/(1+($J$37/$J$40))^(M43*$J$40)</f>
        <v>0.87125102708824287</v>
      </c>
      <c r="P43" s="5">
        <f t="shared" si="4"/>
        <v>8.4220932618530142</v>
      </c>
      <c r="Q43" s="5">
        <f>(P43/$J$44)</f>
        <v>8.5604661393565411E-3</v>
      </c>
      <c r="R43" s="5">
        <f t="shared" si="5"/>
        <v>9.2738383176362519E-3</v>
      </c>
      <c r="S43" s="5">
        <f t="shared" si="6"/>
        <v>1.9320496495075522E-2</v>
      </c>
    </row>
    <row r="44" spans="2:19" x14ac:dyDescent="0.3">
      <c r="I44" s="5" t="s">
        <v>17</v>
      </c>
      <c r="J44" s="5">
        <f>SUM(P31:P48)</f>
        <v>983.83582444566184</v>
      </c>
      <c r="L44" s="5">
        <v>14</v>
      </c>
      <c r="M44" s="5">
        <f t="shared" si="3"/>
        <v>1.1666666666666667</v>
      </c>
      <c r="N44" s="5">
        <f>($J$36*$J$39/$J$40)</f>
        <v>9.6666666666666661</v>
      </c>
      <c r="O44" s="5">
        <f>1/(1+($J$37/$J$40))^(M44*$J$40)</f>
        <v>0.86206287362683687</v>
      </c>
      <c r="P44" s="5">
        <f t="shared" si="4"/>
        <v>8.3332744450594234</v>
      </c>
      <c r="Q44" s="5">
        <f>(P44/$J$44)</f>
        <v>8.4701880517054472E-3</v>
      </c>
      <c r="R44" s="5">
        <f t="shared" si="5"/>
        <v>9.8818860603230221E-3</v>
      </c>
      <c r="S44" s="5">
        <f t="shared" si="6"/>
        <v>2.1410753130699883E-2</v>
      </c>
    </row>
    <row r="45" spans="2:19" x14ac:dyDescent="0.3">
      <c r="I45" s="5" t="s">
        <v>20</v>
      </c>
      <c r="J45" s="5">
        <f>SUM(R31:R48)</f>
        <v>1.3827501975638294</v>
      </c>
      <c r="L45" s="5">
        <v>15</v>
      </c>
      <c r="M45" s="5">
        <f t="shared" si="3"/>
        <v>1.25</v>
      </c>
      <c r="N45" s="5">
        <f>($J$36*$J$39/$J$40)</f>
        <v>9.6666666666666661</v>
      </c>
      <c r="O45" s="5">
        <f>1/(1+($J$37/$J$40))^(M45*$J$40)</f>
        <v>0.85297161780044706</v>
      </c>
      <c r="P45" s="5">
        <f t="shared" si="4"/>
        <v>8.2453923054043212</v>
      </c>
      <c r="Q45" s="5">
        <f>(P45/$J$44)</f>
        <v>8.3808620305630289E-3</v>
      </c>
      <c r="R45" s="5">
        <f t="shared" si="5"/>
        <v>1.0476077538203786E-2</v>
      </c>
      <c r="S45" s="5">
        <f t="shared" si="6"/>
        <v>2.3571174460958518E-2</v>
      </c>
    </row>
    <row r="46" spans="2:19" x14ac:dyDescent="0.3">
      <c r="I46" s="5" t="s">
        <v>22</v>
      </c>
      <c r="J46" s="5">
        <f>(J45/(1+J37/J40))</f>
        <v>1.3681678089995755</v>
      </c>
      <c r="L46" s="5">
        <v>16</v>
      </c>
      <c r="M46" s="5">
        <f t="shared" si="3"/>
        <v>1.3333333333333333</v>
      </c>
      <c r="N46" s="5">
        <f>($J$36*$J$39/$J$40)</f>
        <v>9.6666666666666661</v>
      </c>
      <c r="O46" s="5">
        <f>1/(1+($J$37/$J$40))^(M46*$J$40)</f>
        <v>0.84397623773327313</v>
      </c>
      <c r="P46" s="5">
        <f t="shared" si="4"/>
        <v>8.1584369647549728</v>
      </c>
      <c r="Q46" s="5">
        <f>(P46/$J$44)</f>
        <v>8.2924780355013092E-3</v>
      </c>
      <c r="R46" s="5">
        <f t="shared" si="5"/>
        <v>1.1056637380668411E-2</v>
      </c>
      <c r="S46" s="5">
        <f t="shared" si="6"/>
        <v>2.5798820554892955E-2</v>
      </c>
    </row>
    <row r="47" spans="2:19" x14ac:dyDescent="0.3">
      <c r="I47" s="5" t="s">
        <v>25</v>
      </c>
      <c r="J47" s="5">
        <f>SUM(S31:S48)</f>
        <v>3.3967212027169635</v>
      </c>
      <c r="L47" s="5">
        <v>17</v>
      </c>
      <c r="M47" s="5">
        <f t="shared" si="3"/>
        <v>1.4166666666666667</v>
      </c>
      <c r="N47" s="5">
        <f>($J$36*$J$39/$J$40)</f>
        <v>9.6666666666666661</v>
      </c>
      <c r="O47" s="5">
        <f>1/(1+($J$37/$J$40))^(M47*$J$40)</f>
        <v>0.8350757223261468</v>
      </c>
      <c r="P47" s="5">
        <f t="shared" si="4"/>
        <v>8.0723986491527526</v>
      </c>
      <c r="Q47" s="5">
        <f>(P47/$J$44)</f>
        <v>8.2050261319779761E-3</v>
      </c>
      <c r="R47" s="5">
        <f t="shared" si="5"/>
        <v>1.1623787020302133E-2</v>
      </c>
      <c r="S47" s="5">
        <f t="shared" si="6"/>
        <v>2.8090818632396826E-2</v>
      </c>
    </row>
    <row r="48" spans="2:19" x14ac:dyDescent="0.3">
      <c r="L48" s="5">
        <v>18</v>
      </c>
      <c r="M48" s="5">
        <f t="shared" si="3"/>
        <v>1.5</v>
      </c>
      <c r="N48" s="5">
        <f>($J$36*$J$39/$J$40)+ J36</f>
        <v>1009.6666666666666</v>
      </c>
      <c r="O48" s="5">
        <f>1/(1+($J$37/$J$40))^(M48*$J$40)</f>
        <v>0.82626907114288228</v>
      </c>
      <c r="P48" s="5">
        <f t="shared" si="4"/>
        <v>834.25633883059675</v>
      </c>
      <c r="Q48" s="5">
        <f>(P48/$J$44)</f>
        <v>0.84796296099570778</v>
      </c>
      <c r="R48" s="5">
        <f t="shared" si="5"/>
        <v>1.2719444414935617</v>
      </c>
      <c r="S48" s="5">
        <f t="shared" si="6"/>
        <v>3.179861103733904</v>
      </c>
    </row>
    <row r="52" spans="2:8" ht="3" customHeight="1" x14ac:dyDescent="0.3"/>
    <row r="53" spans="2:8" hidden="1" x14ac:dyDescent="0.3"/>
    <row r="54" spans="2:8" ht="9" hidden="1" customHeight="1" x14ac:dyDescent="0.3"/>
    <row r="55" spans="2:8" hidden="1" x14ac:dyDescent="0.3"/>
    <row r="56" spans="2:8" hidden="1" x14ac:dyDescent="0.3"/>
    <row r="57" spans="2:8" hidden="1" x14ac:dyDescent="0.3"/>
    <row r="58" spans="2:8" hidden="1" x14ac:dyDescent="0.3"/>
    <row r="61" spans="2:8" x14ac:dyDescent="0.3">
      <c r="B61" s="32"/>
      <c r="C61" s="32"/>
      <c r="D61" s="32"/>
      <c r="E61" s="32"/>
      <c r="F61" s="32"/>
      <c r="G61" s="32"/>
      <c r="H61" s="32"/>
    </row>
    <row r="62" spans="2:8" x14ac:dyDescent="0.3">
      <c r="B62" s="38" t="s">
        <v>40</v>
      </c>
      <c r="C62" s="32"/>
      <c r="D62" s="32"/>
      <c r="E62" s="32"/>
      <c r="F62" s="32"/>
      <c r="G62" s="32"/>
      <c r="H62" s="32"/>
    </row>
    <row r="63" spans="2:8" x14ac:dyDescent="0.3">
      <c r="B63" s="32"/>
      <c r="C63" s="32"/>
      <c r="D63" s="32"/>
      <c r="E63" s="32"/>
      <c r="F63" s="32"/>
      <c r="G63" s="32"/>
      <c r="H63" s="32"/>
    </row>
    <row r="64" spans="2:8" x14ac:dyDescent="0.3">
      <c r="B64" s="33" t="s">
        <v>43</v>
      </c>
      <c r="C64" s="34"/>
      <c r="D64" s="34"/>
      <c r="E64" s="34"/>
      <c r="F64" s="34"/>
      <c r="G64" s="34"/>
      <c r="H64" s="34"/>
    </row>
    <row r="65" spans="2:8" x14ac:dyDescent="0.3">
      <c r="B65" s="33" t="s">
        <v>44</v>
      </c>
      <c r="C65" s="34"/>
      <c r="D65" s="34"/>
      <c r="E65" s="34"/>
      <c r="F65" s="34"/>
      <c r="G65" s="34"/>
      <c r="H65" s="34"/>
    </row>
    <row r="66" spans="2:8" x14ac:dyDescent="0.3">
      <c r="B66" s="33" t="s">
        <v>45</v>
      </c>
      <c r="C66" s="34"/>
      <c r="D66" s="34"/>
      <c r="E66" s="34"/>
      <c r="F66" s="34"/>
      <c r="G66" s="34"/>
      <c r="H66" s="34"/>
    </row>
    <row r="67" spans="2:8" x14ac:dyDescent="0.3">
      <c r="B67" s="33" t="s">
        <v>46</v>
      </c>
      <c r="C67" s="34"/>
      <c r="D67" s="34"/>
      <c r="E67" s="34"/>
      <c r="F67" s="34"/>
      <c r="G67" s="34"/>
      <c r="H67" s="34"/>
    </row>
    <row r="68" spans="2:8" x14ac:dyDescent="0.3">
      <c r="B68" s="33" t="s">
        <v>47</v>
      </c>
      <c r="C68" s="34"/>
      <c r="D68" s="34"/>
      <c r="E68" s="34"/>
      <c r="F68" s="34"/>
      <c r="G68" s="34"/>
      <c r="H68" s="34"/>
    </row>
  </sheetData>
  <mergeCells count="1">
    <mergeCell ref="B1:T5"/>
  </mergeCells>
  <pageMargins left="0.7" right="0.7" top="0.75" bottom="0.75" header="0.3" footer="0.3"/>
  <pageSetup scale="25" fitToHeight="0" orientation="portrait" r:id="rId1"/>
  <rowBreaks count="1" manualBreakCount="1">
    <brk id="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THAKUR - BASE University</dc:creator>
  <cp:lastModifiedBy>ADARSH THAKUR - BASE University</cp:lastModifiedBy>
  <cp:lastPrinted>2024-11-24T19:37:47Z</cp:lastPrinted>
  <dcterms:created xsi:type="dcterms:W3CDTF">2024-11-24T19:05:57Z</dcterms:created>
  <dcterms:modified xsi:type="dcterms:W3CDTF">2024-11-24T19:56:53Z</dcterms:modified>
</cp:coreProperties>
</file>