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aster Sheet" sheetId="1" r:id="rId4"/>
    <sheet name="Pricing Calculators" sheetId="2" r:id="rId5"/>
  </sheets>
</workbook>
</file>

<file path=xl/sharedStrings.xml><?xml version="1.0" encoding="utf-8"?>
<sst xmlns="http://schemas.openxmlformats.org/spreadsheetml/2006/main" uniqueCount="135">
  <si>
    <t>Make</t>
  </si>
  <si>
    <t>Model</t>
  </si>
  <si>
    <t>Color</t>
  </si>
  <si>
    <t>SKU</t>
  </si>
  <si>
    <t>UPC</t>
  </si>
  <si>
    <t>Description</t>
  </si>
  <si>
    <t>QTY</t>
  </si>
  <si>
    <t>Item Condition</t>
  </si>
  <si>
    <t>As Is</t>
  </si>
  <si>
    <t>General Category</t>
  </si>
  <si>
    <t>Shipping Weight (lb)</t>
  </si>
  <si>
    <t>Shipping Long Dim (in)</t>
  </si>
  <si>
    <t>Shipping Short Dim (in)</t>
  </si>
  <si>
    <t>Shipping Height (in)</t>
  </si>
  <si>
    <t>Estimated Shipping Cost</t>
  </si>
  <si>
    <t>Free Shipping</t>
  </si>
  <si>
    <t>Local Pickup</t>
  </si>
  <si>
    <t>Buy Date</t>
  </si>
  <si>
    <t>Buy Price</t>
  </si>
  <si>
    <t>Fees Paid</t>
  </si>
  <si>
    <t>Tax Paid</t>
  </si>
  <si>
    <t>Transit Cost</t>
  </si>
  <si>
    <t>Refurb Cost</t>
  </si>
  <si>
    <t xml:space="preserve">Full Cost of Acquisition </t>
  </si>
  <si>
    <t>Ideal Net Proceeds (+30%)</t>
  </si>
  <si>
    <t>Estimated Minimum Sell Strike Point</t>
  </si>
  <si>
    <t>List Date</t>
  </si>
  <si>
    <t>List Price</t>
  </si>
  <si>
    <t>Ad Rate</t>
  </si>
  <si>
    <t>Buy to List Days</t>
  </si>
  <si>
    <t>Sell Date</t>
  </si>
  <si>
    <t>Sell Market</t>
  </si>
  <si>
    <t>List to Sell Days</t>
  </si>
  <si>
    <t>Full Cycle Days</t>
  </si>
  <si>
    <t>Sell Strike Price</t>
  </si>
  <si>
    <t>List/Strike Price Differential</t>
  </si>
  <si>
    <t>Seller Fee Paid</t>
  </si>
  <si>
    <t>Ad Fee Paid</t>
  </si>
  <si>
    <t>Payment Processing Fee Paid</t>
  </si>
  <si>
    <t>Shipping Charged</t>
  </si>
  <si>
    <t>Shipping Materials</t>
  </si>
  <si>
    <t>Shipping Cost</t>
  </si>
  <si>
    <t>Shipping Differential</t>
  </si>
  <si>
    <t>Gross Sell Price</t>
  </si>
  <si>
    <t>Ideal 30% Net Margin Differential (Absolute $)</t>
  </si>
  <si>
    <t>Ideal 30% Net Margin Differential (Relative %)</t>
  </si>
  <si>
    <t>Net Margin %</t>
  </si>
  <si>
    <t>Net Gain/Loss</t>
  </si>
  <si>
    <t>No.</t>
  </si>
  <si>
    <t>Name</t>
  </si>
  <si>
    <t>A: $20.00</t>
  </si>
  <si>
    <t>A: $23.87</t>
  </si>
  <si>
    <t>A: $9.94</t>
  </si>
  <si>
    <t>A: $0.00</t>
  </si>
  <si>
    <t>A: 3.83333333333333%</t>
  </si>
  <si>
    <t>A: 17d</t>
  </si>
  <si>
    <t>A: 8d 12h</t>
  </si>
  <si>
    <t>A: 26d 6h</t>
  </si>
  <si>
    <t>S: $1074.00</t>
  </si>
  <si>
    <t>A: -12.75</t>
  </si>
  <si>
    <t>S: $94.40</t>
  </si>
  <si>
    <t>S: $13.88</t>
  </si>
  <si>
    <t>A: $15.00</t>
  </si>
  <si>
    <t>S: $6.00</t>
  </si>
  <si>
    <t>A: $11.62</t>
  </si>
  <si>
    <t>A: 1.0375</t>
  </si>
  <si>
    <t>S: 969.87</t>
  </si>
  <si>
    <t>A: -18.55794</t>
  </si>
  <si>
    <t>A: 0.106721548178005</t>
  </si>
  <si>
    <t>A: 0.406721548178005</t>
  </si>
  <si>
    <t>S: 166.7148</t>
  </si>
  <si>
    <t>Test Item 1</t>
  </si>
  <si>
    <t>Test 1</t>
  </si>
  <si>
    <t>White</t>
  </si>
  <si>
    <t>PR0000001</t>
  </si>
  <si>
    <t>Whether you’re recording a live performance on stage or cutting an album in the studio, you can rest assured that your vocals will be reproduced clearly and accurately with the Blue enCORE 100 Dynamic Wired Professional Microphone. Designed for professional use, these pro audio microphones are durable enough to withstand life on the road, as well as the dents and dings that inevitably occur in the studio, thanks to their heavy-gauge barrel construction, reinforced grille, and hardened metal-plated finish. This studio-grade handheld cardioid microphone features the company’s proprietary hand-tuned dynamic capsule, which produces lifelike vocal sound for both live performance and studio recording, as well as for broadcast. It also produces dynamic highs that will take the audience’s breath away, and is compatible with several microphone stands for even greater versatility. This makes these microphones an ideal choice for events such as live talks or presentations, and for live broadcasting over the air or taping performances or broadcasts for later airing. Plus, the cardioid polar pattern of these Blue microphones ensures you’ll be heard loud and clear, as well as offering off-axis rejection and high SPL handling. The capsule mount of these Blue microphones makes them easy to hold, without worrying about noise transfer or having to use filters and pads. This dynamic mic also boasts an attractive, eye-catching appearance that looks stunning on stage, as well as presenting a professional image. You can also customize the appearance of these mics to get just the look you want, because in addition to the all-black finish of the case and the mic, it also comes with an additional chrome mic grille for a snazzy, high-tech look that’s certain to attract the audience’s attention when you’re on the stage. The Blue enCORE 100 Dynamic Wired Professional Microphone also boasts an exceptionally wide frequency response range of 50 Hz and 15,000 Hz, for crystal-clear, sharp sound. Plus, these Blue microphones are ideal not only for singing, but also for public speaking, because they’re designed to enhance the clarity and intelligibility of speech and ensure it sounds natural and lifelike. The vocal reproduction produced by these microphones, both when singing and when speaking, is clear and detailed so the audience hears each word without interference and without struggling to understand what you’re saying. The Blue enCORE dynamic microphone also reduces the noise that results from simply handling the mic, so the audience hears only your voice instead of any background noise that can distract them and detract from your performance. These mics also minimize feedback for vibrant, lifelike, and crystal-clear sound, both when performing live and on a recorded product such as a CD or video broadcast. The Blue enCORE is not only ideal for stunning reproduction of both lead and backing vocals, but also for a wide range of instruments including guitar, bass guitar, drums, and a diverse array of other accessories and gear. Plus, use it along with all of your other recording and performance gear and accessories, including mixers and video equipment. You can also use the Blue enCORE as a handheld mic or use with accessories such as microphone stands, so you can have your hands free while performing on stage or recording in the studio.</t>
  </si>
  <si>
    <t>8 - Brand New</t>
  </si>
  <si>
    <t>T</t>
  </si>
  <si>
    <t>accessories</t>
  </si>
  <si>
    <t>F</t>
  </si>
  <si>
    <t>Test Item 2 (high price sold for loss)</t>
  </si>
  <si>
    <t>Test 2</t>
  </si>
  <si>
    <t>Black</t>
  </si>
  <si>
    <t>SES000013101</t>
  </si>
  <si>
    <t>The Samson C02 condenser microphones deliver high audio performance while remaining cost effective. Delivered as a pair, the microphones excel in applications requiring dual placement. Drum cymbals, overheads, percussion, guitar, piano, strings, and vocals are accurately captured and reproduced in detail.
The C02's low-mass capsule features a cardioid polar pattern, which accepts a signal coming directly in front and rejects signals from behind or from the sides. of the mic. The result minimizes ambient room noise and signals from nearby instruments and monitors that may cause feedback. A wide, linear frequency response results in rich detail while minimizing low-frequency noise.
The C02 requires external +48V phantom power and is a suitable solution for recording and live sound applications.
Extended Frequency Response
The C02 features a frequency response of 40 Hz to 20 kHz, which accurately reproduces audio with great detail while minimizing low-frequency noise.
Tight Supercardioid Polar Pattern
In addition to the front-firing design of the capsule, the cardioid polar pattern minimizes pickup at the off-axis sections, eliminating ambient noise and reducing feedback.
High SPL Response
The C02 accurately reproduces signal at high sound pressure levels without noise or distortion.</t>
  </si>
  <si>
    <t>7 - Mint</t>
  </si>
  <si>
    <t>electronics</t>
  </si>
  <si>
    <t>eBay</t>
  </si>
  <si>
    <t>Test Item 3 (mid price sold for slight gain)</t>
  </si>
  <si>
    <t>Test 3</t>
  </si>
  <si>
    <t>Brown</t>
  </si>
  <si>
    <t>SES000013102</t>
  </si>
  <si>
    <t>The Shure 565DD-LC Classic Unisphere Vocal Microphone is a high-quality performance microphone compatible with three-pin XLR cables. It works with PA systems and is appropriate for both indoor and outdoor use. The Shure 565SD is a unidirectional handheld cardioid dynamic mic that offers clear vocals and a high-quality pop and wind filter. It is ideal for on-stage speeches, public addresses, karaoke, live performances, and more. A popular choice among vocalists, the 565SD microphone impresses in a variety of venues and environments. The Shure 565SD features a cardioid polar pattern, which is uniform with the frequency and symmetrical about the axis. The cardioid polar pattern focuses audio pickup in a single direction and filters out background and interfering vibration sound. It also eliminates speaker feedback and minimizes echoing in large rooms that are not completely filled. The Shure 565SD has a wire mesh design and a highly effective pop filter to prevent unwanted disruptive sound from holding the mic too close. It also works well outside thanks to its built-in wind filter. The Shure 565SD microphone features a shock-mounted cartridge to improve sound quality and provide consistent audio, even in environments with a high level of interference. A durable three-pin audio connector and a strong, detachable three-pin XLR cable make the 565SD microphone a reliable and long-lasting piece of gear. The Shure 565SD-LC model does not include the cable, but it is available separately. The Shure 565SD dynamic-type microphone has a frequency response of 50Hz to 15,000Hz. The dual-impedance microphone has an impedance rating of 50 ohms. It can accommodate both high-impedance and low-impedance microphone inputs. The Shure 565SD dynamic microphone’s low output level is -56.0 dB at 1,000Hz, and its high output level is -34.0 dB at 1,000Hz. It comes standard wired for low impedance. The Shure 565SD has a built-in silent magnetic reed on/off switch with an optional lock-on function. It can only be used with a cable. It can be used with or without a stand while still maintaining a solid interference filter, and it adapts well to the size of the space it is being used in. The Shure 565SD is appropriate for vocal performance, speeches, and lectures, and it will work in various sized rooms and venues, both indoor and outdoor. Accessories included with the Shure 565SD dynamic microphone are a detailed user guide and the assembled microphone. The only additional accessory required to use the mic is a three-pin XLR cable. More additional accessories for the Shure 565SD, like microphone clips, advanced wind screens, and additional cartridges, are also available. The 565SD measures 6.5 inches long by 2 inches across at its widest point and weighs 10.5 ounces without a cable connected. The Shure 565SD-LC Classic Unisphere Vocal Microphone is a solid performance microphone. It provides clear, true audio and filters out both natural and electronic interference. The Shure 565SD offers an effective solution to feedback issues and echoing in larger auditoriums. As a versatile stage mic, the Shure 565SD is a durable and reliable microphone.</t>
  </si>
  <si>
    <t>home-audio</t>
  </si>
  <si>
    <t>Test Item 4 (not sold yet)</t>
  </si>
  <si>
    <t>Test 4</t>
  </si>
  <si>
    <t>SES000013103</t>
  </si>
  <si>
    <t>Long Range Drone Extender
Easy Mounting
No modification, soldering or drilling is required for the 3 antenna Typhoon H Pro (Real Sense model) ST16 - remove stock antennas, mount the antenna and hook cables up - That's It!!
If you wish to move the 3rd antenna that is mounted internally on the Typhoon H ST16 (non Real Sense model) controller will need opened and 1 hole will need to be drilled - cable is provided
Compact design
The best long range antenna system your money can buy
Experience the benefit of linear polarized antennas with low signal rejection for superior video streaming
Comes with specific mounting system that fits the ST16 &amp; ST24 - 2 / 3 Antenna Model Ground Station
Specifically Designed and Works with the following Models:
Yuneec Typhoon H &amp; H PRO ST16 Ground Station - 2 / 3 antenna (2 &amp; 3 port)
Yuneec Tornado H920L ST24 Ground Station </t>
  </si>
  <si>
    <t>Test Item 5 (mid price sold for high gain)</t>
  </si>
  <si>
    <t>Test 5</t>
  </si>
  <si>
    <t>SES0000131011</t>
  </si>
  <si>
    <t>With the PSW S4 home cinema you can create a cinematic sound reproduction system in your own home. It allows you to reproduce high quality Dolby sound, thanks to its quality speakers, the sound can flow throughout the environment, achieving a surround acoustics throughout the space. It consists of five speakers and a subwoofer that acts as a high-power amplifier. Its great sound quality is achieved thanks to its bass reinforcement, mid-frequency clarity and ambient acoustic calibration.
Nominal specs:
FRONT SURROUND SPEAKERS
Driver Units: 8x2, 5” (1 active and 1 sympathetic per unit, 4 units total)
Frequency Response: 80Hz - 20KHz + 3DB
Sensitivity: 88DB / 1 Watt / 1 Meter
Nominal Impedance: 4-8 Ohms
CENTER SPEAKER
Driver Units: 2x2, 5”
Frequency Response: 80Hz - 20KHz + 3DB
Sensitivity: 88DB / 1 Watt / 1 Meter
Nominal Impedance: 4-8 ohms
SUBWOOFER
Driver: 6.5”
Frequency Response: 35Hz - 200Hz + 3DB
Sensitivity: 90DB / 1 Watt / 1 Meter
Nominal Impedance: 4-8 Ohms</t>
  </si>
  <si>
    <t>pro-audio</t>
  </si>
  <si>
    <t>Sale Payout Simulation</t>
  </si>
  <si>
    <t>Variables</t>
  </si>
  <si>
    <t>Reverb</t>
  </si>
  <si>
    <t>Facebook</t>
  </si>
  <si>
    <t>Gross Variables</t>
  </si>
  <si>
    <t>Sale Strike Price</t>
  </si>
  <si>
    <t>Sales Tax (avg 6%)</t>
  </si>
  <si>
    <t>Ship Via Platform (1=T, 0=F)</t>
  </si>
  <si>
    <t>Buyer Charged Amt</t>
  </si>
  <si>
    <t>Net Variables</t>
  </si>
  <si>
    <t>Final Value Fee (12.9%)</t>
  </si>
  <si>
    <t>Final Value Fee (3.19%)</t>
  </si>
  <si>
    <t>Final Value Fee (5% or $0.40 minimum)</t>
  </si>
  <si>
    <t>Cost of Aquisition</t>
  </si>
  <si>
    <t>Fixed Fee ($0.30)</t>
  </si>
  <si>
    <t>Fixed Fee ($0.49)</t>
  </si>
  <si>
    <t>Fixed Fee (none)</t>
  </si>
  <si>
    <t>Actual Shipping Cost</t>
  </si>
  <si>
    <t>Total Fees</t>
  </si>
  <si>
    <t>Final Payout</t>
  </si>
  <si>
    <t>Net Proceeds</t>
  </si>
  <si>
    <t>Max Acquisition Amount</t>
  </si>
  <si>
    <t>Avg Used Sale Price</t>
  </si>
  <si>
    <t>Desired Margin $</t>
  </si>
  <si>
    <t>Max Bid</t>
  </si>
  <si>
    <t>Acquisition Cost Variables</t>
  </si>
  <si>
    <t>Desired Margin %</t>
  </si>
  <si>
    <t>Buyer Premium %</t>
  </si>
  <si>
    <t>Tax %</t>
  </si>
  <si>
    <t>Cost of Requisition</t>
  </si>
  <si>
    <t>Cost to Sell</t>
  </si>
  <si>
    <t>Weighting Factor</t>
  </si>
</sst>
</file>

<file path=xl/styles.xml><?xml version="1.0" encoding="utf-8"?>
<styleSheet xmlns="http://schemas.openxmlformats.org/spreadsheetml/2006/main">
  <numFmts count="6">
    <numFmt numFmtId="0" formatCode="General"/>
    <numFmt numFmtId="59" formatCode="&quot;$&quot;0.00"/>
    <numFmt numFmtId="60" formatCode="0.0%"/>
    <numFmt numFmtId="61" formatCode="&quot; &quot;&quot;$&quot;* #,##0.00&quot; &quot;;&quot; &quot;&quot;$&quot;* (#,##0.00&quot;) &quot;;&quot; &quot;&quot;$&quot;* &quot;-&quot;??"/>
    <numFmt numFmtId="62" formatCode="&quot; &quot;&quot;$&quot;* #,##0&quot; &quot;;&quot; &quot;&quot;$&quot;* (#,##0&quot;) &quot;;&quot; &quot;&quot;$&quot;* &quot;-&quot;??"/>
    <numFmt numFmtId="63" formatCode="0.0#%"/>
  </numFmts>
  <fonts count="4">
    <font>
      <sz val="10"/>
      <color indexed="8"/>
      <name val="Helvetica Neue"/>
    </font>
    <font>
      <sz val="12"/>
      <color indexed="8"/>
      <name val="Helvetica Neue"/>
    </font>
    <font>
      <sz val="15"/>
      <color indexed="8"/>
      <name val="Calibri"/>
    </font>
    <font>
      <b val="1"/>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2"/>
        <bgColor auto="1"/>
      </patternFill>
    </fill>
  </fills>
  <borders count="18">
    <border>
      <left/>
      <right/>
      <top/>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9"/>
      </left>
      <right/>
      <top style="thin">
        <color indexed="19"/>
      </top>
      <bottom style="thin">
        <color indexed="20"/>
      </bottom>
      <diagonal/>
    </border>
    <border>
      <left/>
      <right/>
      <top style="thin">
        <color indexed="19"/>
      </top>
      <bottom style="thin">
        <color indexed="20"/>
      </bottom>
      <diagonal/>
    </border>
    <border>
      <left/>
      <right style="thin">
        <color indexed="19"/>
      </right>
      <top style="thin">
        <color indexed="19"/>
      </top>
      <bottom style="thin">
        <color indexed="20"/>
      </bottom>
      <diagonal/>
    </border>
    <border>
      <left style="thin">
        <color indexed="20"/>
      </left>
      <right style="thin">
        <color indexed="20"/>
      </right>
      <top style="thin">
        <color indexed="20"/>
      </top>
      <bottom style="thin">
        <color indexed="21"/>
      </bottom>
      <diagonal/>
    </border>
    <border>
      <left style="thin">
        <color indexed="20"/>
      </left>
      <right style="thin">
        <color indexed="20"/>
      </right>
      <top style="thin">
        <color indexed="21"/>
      </top>
      <bottom style="thin">
        <color indexed="20"/>
      </bottom>
      <diagonal/>
    </border>
    <border>
      <left style="thin">
        <color indexed="20"/>
      </left>
      <right style="thin">
        <color indexed="21"/>
      </right>
      <top style="thin">
        <color indexed="21"/>
      </top>
      <bottom style="thin">
        <color indexed="20"/>
      </bottom>
      <diagonal/>
    </border>
    <border>
      <left style="thin">
        <color indexed="21"/>
      </left>
      <right style="thin">
        <color indexed="20"/>
      </right>
      <top style="thin">
        <color indexed="21"/>
      </top>
      <bottom style="thin">
        <color indexed="20"/>
      </bottom>
      <diagonal/>
    </border>
    <border>
      <left style="thin">
        <color indexed="20"/>
      </left>
      <right style="thin">
        <color indexed="20"/>
      </right>
      <top style="thin">
        <color indexed="20"/>
      </top>
      <bottom style="thin">
        <color indexed="20"/>
      </bottom>
      <diagonal/>
    </border>
    <border>
      <left style="thin">
        <color indexed="20"/>
      </left>
      <right style="thin">
        <color indexed="21"/>
      </right>
      <top style="thin">
        <color indexed="20"/>
      </top>
      <bottom style="thin">
        <color indexed="20"/>
      </bottom>
      <diagonal/>
    </border>
    <border>
      <left style="thin">
        <color indexed="21"/>
      </left>
      <right style="thin">
        <color indexed="20"/>
      </right>
      <top style="thin">
        <color indexed="20"/>
      </top>
      <bottom style="thin">
        <color indexed="20"/>
      </bottom>
      <diagonal/>
    </border>
  </borders>
  <cellStyleXfs count="1">
    <xf numFmtId="0" fontId="0" applyNumberFormat="0" applyFont="1" applyFill="0" applyBorder="0" applyAlignment="1" applyProtection="0">
      <alignment vertical="top" wrapText="1"/>
    </xf>
  </cellStyleXfs>
  <cellXfs count="8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3" fillId="2" borderId="1" applyNumberFormat="0" applyFont="1" applyFill="1" applyBorder="1" applyAlignment="1" applyProtection="0">
      <alignment horizontal="center" vertical="center" wrapText="1"/>
    </xf>
    <xf numFmtId="0" fontId="3" fillId="2" borderId="2" applyNumberFormat="0" applyFont="1" applyFill="1" applyBorder="1" applyAlignment="1" applyProtection="0">
      <alignment horizontal="center" vertical="center" wrapText="1"/>
    </xf>
    <xf numFmtId="49" fontId="3" fillId="2" borderId="2" applyNumberFormat="1" applyFont="1" applyFill="1" applyBorder="1" applyAlignment="1" applyProtection="0">
      <alignment horizontal="center" vertical="center" wrapText="1"/>
    </xf>
    <xf numFmtId="49" fontId="3" fillId="2" borderId="3" applyNumberFormat="1" applyFont="1" applyFill="1" applyBorder="1" applyAlignment="1" applyProtection="0">
      <alignment horizontal="center" vertical="center" wrapText="1"/>
    </xf>
    <xf numFmtId="49" fontId="3" fillId="2" borderId="4" applyNumberFormat="1" applyFont="1" applyFill="1" applyBorder="1" applyAlignment="1" applyProtection="0">
      <alignment horizontal="center" vertical="center" wrapText="1"/>
    </xf>
    <xf numFmtId="49" fontId="3" fillId="2" borderId="5" applyNumberFormat="1" applyFont="1" applyFill="1" applyBorder="1" applyAlignment="1" applyProtection="0">
      <alignment horizontal="center" vertical="center" wrapText="1"/>
    </xf>
    <xf numFmtId="0" fontId="3" fillId="2" borderId="5" applyNumberFormat="0" applyFont="1" applyFill="1" applyBorder="1" applyAlignment="1" applyProtection="0">
      <alignment horizontal="center" vertical="center" wrapText="1"/>
    </xf>
    <xf numFmtId="49" fontId="3" fillId="2" borderId="6" applyNumberFormat="1" applyFont="1" applyFill="1" applyBorder="1" applyAlignment="1" applyProtection="0">
      <alignment horizontal="center" vertical="center" wrapText="1"/>
    </xf>
    <xf numFmtId="0" fontId="3" fillId="3" borderId="2"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49" fontId="0" fillId="4" borderId="2" applyNumberFormat="1" applyFont="1" applyFill="1" applyBorder="1" applyAlignment="1" applyProtection="0">
      <alignment vertical="top" wrapText="1"/>
    </xf>
    <xf numFmtId="0" fontId="0" fillId="4" borderId="2" applyNumberFormat="0" applyFont="1" applyFill="1" applyBorder="1" applyAlignment="1" applyProtection="0">
      <alignment vertical="top" wrapText="1"/>
    </xf>
    <xf numFmtId="49" fontId="0" fillId="4" borderId="2" applyNumberFormat="1" applyFont="1" applyFill="1" applyBorder="1" applyAlignment="1" applyProtection="0">
      <alignment vertical="top"/>
    </xf>
    <xf numFmtId="0" fontId="0" fillId="4" borderId="2" applyNumberFormat="1" applyFont="1" applyFill="1" applyBorder="1" applyAlignment="1" applyProtection="0">
      <alignment vertical="top" wrapText="1"/>
    </xf>
    <xf numFmtId="49" fontId="0" fillId="4" borderId="2" applyNumberFormat="1" applyFont="1" applyFill="1" applyBorder="1" applyAlignment="1" applyProtection="0">
      <alignment horizontal="left" vertical="top" wrapText="1" readingOrder="1"/>
    </xf>
    <xf numFmtId="2" fontId="0" fillId="4" borderId="2" applyNumberFormat="1" applyFont="1" applyFill="1" applyBorder="1" applyAlignment="1" applyProtection="0">
      <alignment vertical="top" wrapText="1"/>
    </xf>
    <xf numFmtId="59" fontId="0" fillId="4" borderId="2" applyNumberFormat="1" applyFont="1" applyFill="1" applyBorder="1" applyAlignment="1" applyProtection="0">
      <alignment vertical="top" wrapText="1"/>
    </xf>
    <xf numFmtId="14" fontId="0" fillId="4" borderId="2" applyNumberFormat="1" applyFont="1" applyFill="1" applyBorder="1" applyAlignment="1" applyProtection="0">
      <alignment vertical="top" wrapText="1"/>
    </xf>
    <xf numFmtId="59" fontId="0" fillId="5" borderId="2" applyNumberFormat="1" applyFont="1" applyFill="1" applyBorder="1" applyAlignment="1" applyProtection="0">
      <alignment vertical="top" wrapText="1"/>
    </xf>
    <xf numFmtId="59" fontId="0" fillId="6" borderId="2" applyNumberFormat="1" applyFont="1" applyFill="1" applyBorder="1" applyAlignment="1" applyProtection="0">
      <alignment vertical="top" wrapText="1"/>
    </xf>
    <xf numFmtId="9" fontId="0" fillId="4" borderId="2" applyNumberFormat="1" applyFont="1" applyFill="1" applyBorder="1" applyAlignment="1" applyProtection="0">
      <alignment vertical="top" wrapText="1"/>
    </xf>
    <xf numFmtId="0" fontId="0" fillId="5" borderId="2" applyNumberFormat="0" applyFont="1" applyFill="1" applyBorder="1" applyAlignment="1" applyProtection="0">
      <alignment vertical="top" wrapText="1"/>
    </xf>
    <xf numFmtId="0" fontId="0" fillId="5" borderId="2" applyNumberFormat="1" applyFont="1" applyFill="1" applyBorder="1" applyAlignment="1" applyProtection="0">
      <alignment vertical="top" wrapText="1"/>
    </xf>
    <xf numFmtId="10" fontId="0" fillId="5" borderId="2" applyNumberFormat="1" applyFont="1" applyFill="1" applyBorder="1" applyAlignment="1" applyProtection="0">
      <alignment vertical="top" wrapText="1"/>
    </xf>
    <xf numFmtId="0" fontId="3" fillId="3" borderId="7" applyNumberFormat="1" applyFont="1" applyFill="1" applyBorder="1" applyAlignment="1" applyProtection="0">
      <alignment vertical="top" wrapText="1"/>
    </xf>
    <xf numFmtId="49" fontId="3" fillId="3" borderId="7" applyNumberFormat="1" applyFont="1" applyFill="1" applyBorder="1" applyAlignment="1" applyProtection="0">
      <alignment vertical="top" wrapText="1"/>
    </xf>
    <xf numFmtId="49" fontId="0" fillId="4" borderId="7" applyNumberFormat="1" applyFont="1" applyFill="1" applyBorder="1" applyAlignment="1" applyProtection="0">
      <alignment vertical="top" wrapText="1"/>
    </xf>
    <xf numFmtId="0" fontId="0" fillId="4" borderId="7" applyNumberFormat="0" applyFont="1" applyFill="1" applyBorder="1" applyAlignment="1" applyProtection="0">
      <alignment vertical="top" wrapText="1"/>
    </xf>
    <xf numFmtId="0" fontId="0" fillId="4" borderId="7" applyNumberFormat="1" applyFont="1" applyFill="1" applyBorder="1" applyAlignment="1" applyProtection="0">
      <alignment vertical="top" wrapText="1"/>
    </xf>
    <xf numFmtId="2" fontId="0" fillId="4" borderId="7" applyNumberFormat="1" applyFont="1" applyFill="1" applyBorder="1" applyAlignment="1" applyProtection="0">
      <alignment vertical="top" wrapText="1"/>
    </xf>
    <xf numFmtId="59" fontId="0" fillId="4" borderId="7" applyNumberFormat="1" applyFont="1" applyFill="1" applyBorder="1" applyAlignment="1" applyProtection="0">
      <alignment vertical="top" wrapText="1"/>
    </xf>
    <xf numFmtId="14" fontId="0" fillId="4" borderId="7" applyNumberFormat="1" applyFont="1" applyFill="1" applyBorder="1" applyAlignment="1" applyProtection="0">
      <alignment vertical="top" wrapText="1"/>
    </xf>
    <xf numFmtId="59" fontId="0" fillId="5" borderId="7" applyNumberFormat="1" applyFont="1" applyFill="1" applyBorder="1" applyAlignment="1" applyProtection="0">
      <alignment vertical="top" wrapText="1"/>
    </xf>
    <xf numFmtId="59" fontId="0" fillId="6" borderId="7" applyNumberFormat="1" applyFont="1" applyFill="1" applyBorder="1" applyAlignment="1" applyProtection="0">
      <alignment vertical="top" wrapText="1"/>
    </xf>
    <xf numFmtId="9" fontId="0" fillId="4" borderId="7" applyNumberFormat="1" applyFont="1" applyFill="1" applyBorder="1" applyAlignment="1" applyProtection="0">
      <alignment vertical="top" wrapText="1"/>
    </xf>
    <xf numFmtId="0" fontId="0" fillId="5" borderId="7" applyNumberFormat="1" applyFont="1" applyFill="1" applyBorder="1" applyAlignment="1" applyProtection="0">
      <alignment vertical="top" wrapText="1"/>
    </xf>
    <xf numFmtId="10" fontId="0" fillId="5" borderId="7" applyNumberFormat="1" applyFont="1" applyFill="1" applyBorder="1" applyAlignment="1" applyProtection="0">
      <alignment vertical="top" wrapText="1"/>
    </xf>
    <xf numFmtId="49" fontId="0" fillId="4" borderId="7" applyNumberFormat="1" applyFont="1" applyFill="1" applyBorder="1" applyAlignment="1" applyProtection="0">
      <alignment vertical="top"/>
    </xf>
    <xf numFmtId="49" fontId="0" fillId="5" borderId="7" applyNumberFormat="1" applyFont="1" applyFill="1" applyBorder="1" applyAlignment="1" applyProtection="0">
      <alignment vertical="top" wrapText="1"/>
    </xf>
    <xf numFmtId="60" fontId="0" fillId="4"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1" fillId="4" borderId="8" applyNumberFormat="1" applyFont="1" applyFill="1" applyBorder="1" applyAlignment="1" applyProtection="0">
      <alignment horizontal="center" vertical="center"/>
    </xf>
    <xf numFmtId="0" fontId="1" fillId="4" borderId="9" applyNumberFormat="0" applyFont="1" applyFill="1" applyBorder="1" applyAlignment="1" applyProtection="0">
      <alignment horizontal="center" vertical="center"/>
    </xf>
    <xf numFmtId="0" fontId="1" fillId="4" borderId="10" applyNumberFormat="0" applyFont="1" applyFill="1" applyBorder="1" applyAlignment="1" applyProtection="0">
      <alignment horizontal="center" vertical="center"/>
    </xf>
    <xf numFmtId="49" fontId="3" fillId="2" borderId="11" applyNumberFormat="1" applyFont="1" applyFill="1" applyBorder="1" applyAlignment="1" applyProtection="0">
      <alignment horizontal="center" vertical="top" wrapText="1"/>
    </xf>
    <xf numFmtId="0" fontId="3" fillId="2" borderId="11" applyNumberFormat="0" applyFont="1" applyFill="1" applyBorder="1" applyAlignment="1" applyProtection="0">
      <alignment vertical="top" wrapText="1"/>
    </xf>
    <xf numFmtId="49" fontId="3" fillId="3" borderId="12" applyNumberFormat="1" applyFont="1" applyFill="1" applyBorder="1" applyAlignment="1" applyProtection="0">
      <alignment horizontal="center" vertical="bottom" wrapText="1"/>
    </xf>
    <xf numFmtId="0" fontId="3" fillId="3" borderId="13" applyNumberFormat="0" applyFont="1" applyFill="1" applyBorder="1" applyAlignment="1" applyProtection="0">
      <alignment vertical="top" wrapText="1"/>
    </xf>
    <xf numFmtId="49" fontId="0" fillId="4" borderId="14" applyNumberFormat="1" applyFont="1" applyFill="1" applyBorder="1" applyAlignment="1" applyProtection="0">
      <alignment vertical="top" wrapText="1"/>
    </xf>
    <xf numFmtId="59" fontId="0" fillId="4" borderId="12" applyNumberFormat="1" applyFont="1" applyFill="1" applyBorder="1" applyAlignment="1" applyProtection="0">
      <alignment vertical="top" wrapText="1"/>
    </xf>
    <xf numFmtId="49" fontId="0" fillId="4" borderId="12" applyNumberFormat="1" applyFont="1" applyFill="1" applyBorder="1" applyAlignment="1" applyProtection="0">
      <alignment vertical="top" wrapText="1"/>
    </xf>
    <xf numFmtId="49" fontId="3" fillId="3" borderId="15" applyNumberFormat="1" applyFont="1" applyFill="1" applyBorder="1" applyAlignment="1" applyProtection="0">
      <alignment vertical="top" wrapText="1"/>
    </xf>
    <xf numFmtId="59" fontId="3" fillId="3" borderId="16" applyNumberFormat="1" applyFont="1" applyFill="1" applyBorder="1" applyAlignment="1" applyProtection="0">
      <alignment vertical="top" wrapText="1"/>
    </xf>
    <xf numFmtId="49" fontId="0" fillId="4" borderId="17" applyNumberFormat="1" applyFont="1" applyFill="1" applyBorder="1" applyAlignment="1" applyProtection="0">
      <alignment vertical="top" wrapText="1"/>
    </xf>
    <xf numFmtId="59" fontId="0" fillId="4" borderId="15"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3" fillId="3" borderId="16" applyNumberFormat="1" applyFont="1" applyFill="1" applyBorder="1" applyAlignment="1" applyProtection="0">
      <alignment vertical="top" wrapText="1"/>
    </xf>
    <xf numFmtId="49" fontId="3" fillId="3" borderId="15" applyNumberFormat="1" applyFont="1" applyFill="1" applyBorder="1" applyAlignment="1" applyProtection="0">
      <alignment horizontal="center" vertical="bottom" wrapText="1"/>
    </xf>
    <xf numFmtId="0" fontId="3" fillId="3" borderId="16" applyNumberFormat="0" applyFont="1" applyFill="1" applyBorder="1" applyAlignment="1" applyProtection="0">
      <alignment vertical="top" wrapText="1"/>
    </xf>
    <xf numFmtId="0" fontId="3" fillId="3" borderId="15" applyNumberFormat="0" applyFont="1" applyFill="1" applyBorder="1" applyAlignment="1" applyProtection="0">
      <alignment vertical="top" wrapText="1"/>
    </xf>
    <xf numFmtId="49" fontId="3" fillId="4" borderId="17" applyNumberFormat="1" applyFont="1" applyFill="1" applyBorder="1" applyAlignment="1" applyProtection="0">
      <alignment vertical="top" wrapText="1"/>
    </xf>
    <xf numFmtId="59" fontId="3" fillId="4" borderId="15" applyNumberFormat="1" applyFont="1" applyFill="1" applyBorder="1" applyAlignment="1" applyProtection="0">
      <alignment vertical="top" wrapText="1"/>
    </xf>
    <xf numFmtId="49" fontId="3" fillId="4" borderId="1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3" fillId="7" borderId="11" applyNumberFormat="1" applyFont="1" applyFill="1" applyBorder="1" applyAlignment="1" applyProtection="0">
      <alignment vertical="top" wrapText="1"/>
    </xf>
    <xf numFmtId="61" fontId="0" fillId="4" borderId="13" applyNumberFormat="1" applyFont="1" applyFill="1" applyBorder="1" applyAlignment="1" applyProtection="0">
      <alignment vertical="top" wrapText="1"/>
    </xf>
    <xf numFmtId="61" fontId="0" fillId="4" borderId="14" applyNumberFormat="1" applyFont="1" applyFill="1" applyBorder="1" applyAlignment="1" applyProtection="0">
      <alignment vertical="top" wrapText="1"/>
    </xf>
    <xf numFmtId="62" fontId="3" fillId="7" borderId="12" applyNumberFormat="1" applyFont="1" applyFill="1" applyBorder="1" applyAlignment="1" applyProtection="0">
      <alignment vertical="top" wrapText="1"/>
    </xf>
    <xf numFmtId="61" fontId="0" fillId="4" borderId="16" applyNumberFormat="1" applyFont="1" applyFill="1" applyBorder="1" applyAlignment="1" applyProtection="0">
      <alignment vertical="top" wrapText="1"/>
    </xf>
    <xf numFmtId="61" fontId="0" fillId="4" borderId="17" applyNumberFormat="1" applyFont="1" applyFill="1" applyBorder="1" applyAlignment="1" applyProtection="0">
      <alignment vertical="top" wrapText="1"/>
    </xf>
    <xf numFmtId="62" fontId="3" fillId="7" borderId="1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3" fillId="2" borderId="11" applyNumberFormat="1" applyFont="1" applyFill="1" applyBorder="1" applyAlignment="1" applyProtection="0">
      <alignment vertical="top" wrapText="1"/>
    </xf>
    <xf numFmtId="60" fontId="0" fillId="4" borderId="12" applyNumberFormat="1" applyFont="1" applyFill="1" applyBorder="1" applyAlignment="1" applyProtection="0">
      <alignment vertical="top" wrapText="1"/>
    </xf>
    <xf numFmtId="9" fontId="0" fillId="4" borderId="12" applyNumberFormat="1" applyFont="1" applyFill="1" applyBorder="1" applyAlignment="1" applyProtection="0">
      <alignment vertical="top" wrapText="1"/>
    </xf>
    <xf numFmtId="63" fontId="0" fillId="4" borderId="12" applyNumberFormat="1" applyFont="1" applyFill="1" applyBorder="1" applyAlignment="1" applyProtection="0">
      <alignment vertical="top" wrapText="1"/>
    </xf>
    <xf numFmtId="61" fontId="0" fillId="4" borderId="12" applyNumberFormat="1" applyFont="1" applyFill="1" applyBorder="1" applyAlignment="1" applyProtection="0">
      <alignment vertical="top" wrapText="1"/>
    </xf>
    <xf numFmtId="0" fontId="0" fillId="4" borderId="12" applyNumberFormat="1" applyFont="1" applyFill="1" applyBorder="1" applyAlignment="1" applyProtection="0">
      <alignment vertical="top" wrapText="1"/>
    </xf>
  </cellXfs>
  <cellStyles count="1">
    <cellStyle name="Normal" xfId="0" builtinId="0"/>
  </cellStyles>
  <dxfs count="4">
    <dxf>
      <font>
        <color rgb="ff000000"/>
      </font>
      <fill>
        <patternFill patternType="solid">
          <fgColor indexed="11"/>
          <bgColor indexed="12"/>
        </patternFill>
      </fill>
    </dxf>
    <dxf>
      <font>
        <color rgb="ff000000"/>
      </font>
      <fill>
        <patternFill patternType="solid">
          <fgColor indexed="11"/>
          <bgColor indexed="12"/>
        </patternFill>
      </fill>
    </dxf>
    <dxf>
      <font>
        <color rgb="ff000000"/>
      </font>
      <fill>
        <patternFill patternType="solid">
          <fgColor indexed="11"/>
          <bgColor indexed="13"/>
        </patternFill>
      </fill>
    </dxf>
    <dxf>
      <font>
        <color rgb="ff000000"/>
      </font>
      <fill>
        <patternFill patternType="solid">
          <fgColor indexed="11"/>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7a7a7"/>
      <rgbColor rgb="00000000"/>
      <rgbColor rgb="fffffc98"/>
      <rgbColor rgb="ffff9781"/>
      <rgbColor rgb="ffafe489"/>
      <rgbColor rgb="ffdbdbdb"/>
      <rgbColor rgb="ffffffff"/>
      <rgbColor rgb="ffefefef"/>
      <rgbColor rgb="ff72fce9"/>
      <rgbColor rgb="ffaaaaaa"/>
      <rgbColor rgb="ffa5a5a5"/>
      <rgbColor rgb="ff3f3f3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X7"/>
  <sheetViews>
    <sheetView workbookViewId="0" showGridLines="0" defaultGridColor="1"/>
  </sheetViews>
  <sheetFormatPr defaultColWidth="16.3333" defaultRowHeight="19.9" customHeight="1" outlineLevelRow="0" outlineLevelCol="0"/>
  <cols>
    <col min="1" max="1" width="4.17188" style="1" customWidth="1"/>
    <col min="2" max="2" width="34.3516" style="1" customWidth="1"/>
    <col min="3" max="3" width="12.3516" style="1" customWidth="1"/>
    <col min="4" max="4" width="12.6719" style="1" customWidth="1"/>
    <col min="5" max="5" width="6.35156" style="1" customWidth="1"/>
    <col min="6" max="8" width="14" style="1" customWidth="1"/>
    <col min="9" max="9" width="4.85156" style="1" customWidth="1"/>
    <col min="10" max="10" width="9.17188" style="1" customWidth="1"/>
    <col min="11" max="11" width="5.35156" style="1" customWidth="1"/>
    <col min="12" max="12" width="15.1719" style="1" customWidth="1"/>
    <col min="13" max="13" width="8.85156" style="1" customWidth="1"/>
    <col min="14" max="14" width="8.67188" style="1" customWidth="1"/>
    <col min="15" max="15" width="8.5" style="1" customWidth="1"/>
    <col min="16" max="16" width="9.67188" style="1" customWidth="1"/>
    <col min="17" max="17" width="10.5" style="1" customWidth="1"/>
    <col min="18" max="19" width="8.5" style="1" customWidth="1"/>
    <col min="20" max="20" width="8.67188" style="1" customWidth="1"/>
    <col min="21" max="21" width="9" style="1" customWidth="1"/>
    <col min="22" max="22" width="9.35156" style="1" customWidth="1"/>
    <col min="23" max="23" width="8.17188" style="1" customWidth="1"/>
    <col min="24" max="24" width="9.85156" style="1" customWidth="1"/>
    <col min="25" max="25" width="9.5" style="1" customWidth="1"/>
    <col min="26" max="26" width="11.1719" style="1" customWidth="1"/>
    <col min="27" max="27" width="9.5" style="1" customWidth="1"/>
    <col min="28" max="28" width="10.6719" style="1" customWidth="1"/>
    <col min="29" max="29" width="8.5" style="1" customWidth="1"/>
    <col min="30" max="30" width="8.17188" style="1" customWidth="1"/>
    <col min="31" max="31" width="9.35156" style="1" customWidth="1"/>
    <col min="32" max="32" width="10.3516" style="1" customWidth="1"/>
    <col min="33" max="33" width="8.5" style="1" customWidth="1"/>
    <col min="34" max="34" width="10.6719" style="1" customWidth="1"/>
    <col min="35" max="36" width="10" style="1" customWidth="1"/>
    <col min="37" max="37" width="11.5" style="1" customWidth="1"/>
    <col min="38" max="38" width="10.1719" style="1" customWidth="1"/>
    <col min="39" max="39" width="11" style="1" customWidth="1"/>
    <col min="40" max="40" width="9.5" style="1" customWidth="1"/>
    <col min="41" max="41" width="12" style="1" customWidth="1"/>
    <col min="42" max="44" width="8.85156" style="1" customWidth="1"/>
    <col min="45" max="45" width="10.1719" style="1" customWidth="1"/>
    <col min="46" max="46" width="11" style="1" customWidth="1"/>
    <col min="47" max="47" width="10.8516" style="1" customWidth="1"/>
    <col min="48" max="48" width="11" style="1" customWidth="1"/>
    <col min="49" max="49" width="11.5" style="1" customWidth="1"/>
    <col min="50" max="50" width="11.3516" style="1" customWidth="1"/>
    <col min="51" max="16384" width="16.3516" style="1" customWidth="1"/>
  </cols>
  <sheetData>
    <row r="1" ht="56.05" customHeight="1">
      <c r="A1" s="2"/>
      <c r="B1" s="3"/>
      <c r="C1" t="s" s="4">
        <v>0</v>
      </c>
      <c r="D1" t="s" s="4">
        <v>1</v>
      </c>
      <c r="E1" t="s" s="4">
        <v>2</v>
      </c>
      <c r="F1" t="s" s="4">
        <v>3</v>
      </c>
      <c r="G1" t="s" s="4">
        <v>4</v>
      </c>
      <c r="H1" t="s" s="4">
        <v>5</v>
      </c>
      <c r="I1" t="s" s="4">
        <v>6</v>
      </c>
      <c r="J1" t="s" s="4">
        <v>7</v>
      </c>
      <c r="K1" t="s" s="4">
        <v>8</v>
      </c>
      <c r="L1" t="s" s="4">
        <v>9</v>
      </c>
      <c r="M1" t="s" s="4">
        <v>10</v>
      </c>
      <c r="N1" t="s" s="4">
        <v>11</v>
      </c>
      <c r="O1" t="s" s="4">
        <v>12</v>
      </c>
      <c r="P1" t="s" s="4">
        <v>13</v>
      </c>
      <c r="Q1" t="s" s="4">
        <v>14</v>
      </c>
      <c r="R1" t="s" s="4">
        <v>15</v>
      </c>
      <c r="S1" t="s" s="4">
        <v>16</v>
      </c>
      <c r="T1" t="s" s="4">
        <v>17</v>
      </c>
      <c r="U1" t="s" s="4">
        <v>18</v>
      </c>
      <c r="V1" t="s" s="4">
        <v>19</v>
      </c>
      <c r="W1" t="s" s="4">
        <v>20</v>
      </c>
      <c r="X1" t="s" s="4">
        <v>21</v>
      </c>
      <c r="Y1" t="s" s="4">
        <v>22</v>
      </c>
      <c r="Z1" t="s" s="4">
        <v>23</v>
      </c>
      <c r="AA1" t="s" s="4">
        <v>24</v>
      </c>
      <c r="AB1" t="s" s="4">
        <v>25</v>
      </c>
      <c r="AC1" t="s" s="4">
        <v>26</v>
      </c>
      <c r="AD1" t="s" s="4">
        <v>27</v>
      </c>
      <c r="AE1" t="s" s="4">
        <v>28</v>
      </c>
      <c r="AF1" t="s" s="4">
        <v>29</v>
      </c>
      <c r="AG1" t="s" s="4">
        <v>30</v>
      </c>
      <c r="AH1" t="s" s="4">
        <v>31</v>
      </c>
      <c r="AI1" t="s" s="4">
        <v>32</v>
      </c>
      <c r="AJ1" t="s" s="4">
        <v>33</v>
      </c>
      <c r="AK1" t="s" s="4">
        <v>34</v>
      </c>
      <c r="AL1" t="s" s="4">
        <v>35</v>
      </c>
      <c r="AM1" t="s" s="4">
        <v>36</v>
      </c>
      <c r="AN1" t="s" s="4">
        <v>37</v>
      </c>
      <c r="AO1" t="s" s="4">
        <v>38</v>
      </c>
      <c r="AP1" t="s" s="4">
        <v>39</v>
      </c>
      <c r="AQ1" t="s" s="4">
        <v>40</v>
      </c>
      <c r="AR1" t="s" s="4">
        <v>41</v>
      </c>
      <c r="AS1" t="s" s="4">
        <v>42</v>
      </c>
      <c r="AT1" t="s" s="4">
        <v>43</v>
      </c>
      <c r="AU1" t="s" s="4">
        <v>44</v>
      </c>
      <c r="AV1" t="s" s="4">
        <v>45</v>
      </c>
      <c r="AW1" t="s" s="4">
        <v>46</v>
      </c>
      <c r="AX1" t="s" s="5">
        <v>47</v>
      </c>
    </row>
    <row r="2" ht="56.25" customHeight="1">
      <c r="A2" t="s" s="6">
        <v>48</v>
      </c>
      <c r="B2" t="s" s="7">
        <v>49</v>
      </c>
      <c r="C2" s="7"/>
      <c r="D2" s="7"/>
      <c r="E2" s="7"/>
      <c r="F2" s="7"/>
      <c r="G2" s="7"/>
      <c r="H2" s="7"/>
      <c r="I2" s="8"/>
      <c r="J2" s="8"/>
      <c r="K2" s="8"/>
      <c r="L2" s="7"/>
      <c r="M2" s="8"/>
      <c r="N2" s="8"/>
      <c r="O2" s="8"/>
      <c r="P2" s="8"/>
      <c r="Q2" t="s" s="7">
        <f>"A: "&amp;AVERAGE(Q3:Q7)</f>
        <v>50</v>
      </c>
      <c r="R2" s="8"/>
      <c r="S2" s="8"/>
      <c r="T2" s="8"/>
      <c r="U2" s="8"/>
      <c r="V2" t="s" s="7">
        <f>"A: "&amp;AVERAGE(V3:V7)</f>
        <v>51</v>
      </c>
      <c r="W2" t="s" s="7">
        <f>"A: "&amp;AVERAGE(W3:W7)</f>
        <v>52</v>
      </c>
      <c r="X2" t="s" s="7">
        <f>"A: "&amp;AVERAGE(X3:X7)</f>
        <v>53</v>
      </c>
      <c r="Y2" t="s" s="7">
        <f>"A: "&amp;AVERAGE(Y3:Y7)</f>
        <v>53</v>
      </c>
      <c r="Z2" s="8"/>
      <c r="AA2" s="8"/>
      <c r="AB2" s="8"/>
      <c r="AC2" s="8"/>
      <c r="AD2" s="8"/>
      <c r="AE2" t="s" s="7">
        <f>"A: "&amp;AVERAGE(AE3:AE7)</f>
        <v>54</v>
      </c>
      <c r="AF2" t="s" s="7">
        <v>55</v>
      </c>
      <c r="AG2" s="8"/>
      <c r="AH2" s="8"/>
      <c r="AI2" t="s" s="7">
        <v>56</v>
      </c>
      <c r="AJ2" t="s" s="7">
        <v>57</v>
      </c>
      <c r="AK2" t="s" s="7">
        <f>"S: "&amp;SUM(AK3:AK7)</f>
        <v>58</v>
      </c>
      <c r="AL2" t="s" s="7">
        <f>"A: "&amp;AVERAGE(AL3:AL7)</f>
        <v>59</v>
      </c>
      <c r="AM2" t="s" s="7">
        <f>"S: "&amp;SUM(AM3:AM7)</f>
        <v>60</v>
      </c>
      <c r="AN2" t="s" s="7">
        <f>"S: "&amp;SUM(AN3:AN7)</f>
        <v>61</v>
      </c>
      <c r="AO2" t="s" s="7">
        <f>_xlfn.IFERROR("A: "&amp;AVERAGE(AO3:AO7),"")</f>
      </c>
      <c r="AP2" t="s" s="7">
        <f>"A: "&amp;AVERAGE(AP3:AP7)</f>
        <v>62</v>
      </c>
      <c r="AQ2" t="s" s="7">
        <f>"S: "&amp;SUM(AQ3:AQ7)</f>
        <v>63</v>
      </c>
      <c r="AR2" t="s" s="7">
        <f>"A: "&amp;AVERAGE(AR3:AR7)</f>
        <v>64</v>
      </c>
      <c r="AS2" t="s" s="7">
        <f>"A: "&amp;AVERAGE(AS3:AS7)</f>
        <v>65</v>
      </c>
      <c r="AT2" t="s" s="7">
        <f>"S: "&amp;SUM(AT3:AT7)</f>
        <v>66</v>
      </c>
      <c r="AU2" t="s" s="7">
        <f>"A: "&amp;AVERAGE(AU3:AU7)</f>
        <v>67</v>
      </c>
      <c r="AV2" t="s" s="7">
        <f>"A: "&amp;AVERAGE(AV3:AV7)</f>
        <v>68</v>
      </c>
      <c r="AW2" t="s" s="7">
        <f>"A: "&amp;AVERAGE(AW3:AW7)</f>
        <v>69</v>
      </c>
      <c r="AX2" t="s" s="9">
        <f>"S: "&amp;SUM(AX3:AX7)</f>
        <v>70</v>
      </c>
    </row>
    <row r="3" ht="32.25" customHeight="1">
      <c r="A3" s="10">
        <v>1</v>
      </c>
      <c r="B3" t="s" s="11">
        <v>71</v>
      </c>
      <c r="C3" t="s" s="12">
        <v>72</v>
      </c>
      <c r="D3" t="s" s="12">
        <v>72</v>
      </c>
      <c r="E3" t="s" s="12">
        <v>73</v>
      </c>
      <c r="F3" t="s" s="12">
        <v>74</v>
      </c>
      <c r="G3" s="13"/>
      <c r="H3" t="s" s="14">
        <v>75</v>
      </c>
      <c r="I3" s="15">
        <v>1</v>
      </c>
      <c r="J3" t="s" s="12">
        <v>76</v>
      </c>
      <c r="K3" t="s" s="12">
        <v>77</v>
      </c>
      <c r="L3" t="s" s="16">
        <v>78</v>
      </c>
      <c r="M3" s="17">
        <v>5</v>
      </c>
      <c r="N3" s="17">
        <v>11</v>
      </c>
      <c r="O3" s="17">
        <v>4</v>
      </c>
      <c r="P3" s="17">
        <v>5</v>
      </c>
      <c r="Q3" s="18">
        <v>0</v>
      </c>
      <c r="R3" t="s" s="12">
        <v>79</v>
      </c>
      <c r="S3" t="s" s="12">
        <v>77</v>
      </c>
      <c r="T3" s="19">
        <v>44562</v>
      </c>
      <c r="U3" s="18">
        <v>0</v>
      </c>
      <c r="V3" s="18">
        <v>0</v>
      </c>
      <c r="W3" s="18">
        <v>0</v>
      </c>
      <c r="X3" s="18">
        <v>0</v>
      </c>
      <c r="Y3" s="18">
        <v>0</v>
      </c>
      <c r="Z3" s="20">
        <f>U3+V3+W3+X3+Y3</f>
        <v>0</v>
      </c>
      <c r="AA3" s="20">
        <f>Z3*1.3</f>
        <v>0</v>
      </c>
      <c r="AB3" s="21">
        <f>AA3*1.25</f>
        <v>0</v>
      </c>
      <c r="AC3" s="19">
        <v>44593</v>
      </c>
      <c r="AD3" s="18">
        <v>0</v>
      </c>
      <c r="AE3" s="22">
        <v>0.03</v>
      </c>
      <c r="AF3" s="23">
        <f>IF(ISBLANK(AC3),"",AC3-T3)</f>
        <v>31</v>
      </c>
      <c r="AG3" s="19">
        <v>44621</v>
      </c>
      <c r="AH3" s="13"/>
      <c r="AI3" s="24">
        <f>IF(ISBLANK(AG3),"",AG3-AC3)</f>
        <v>28</v>
      </c>
      <c r="AJ3" s="24">
        <f>IF(ISBLANK(AG3),"",AI3+AF3)</f>
        <v>59</v>
      </c>
      <c r="AK3" s="18">
        <v>0</v>
      </c>
      <c r="AL3" s="20">
        <f>IF(ISBLANK(AG3),"",AK3-AD3)</f>
        <v>0</v>
      </c>
      <c r="AM3" s="18">
        <v>0.06</v>
      </c>
      <c r="AN3" s="18">
        <v>0.08</v>
      </c>
      <c r="AO3" s="18"/>
      <c r="AP3" s="18">
        <v>10</v>
      </c>
      <c r="AQ3" s="18">
        <v>1</v>
      </c>
      <c r="AR3" s="18">
        <v>5</v>
      </c>
      <c r="AS3" s="20">
        <f>IF(ISBLANK(AG3),"",AP3-(AR3+AQ3))</f>
        <v>4</v>
      </c>
      <c r="AT3" s="20">
        <f>IF(ISBLANK(AG3),"",AK3-AM3-AN3-AO3+AS3)</f>
        <v>3.86</v>
      </c>
      <c r="AU3" s="20">
        <f>IF(ISBLANK(AG3),"",AT3-AA3)</f>
        <v>3.86</v>
      </c>
      <c r="AV3" s="25">
        <f>IF(ISBLANK(AG3),"",(AW3-0.3))</f>
        <v>0.7</v>
      </c>
      <c r="AW3" s="25">
        <f>IF(ISBLANK(AG3),"",IF(Z3=0,1,(AT3/Z3)-1))</f>
        <v>1</v>
      </c>
      <c r="AX3" s="18">
        <f>IF(ISBLANK(AG3),"",AT3-Z3)</f>
        <v>3.86</v>
      </c>
    </row>
    <row r="4" ht="53.4" customHeight="1">
      <c r="A4" s="26">
        <v>2</v>
      </c>
      <c r="B4" t="s" s="27">
        <v>80</v>
      </c>
      <c r="C4" t="s" s="28">
        <v>81</v>
      </c>
      <c r="D4" t="s" s="28">
        <v>81</v>
      </c>
      <c r="E4" t="s" s="28">
        <v>82</v>
      </c>
      <c r="F4" t="s" s="28">
        <v>83</v>
      </c>
      <c r="G4" s="29"/>
      <c r="H4" t="s" s="28">
        <v>84</v>
      </c>
      <c r="I4" s="30">
        <v>1</v>
      </c>
      <c r="J4" t="s" s="28">
        <v>85</v>
      </c>
      <c r="K4" t="s" s="28">
        <v>79</v>
      </c>
      <c r="L4" t="s" s="28">
        <v>86</v>
      </c>
      <c r="M4" s="31"/>
      <c r="N4" s="31"/>
      <c r="O4" s="31"/>
      <c r="P4" s="31"/>
      <c r="Q4" s="32">
        <v>35</v>
      </c>
      <c r="R4" t="s" s="28">
        <v>79</v>
      </c>
      <c r="S4" t="s" s="28">
        <v>77</v>
      </c>
      <c r="T4" s="33">
        <v>44896</v>
      </c>
      <c r="U4" s="32">
        <v>265</v>
      </c>
      <c r="V4" s="32">
        <f>U4*0.18</f>
        <v>47.7</v>
      </c>
      <c r="W4" s="32">
        <f>(U4+V4)*0.0635</f>
        <v>19.85645</v>
      </c>
      <c r="X4" s="32">
        <v>0</v>
      </c>
      <c r="Y4" s="32">
        <v>0</v>
      </c>
      <c r="Z4" s="34">
        <f>U4+V4+W4+X4+Y4</f>
        <v>332.55645</v>
      </c>
      <c r="AA4" s="34">
        <f>Z4*1.3</f>
        <v>432.323385</v>
      </c>
      <c r="AB4" s="35">
        <f>AA4*1.25</f>
        <v>540.40423125</v>
      </c>
      <c r="AC4" s="33">
        <v>44908</v>
      </c>
      <c r="AD4" s="32">
        <v>425</v>
      </c>
      <c r="AE4" s="36"/>
      <c r="AF4" s="37">
        <f>IF(ISBLANK(AC4),"",AC4-T4)</f>
        <v>12</v>
      </c>
      <c r="AG4" s="33">
        <v>44909</v>
      </c>
      <c r="AH4" t="s" s="28">
        <v>87</v>
      </c>
      <c r="AI4" s="37">
        <f>IF(ISBLANK(AG4),"",AG4-AC4)</f>
        <v>1</v>
      </c>
      <c r="AJ4" s="37">
        <f>IF(ISBLANK(AG4),"",AI4+AF4)</f>
        <v>13</v>
      </c>
      <c r="AK4" s="32">
        <v>399</v>
      </c>
      <c r="AL4" s="34">
        <f>IF(ISBLANK(AG4),"",AK4-AD4)</f>
        <v>-26</v>
      </c>
      <c r="AM4" s="32">
        <v>59.65</v>
      </c>
      <c r="AN4" s="32">
        <v>13.8</v>
      </c>
      <c r="AO4" s="32"/>
      <c r="AP4" s="32">
        <v>35</v>
      </c>
      <c r="AQ4" s="32">
        <v>5</v>
      </c>
      <c r="AR4" s="32">
        <v>29.85</v>
      </c>
      <c r="AS4" s="34">
        <f>IF(ISBLANK(AG4),"",AP4-(AR4+AQ4))</f>
        <v>0.15</v>
      </c>
      <c r="AT4" s="34">
        <f>IF(ISBLANK(AG4),"",AK4-AM4-AN4-AO4+AS4)</f>
        <v>325.7</v>
      </c>
      <c r="AU4" s="34">
        <f>IF(ISBLANK(AG4),"",AT4-AA4)</f>
        <v>-106.623385</v>
      </c>
      <c r="AV4" s="38">
        <f>IF(ISBLANK(AG4),"",(AW4-0.3))</f>
        <v>-0.32061740194785</v>
      </c>
      <c r="AW4" s="38">
        <f>IF(ISBLANK(AG4),"",IF(Z4=0,1,(AT4/Z4)-1))</f>
        <v>-0.0206174019478498</v>
      </c>
      <c r="AX4" s="32">
        <f>IF(ISBLANK(AG4),"",AT4-Z4)</f>
        <v>-6.85645</v>
      </c>
    </row>
    <row r="5" ht="20.05" customHeight="1">
      <c r="A5" s="26">
        <v>3</v>
      </c>
      <c r="B5" t="s" s="27">
        <v>88</v>
      </c>
      <c r="C5" t="s" s="28">
        <v>89</v>
      </c>
      <c r="D5" t="s" s="28">
        <v>89</v>
      </c>
      <c r="E5" t="s" s="28">
        <v>90</v>
      </c>
      <c r="F5" t="s" s="28">
        <v>91</v>
      </c>
      <c r="G5" s="29"/>
      <c r="H5" t="s" s="39">
        <v>92</v>
      </c>
      <c r="I5" s="30">
        <v>1</v>
      </c>
      <c r="J5" t="s" s="28">
        <v>85</v>
      </c>
      <c r="K5" t="s" s="28">
        <v>79</v>
      </c>
      <c r="L5" t="s" s="28">
        <v>93</v>
      </c>
      <c r="M5" s="31"/>
      <c r="N5" s="31"/>
      <c r="O5" s="31"/>
      <c r="P5" s="31"/>
      <c r="Q5" s="32">
        <v>35</v>
      </c>
      <c r="R5" t="s" s="28">
        <v>79</v>
      </c>
      <c r="S5" t="s" s="28">
        <v>77</v>
      </c>
      <c r="T5" s="33">
        <v>44896</v>
      </c>
      <c r="U5" s="32">
        <v>160</v>
      </c>
      <c r="V5" s="32">
        <f>U5*0.18</f>
        <v>28.8</v>
      </c>
      <c r="W5" s="32">
        <f>(U5+V5)*0.0635</f>
        <v>11.9888</v>
      </c>
      <c r="X5" s="32">
        <v>0</v>
      </c>
      <c r="Y5" s="32">
        <v>0</v>
      </c>
      <c r="Z5" s="34">
        <f>U5+V5+W5+X5+Y5</f>
        <v>200.7888</v>
      </c>
      <c r="AA5" s="34">
        <f>Z5*1.3</f>
        <v>261.02544</v>
      </c>
      <c r="AB5" s="35">
        <f>AA5*1.25</f>
        <v>326.2818</v>
      </c>
      <c r="AC5" s="33">
        <v>44908</v>
      </c>
      <c r="AD5" s="32">
        <v>250</v>
      </c>
      <c r="AE5" s="36"/>
      <c r="AF5" s="37">
        <f>IF(ISBLANK(AC5),"",AC5-T5)</f>
        <v>12</v>
      </c>
      <c r="AG5" s="33">
        <v>44909</v>
      </c>
      <c r="AH5" t="s" s="28">
        <v>87</v>
      </c>
      <c r="AI5" s="37">
        <f>IF(ISBLANK(AG5),"",AG5-AC5)</f>
        <v>1</v>
      </c>
      <c r="AJ5" s="37">
        <f>IF(ISBLANK(AG5),"",AI5+AF5)</f>
        <v>13</v>
      </c>
      <c r="AK5" s="32">
        <v>250</v>
      </c>
      <c r="AL5" s="34">
        <f>IF(ISBLANK(AG5),"",AK5-AD5)</f>
        <v>0</v>
      </c>
      <c r="AM5" s="32">
        <v>34.69</v>
      </c>
      <c r="AN5" s="32">
        <v>0</v>
      </c>
      <c r="AO5" s="32"/>
      <c r="AP5" s="32">
        <v>0</v>
      </c>
      <c r="AQ5" s="32">
        <v>0</v>
      </c>
      <c r="AR5" s="32">
        <v>0</v>
      </c>
      <c r="AS5" s="34">
        <f>IF(ISBLANK(AG5),"",AP5-(AR5+AQ5))</f>
        <v>0</v>
      </c>
      <c r="AT5" s="34">
        <f>IF(ISBLANK(AG5),"",AK5-AM5-AN5-AO5+AS5)</f>
        <v>215.31</v>
      </c>
      <c r="AU5" s="34">
        <f>IF(ISBLANK(AG5),"",AT5-AA5)</f>
        <v>-45.71544</v>
      </c>
      <c r="AV5" s="38">
        <f>IF(ISBLANK(AG5),"",(AW5-0.3))</f>
        <v>-0.227679233104635</v>
      </c>
      <c r="AW5" s="38">
        <f>IF(ISBLANK(AG5),"",IF(Z5=0,1,(AT5/Z5)-1))</f>
        <v>0.07232076689536469</v>
      </c>
      <c r="AX5" s="32">
        <f>IF(ISBLANK(AG5),"",AT5-Z5)</f>
        <v>14.5212</v>
      </c>
    </row>
    <row r="6" ht="45.55" customHeight="1">
      <c r="A6" s="26">
        <v>4</v>
      </c>
      <c r="B6" t="s" s="27">
        <v>94</v>
      </c>
      <c r="C6" t="s" s="28">
        <v>95</v>
      </c>
      <c r="D6" t="s" s="28">
        <v>95</v>
      </c>
      <c r="E6" t="s" s="28">
        <v>82</v>
      </c>
      <c r="F6" t="s" s="28">
        <v>96</v>
      </c>
      <c r="G6" s="29"/>
      <c r="H6" t="s" s="28">
        <v>97</v>
      </c>
      <c r="I6" s="30">
        <v>1</v>
      </c>
      <c r="J6" t="s" s="28">
        <v>85</v>
      </c>
      <c r="K6" t="s" s="28">
        <v>79</v>
      </c>
      <c r="L6" t="s" s="28">
        <v>93</v>
      </c>
      <c r="M6" s="31"/>
      <c r="N6" s="31"/>
      <c r="O6" s="31"/>
      <c r="P6" s="31"/>
      <c r="Q6" s="32">
        <v>15</v>
      </c>
      <c r="R6" t="s" s="28">
        <v>79</v>
      </c>
      <c r="S6" t="s" s="28">
        <v>77</v>
      </c>
      <c r="T6" s="33">
        <v>44896</v>
      </c>
      <c r="U6" s="32">
        <v>23</v>
      </c>
      <c r="V6" s="32">
        <f>U6*0.18</f>
        <v>4.14</v>
      </c>
      <c r="W6" s="32">
        <f>(U6+V6)*0.0635</f>
        <v>1.72339</v>
      </c>
      <c r="X6" s="32">
        <v>0</v>
      </c>
      <c r="Y6" s="32">
        <v>0</v>
      </c>
      <c r="Z6" s="34">
        <f>U6+V6+W6+X6+Y6</f>
        <v>28.86339</v>
      </c>
      <c r="AA6" s="34">
        <f>Z6*1.3</f>
        <v>37.522407</v>
      </c>
      <c r="AB6" s="35">
        <f>AA6*1.25</f>
        <v>46.90300875</v>
      </c>
      <c r="AC6" s="33">
        <v>44909</v>
      </c>
      <c r="AD6" s="32">
        <v>200</v>
      </c>
      <c r="AE6" s="36">
        <v>0.05</v>
      </c>
      <c r="AF6" s="37">
        <f>IF(ISBLANK(AC6),"",AC6-T6)</f>
        <v>13</v>
      </c>
      <c r="AG6" s="33"/>
      <c r="AH6" s="29"/>
      <c r="AI6" t="s" s="40">
        <f>IF(ISBLANK(AG6),"",AG6-AC6)</f>
      </c>
      <c r="AJ6" t="s" s="40">
        <f>IF(ISBLANK(AG6),"",AI6+AF6)</f>
      </c>
      <c r="AK6" s="32"/>
      <c r="AL6" t="s" s="40">
        <f>IF(ISBLANK(AG6),"",AK6-AD6)</f>
      </c>
      <c r="AM6" s="32"/>
      <c r="AN6" s="32"/>
      <c r="AO6" s="32"/>
      <c r="AP6" s="32"/>
      <c r="AQ6" s="32"/>
      <c r="AR6" s="32"/>
      <c r="AS6" t="s" s="40">
        <f>IF(ISBLANK(AG6),"",AP6-(AR6+AQ6))</f>
      </c>
      <c r="AT6" t="s" s="40">
        <f>IF(ISBLANK(AG6),"",AK6-AM6-AN6-AO6+AS6)</f>
      </c>
      <c r="AU6" t="s" s="40">
        <f>IF(ISBLANK(AG6),"",AT6-AA6)</f>
      </c>
      <c r="AV6" t="s" s="40">
        <f>IF(ISBLANK(AG6),"",(AW6-0.3))</f>
      </c>
      <c r="AW6" t="s" s="40">
        <f>IF(ISBLANK(AG6),"",IF(Z6=0,1,(AT6/Z6)-1))</f>
      </c>
      <c r="AX6" t="s" s="28">
        <f>IF(ISBLANK(AG6),"",AT6-Z6)</f>
      </c>
    </row>
    <row r="7" ht="42.45" customHeight="1">
      <c r="A7" s="26">
        <v>12</v>
      </c>
      <c r="B7" t="s" s="27">
        <v>98</v>
      </c>
      <c r="C7" t="s" s="28">
        <v>99</v>
      </c>
      <c r="D7" t="s" s="28">
        <v>99</v>
      </c>
      <c r="E7" t="s" s="28">
        <v>82</v>
      </c>
      <c r="F7" t="s" s="28">
        <v>100</v>
      </c>
      <c r="G7" s="29"/>
      <c r="H7" t="s" s="28">
        <v>101</v>
      </c>
      <c r="I7" s="30">
        <v>1</v>
      </c>
      <c r="J7" t="s" s="28">
        <v>85</v>
      </c>
      <c r="K7" t="s" s="28">
        <v>79</v>
      </c>
      <c r="L7" t="s" s="28">
        <v>102</v>
      </c>
      <c r="M7" s="31">
        <v>6.1</v>
      </c>
      <c r="N7" s="31">
        <v>13</v>
      </c>
      <c r="O7" s="31">
        <v>9</v>
      </c>
      <c r="P7" s="31">
        <v>13</v>
      </c>
      <c r="Q7" s="32">
        <v>15</v>
      </c>
      <c r="R7" t="s" s="28">
        <v>79</v>
      </c>
      <c r="S7" t="s" s="28">
        <v>77</v>
      </c>
      <c r="T7" s="33">
        <v>44896</v>
      </c>
      <c r="U7" s="32">
        <v>215</v>
      </c>
      <c r="V7" s="32">
        <f>U7*0.18</f>
        <v>38.7</v>
      </c>
      <c r="W7" s="32">
        <f>(U7+V7)*0.0635</f>
        <v>16.10995</v>
      </c>
      <c r="X7" s="32">
        <v>0</v>
      </c>
      <c r="Y7" s="32">
        <v>0</v>
      </c>
      <c r="Z7" s="34">
        <f>U7+V7+W7+X7+Y7</f>
        <v>269.80995</v>
      </c>
      <c r="AA7" s="34">
        <f>Z7*1.3</f>
        <v>350.752935</v>
      </c>
      <c r="AB7" s="35">
        <f>AA7*1.25</f>
        <v>438.44116875</v>
      </c>
      <c r="AC7" s="33">
        <v>44912</v>
      </c>
      <c r="AD7" s="32">
        <v>450</v>
      </c>
      <c r="AE7" s="41">
        <v>0.035</v>
      </c>
      <c r="AF7" s="37">
        <f>IF(ISBLANK(AC7),"",AC7-T7)</f>
        <v>16</v>
      </c>
      <c r="AG7" s="33">
        <v>44916</v>
      </c>
      <c r="AH7" t="s" s="28">
        <v>87</v>
      </c>
      <c r="AI7" s="37">
        <f>IF(ISBLANK(AG7),"",AG7-AC7)</f>
        <v>4</v>
      </c>
      <c r="AJ7" s="37">
        <f>IF(ISBLANK(AG7),"",AI7+AF7)</f>
        <v>20</v>
      </c>
      <c r="AK7" s="32">
        <v>425</v>
      </c>
      <c r="AL7" s="34">
        <f>IF(ISBLANK(AG7),"",AK7-AD7)</f>
        <v>-25</v>
      </c>
      <c r="AM7" s="32"/>
      <c r="AN7" s="32"/>
      <c r="AO7" s="32"/>
      <c r="AP7" s="32"/>
      <c r="AQ7" s="32"/>
      <c r="AR7" s="32"/>
      <c r="AS7" s="34">
        <f>IF(ISBLANK(AG7),"",AP7-(AR7+AQ7))</f>
        <v>0</v>
      </c>
      <c r="AT7" s="34">
        <f>IF(ISBLANK(AG7),"",AK7-AM7-AN7-AO7+AS7)</f>
        <v>425</v>
      </c>
      <c r="AU7" s="34">
        <f>IF(ISBLANK(AG7),"",AT7-AA7)</f>
        <v>74.24706500000001</v>
      </c>
      <c r="AV7" s="38">
        <f>IF(ISBLANK(AG7),"",(AW7-0.3))</f>
        <v>0.275182827764506</v>
      </c>
      <c r="AW7" s="38">
        <f>IF(ISBLANK(AG7),"",IF(Z7=0,1,(AT7/Z7)-1))</f>
        <v>0.575182827764506</v>
      </c>
      <c r="AX7" s="32">
        <f>IF(ISBLANK(AG7),"",AT7-Z7)</f>
        <v>155.19005</v>
      </c>
    </row>
  </sheetData>
  <conditionalFormatting sqref="AH1:AJ1 AH2:AH7 AI3:AJ7">
    <cfRule type="cellIs" dxfId="0" priority="1" operator="between" stopIfTrue="1">
      <formula>3</formula>
      <formula>5</formula>
    </cfRule>
  </conditionalFormatting>
  <conditionalFormatting sqref="AS1 AS3:AS7">
    <cfRule type="cellIs" dxfId="1" priority="1" operator="lessThan" stopIfTrue="1">
      <formula>0</formula>
    </cfRule>
  </conditionalFormatting>
  <conditionalFormatting sqref="AX1:AX7">
    <cfRule type="cellIs" dxfId="2" priority="1" operator="lessThan" stopIfTrue="1">
      <formula>0</formula>
    </cfRule>
    <cfRule type="cellIs" dxfId="3" priority="2" operator="greaterThan" stopIfTrue="1">
      <formula>0</formula>
    </cfRule>
  </conditionalFormatting>
  <dataValidations count="2">
    <dataValidation type="list" allowBlank="1" showInputMessage="1" showErrorMessage="1" sqref="J3:J7">
      <formula1>",8 - Brand New,7 - Mint,6 - Excellent,5 - Very Good,4 - Good,3 - Fair,2 - Poor,1 - NF"</formula1>
    </dataValidation>
    <dataValidation type="list" allowBlank="1" showInputMessage="1" showErrorMessage="1" sqref="L3">
      <formula1>",accessories,acoustic-guitars,amps,band-and-orchestra,bass-guitars,dj-and-lighting-gear,drums-and-percussion,effects-and-pedals,electric-guitars,folk-instruments,home-audio,keyboards-and-synths,parts,pro-audio"</formula1>
    </dataValidation>
  </dataValidation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Q57"/>
  <sheetViews>
    <sheetView workbookViewId="0" showGridLines="0" defaultGridColor="1"/>
  </sheetViews>
  <sheetFormatPr defaultColWidth="16.3333" defaultRowHeight="13.9" customHeight="1" outlineLevelRow="0" outlineLevelCol="0"/>
  <cols>
    <col min="1" max="1" width="24.1719" style="42" customWidth="1"/>
    <col min="2" max="2" width="8.85156" style="42" customWidth="1"/>
    <col min="3" max="8" width="16.3516" style="42" customWidth="1"/>
    <col min="9" max="9" width="19.1719" style="65" customWidth="1"/>
    <col min="10" max="11" width="16.3516" style="65" customWidth="1"/>
    <col min="12" max="12" width="19.1719" style="73" customWidth="1"/>
    <col min="13" max="14" width="16.3516" style="73" customWidth="1"/>
    <col min="15" max="15" width="18.1719" style="73" customWidth="1"/>
    <col min="16" max="17" width="16.3516" style="73" customWidth="1"/>
    <col min="18" max="16384" width="16.3516" style="73" customWidth="1"/>
  </cols>
  <sheetData>
    <row r="1" ht="27.65" customHeight="1">
      <c r="A1" t="s" s="43">
        <v>103</v>
      </c>
      <c r="B1" s="44"/>
      <c r="C1" s="44"/>
      <c r="D1" s="44"/>
      <c r="E1" s="44"/>
      <c r="F1" s="44"/>
      <c r="G1" s="44"/>
      <c r="H1" s="45"/>
    </row>
    <row r="2" ht="20.25" customHeight="1">
      <c r="A2" t="s" s="46">
        <v>104</v>
      </c>
      <c r="B2" s="47"/>
      <c r="C2" t="s" s="46">
        <v>87</v>
      </c>
      <c r="D2" s="47"/>
      <c r="E2" t="s" s="46">
        <v>105</v>
      </c>
      <c r="F2" s="47"/>
      <c r="G2" t="s" s="46">
        <v>106</v>
      </c>
      <c r="H2" s="47"/>
    </row>
    <row r="3" ht="20.25" customHeight="1">
      <c r="A3" t="s" s="48">
        <v>107</v>
      </c>
      <c r="B3" s="49"/>
      <c r="C3" t="s" s="50">
        <v>108</v>
      </c>
      <c r="D3" s="51">
        <f>$B4</f>
        <v>375</v>
      </c>
      <c r="E3" t="s" s="52">
        <v>108</v>
      </c>
      <c r="F3" s="51">
        <f>$B4</f>
        <v>375</v>
      </c>
      <c r="G3" t="s" s="52">
        <v>108</v>
      </c>
      <c r="H3" s="51">
        <f>$B4</f>
        <v>375</v>
      </c>
    </row>
    <row r="4" ht="20.05" customHeight="1">
      <c r="A4" t="s" s="53">
        <v>108</v>
      </c>
      <c r="B4" s="54">
        <v>375</v>
      </c>
      <c r="C4" t="s" s="55">
        <v>39</v>
      </c>
      <c r="D4" s="56">
        <f>$B5</f>
        <v>0</v>
      </c>
      <c r="E4" t="s" s="57">
        <v>39</v>
      </c>
      <c r="F4" s="56">
        <f>$B5</f>
        <v>0</v>
      </c>
      <c r="G4" t="s" s="57">
        <v>39</v>
      </c>
      <c r="H4" s="56">
        <f>$B5</f>
        <v>0</v>
      </c>
    </row>
    <row r="5" ht="20.05" customHeight="1">
      <c r="A5" t="s" s="53">
        <v>39</v>
      </c>
      <c r="B5" s="54">
        <v>0</v>
      </c>
      <c r="C5" t="s" s="55">
        <v>109</v>
      </c>
      <c r="D5" s="56">
        <f>(D3+D4)*0.06</f>
        <v>22.5</v>
      </c>
      <c r="E5" t="s" s="57">
        <v>109</v>
      </c>
      <c r="F5" s="56">
        <f>(F3+F4)*0.06</f>
        <v>22.5</v>
      </c>
      <c r="G5" t="s" s="57">
        <v>109</v>
      </c>
      <c r="H5" s="56">
        <f>(H3+H4)*0.06</f>
        <v>22.5</v>
      </c>
    </row>
    <row r="6" ht="20.05" customHeight="1">
      <c r="A6" t="s" s="53">
        <v>110</v>
      </c>
      <c r="B6" s="58">
        <v>0</v>
      </c>
      <c r="C6" t="s" s="55">
        <v>111</v>
      </c>
      <c r="D6" s="56">
        <f>SUM(D3:D5)</f>
        <v>397.5</v>
      </c>
      <c r="E6" t="s" s="57">
        <v>111</v>
      </c>
      <c r="F6" s="56">
        <f>SUM(F3:F5)</f>
        <v>397.5</v>
      </c>
      <c r="G6" t="s" s="57">
        <v>111</v>
      </c>
      <c r="H6" s="56">
        <f>SUM(H3:H5)</f>
        <v>397.5</v>
      </c>
    </row>
    <row r="7" ht="32.05" customHeight="1">
      <c r="A7" t="s" s="59">
        <v>112</v>
      </c>
      <c r="B7" s="60"/>
      <c r="C7" t="s" s="55">
        <v>113</v>
      </c>
      <c r="D7" s="56">
        <f>D6*0.129</f>
        <v>51.2775</v>
      </c>
      <c r="E7" t="s" s="57">
        <v>114</v>
      </c>
      <c r="F7" s="56">
        <f>F6*0.0319</f>
        <v>12.68025</v>
      </c>
      <c r="G7" t="s" s="57">
        <v>115</v>
      </c>
      <c r="H7" s="56">
        <f>IF((H6*0.05)&lt;0.4,0.4,H6*0.05)</f>
        <v>19.875</v>
      </c>
    </row>
    <row r="8" ht="20.05" customHeight="1">
      <c r="A8" t="s" s="53">
        <v>116</v>
      </c>
      <c r="B8" s="54">
        <v>0</v>
      </c>
      <c r="C8" t="s" s="55">
        <v>117</v>
      </c>
      <c r="D8" s="56">
        <v>0.3</v>
      </c>
      <c r="E8" t="s" s="57">
        <v>118</v>
      </c>
      <c r="F8" s="56">
        <v>0.49</v>
      </c>
      <c r="G8" t="s" s="57">
        <v>119</v>
      </c>
      <c r="H8" s="56">
        <v>0</v>
      </c>
    </row>
    <row r="9" ht="20.05" customHeight="1">
      <c r="A9" t="s" s="53">
        <v>120</v>
      </c>
      <c r="B9" s="54">
        <v>0</v>
      </c>
      <c r="C9" t="s" s="55">
        <v>121</v>
      </c>
      <c r="D9" s="56">
        <f>SUM(D7:D8)</f>
        <v>51.5775</v>
      </c>
      <c r="E9" t="s" s="57">
        <v>121</v>
      </c>
      <c r="F9" s="56">
        <f>SUM(F7:F8)</f>
        <v>13.17025</v>
      </c>
      <c r="G9" t="s" s="57">
        <v>121</v>
      </c>
      <c r="H9" s="56">
        <f>SUM(H7:H8)</f>
        <v>19.875</v>
      </c>
    </row>
    <row r="10" ht="20.05" customHeight="1">
      <c r="A10" s="61"/>
      <c r="B10" s="54"/>
      <c r="C10" t="s" s="62">
        <v>122</v>
      </c>
      <c r="D10" s="63">
        <f>D3+D4-D9-(D4*$B6)</f>
        <v>323.4225</v>
      </c>
      <c r="E10" t="s" s="64">
        <v>122</v>
      </c>
      <c r="F10" s="63">
        <f>F3+F4-F9-(F4*$B6)</f>
        <v>361.82975</v>
      </c>
      <c r="G10" t="s" s="64">
        <v>122</v>
      </c>
      <c r="H10" s="63">
        <f>H3+H4-H9-(H4*$B6)</f>
        <v>355.125</v>
      </c>
    </row>
    <row r="11" ht="20.05" customHeight="1">
      <c r="A11" s="61"/>
      <c r="B11" s="54"/>
      <c r="C11" t="s" s="62">
        <v>123</v>
      </c>
      <c r="D11" s="63">
        <f>(D10-$B8)+($B5-$B9)</f>
        <v>323.4225</v>
      </c>
      <c r="E11" t="s" s="64">
        <v>123</v>
      </c>
      <c r="F11" s="63">
        <f>(F10-$B8)+($B5-$B9)</f>
        <v>361.82975</v>
      </c>
      <c r="G11" t="s" s="64">
        <v>123</v>
      </c>
      <c r="H11" s="63">
        <f>(H10-$B8)+($B5-$B9)</f>
        <v>355.125</v>
      </c>
    </row>
    <row r="13" ht="27.65" customHeight="1">
      <c r="I13" t="s" s="43">
        <v>124</v>
      </c>
      <c r="J13" s="44"/>
      <c r="K13" s="45"/>
    </row>
    <row r="14" ht="20.25" customHeight="1">
      <c r="I14" t="s" s="66">
        <v>125</v>
      </c>
      <c r="J14" t="s" s="66">
        <v>126</v>
      </c>
      <c r="K14" t="s" s="66">
        <v>127</v>
      </c>
    </row>
    <row r="15" ht="20.25" customHeight="1">
      <c r="I15" s="67">
        <v>50</v>
      </c>
      <c r="J15" s="68">
        <f>I15*L$57</f>
        <v>15</v>
      </c>
      <c r="K15" s="69">
        <f>(((I15-J15)/(1+N$57))/(1+M$57))*Q$57-(O$57+P$57)</f>
        <v>19.6010016494944</v>
      </c>
    </row>
    <row r="16" ht="20.05" customHeight="1">
      <c r="I16" s="70">
        <v>75</v>
      </c>
      <c r="J16" s="71">
        <f>I16*L$57</f>
        <v>22.5</v>
      </c>
      <c r="K16" s="72">
        <f>(((I16-J16)/(1+N$57))/(1+M$57))*Q$57-(O$57+P$57)</f>
        <v>32.1515024742416</v>
      </c>
    </row>
    <row r="17" ht="20.05" customHeight="1">
      <c r="I17" s="70">
        <v>100</v>
      </c>
      <c r="J17" s="71">
        <f>I17*L$57</f>
        <v>30</v>
      </c>
      <c r="K17" s="72">
        <f>(((I17-J17)/(1+N$57))/(1+M$57))*Q$57-(O$57+P$57)</f>
        <v>44.7020032989888</v>
      </c>
    </row>
    <row r="18" ht="20.05" customHeight="1">
      <c r="I18" s="70">
        <v>125</v>
      </c>
      <c r="J18" s="71">
        <f>I18*L$57</f>
        <v>37.5</v>
      </c>
      <c r="K18" s="72">
        <f>(((I18-J18)/(1+N$57))/(1+M$57))*Q$57-(O$57+P$57)</f>
        <v>57.252504123736</v>
      </c>
    </row>
    <row r="19" ht="20.05" customHeight="1">
      <c r="I19" s="70">
        <v>150</v>
      </c>
      <c r="J19" s="71">
        <f>I19*L$57</f>
        <v>45</v>
      </c>
      <c r="K19" s="72">
        <f>(((I19-J19)/(1+N$57))/(1+M$57))*Q$57-(O$57+P$57)</f>
        <v>69.80300494848321</v>
      </c>
    </row>
    <row r="20" ht="20.05" customHeight="1">
      <c r="I20" s="70">
        <v>175</v>
      </c>
      <c r="J20" s="71">
        <f>I20*L$57</f>
        <v>52.5</v>
      </c>
      <c r="K20" s="72">
        <f>(((I20-J20)/(1+N$57))/(1+M$57))*Q$57-(O$57+P$57)</f>
        <v>82.3535057732304</v>
      </c>
    </row>
    <row r="21" ht="20.05" customHeight="1">
      <c r="I21" s="70">
        <v>200</v>
      </c>
      <c r="J21" s="71">
        <f>I21*L$57</f>
        <v>60</v>
      </c>
      <c r="K21" s="72">
        <f>(((I21-J21)/(1+N$57))/(1+M$57))*Q$57-(O$57+P$57)</f>
        <v>94.9040065979776</v>
      </c>
    </row>
    <row r="22" ht="20.05" customHeight="1">
      <c r="I22" s="70">
        <v>225</v>
      </c>
      <c r="J22" s="71">
        <f>I22*L$57</f>
        <v>67.5</v>
      </c>
      <c r="K22" s="72">
        <f>(((I22-J22)/(1+N$57))/(1+M$57))*Q$57-(O$57+P$57)</f>
        <v>107.454507422725</v>
      </c>
    </row>
    <row r="23" ht="20.05" customHeight="1">
      <c r="I23" s="70">
        <v>250</v>
      </c>
      <c r="J23" s="71">
        <f>I23*L$57</f>
        <v>75</v>
      </c>
      <c r="K23" s="72">
        <f>(((I23-J23)/(1+N$57))/(1+M$57))*Q$57-(O$57+P$57)</f>
        <v>120.005008247472</v>
      </c>
    </row>
    <row r="24" ht="20.05" customHeight="1">
      <c r="I24" s="70">
        <v>275</v>
      </c>
      <c r="J24" s="71">
        <f>I24*L$57</f>
        <v>82.5</v>
      </c>
      <c r="K24" s="72">
        <f>(((I24-J24)/(1+N$57))/(1+M$57))*Q$57-(O$57+P$57)</f>
        <v>132.555509072219</v>
      </c>
    </row>
    <row r="25" ht="20.05" customHeight="1">
      <c r="I25" s="70">
        <v>300</v>
      </c>
      <c r="J25" s="71">
        <f>I25*L$57</f>
        <v>90</v>
      </c>
      <c r="K25" s="72">
        <f>(((I25-J25)/(1+N$57))/(1+M$57))*Q$57-(O$57+P$57)</f>
        <v>145.106009896966</v>
      </c>
    </row>
    <row r="26" ht="20.05" customHeight="1">
      <c r="I26" s="70">
        <v>325</v>
      </c>
      <c r="J26" s="71">
        <f>I26*L$57</f>
        <v>97.5</v>
      </c>
      <c r="K26" s="72">
        <f>(((I26-J26)/(1+N$57))/(1+M$57))*Q$57-(O$57+P$57)</f>
        <v>157.656510721714</v>
      </c>
    </row>
    <row r="27" ht="20.05" customHeight="1">
      <c r="I27" s="70">
        <v>350</v>
      </c>
      <c r="J27" s="71">
        <f>I27*L$57</f>
        <v>105</v>
      </c>
      <c r="K27" s="72">
        <f>(((I27-J27)/(1+N$57))/(1+M$57))*Q$57-(O$57+P$57)</f>
        <v>170.207011546461</v>
      </c>
    </row>
    <row r="28" ht="20.05" customHeight="1">
      <c r="I28" s="70">
        <v>375</v>
      </c>
      <c r="J28" s="71">
        <f>I28*L$57</f>
        <v>112.5</v>
      </c>
      <c r="K28" s="72">
        <f>(((I28-J28)/(1+N$57))/(1+M$57))*Q$57-(O$57+P$57)</f>
        <v>182.757512371208</v>
      </c>
    </row>
    <row r="29" ht="20.05" customHeight="1">
      <c r="I29" s="70">
        <v>400</v>
      </c>
      <c r="J29" s="71">
        <f>I29*L$57</f>
        <v>120</v>
      </c>
      <c r="K29" s="72">
        <f>(((I29-J29)/(1+N$57))/(1+M$57))*Q$57-(O$57+P$57)</f>
        <v>195.308013195955</v>
      </c>
    </row>
    <row r="30" ht="20.05" customHeight="1">
      <c r="I30" s="70">
        <v>425</v>
      </c>
      <c r="J30" s="71">
        <f>I30*L$57</f>
        <v>127.5</v>
      </c>
      <c r="K30" s="72">
        <f>(((I30-J30)/(1+N$57))/(1+M$57))*Q$57-(O$57+P$57)</f>
        <v>207.858514020702</v>
      </c>
    </row>
    <row r="31" ht="20.05" customHeight="1">
      <c r="I31" s="70">
        <v>450</v>
      </c>
      <c r="J31" s="71">
        <f>I31*L$57</f>
        <v>135</v>
      </c>
      <c r="K31" s="72">
        <f>(((I31-J31)/(1+N$57))/(1+M$57))*Q$57-(O$57+P$57)</f>
        <v>220.409014845450</v>
      </c>
    </row>
    <row r="32" ht="20.05" customHeight="1">
      <c r="I32" s="70">
        <v>475</v>
      </c>
      <c r="J32" s="71">
        <f>I32*L$57</f>
        <v>142.5</v>
      </c>
      <c r="K32" s="72">
        <f>(((I32-J32)/(1+N$57))/(1+M$57))*Q$57-(O$57+P$57)</f>
        <v>232.959515670197</v>
      </c>
    </row>
    <row r="33" ht="20.05" customHeight="1">
      <c r="I33" s="70">
        <v>500</v>
      </c>
      <c r="J33" s="71">
        <f>I33*L$57</f>
        <v>150</v>
      </c>
      <c r="K33" s="72">
        <f>(((I33-J33)/(1+N$57))/(1+M$57))*Q$57-(O$57+P$57)</f>
        <v>245.510016494944</v>
      </c>
    </row>
    <row r="34" ht="20.05" customHeight="1">
      <c r="I34" s="70">
        <v>525</v>
      </c>
      <c r="J34" s="71">
        <f>I34*L$57</f>
        <v>157.5</v>
      </c>
      <c r="K34" s="72">
        <f>(((I34-J34)/(1+N$57))/(1+M$57))*Q$57-(O$57+P$57)</f>
        <v>258.060517319691</v>
      </c>
    </row>
    <row r="35" ht="20.05" customHeight="1">
      <c r="I35" s="70">
        <v>550</v>
      </c>
      <c r="J35" s="71">
        <f>I35*L$57</f>
        <v>165</v>
      </c>
      <c r="K35" s="72">
        <f>(((I35-J35)/(1+N$57))/(1+M$57))*Q$57-(O$57+P$57)</f>
        <v>270.611018144438</v>
      </c>
    </row>
    <row r="36" ht="20.05" customHeight="1">
      <c r="I36" s="70">
        <v>575</v>
      </c>
      <c r="J36" s="71">
        <f>I36*L$57</f>
        <v>172.5</v>
      </c>
      <c r="K36" s="72">
        <f>(((I36-J36)/(1+N$57))/(1+M$57))*Q$57-(O$57+P$57)</f>
        <v>283.161518969186</v>
      </c>
    </row>
    <row r="37" ht="20.05" customHeight="1">
      <c r="I37" s="70">
        <v>600</v>
      </c>
      <c r="J37" s="71">
        <f>I37*L$57</f>
        <v>180</v>
      </c>
      <c r="K37" s="72">
        <f>(((I37-J37)/(1+N$57))/(1+M$57))*Q$57-(O$57+P$57)</f>
        <v>295.712019793933</v>
      </c>
    </row>
    <row r="38" ht="20.05" customHeight="1">
      <c r="I38" s="70">
        <v>625</v>
      </c>
      <c r="J38" s="71">
        <f>I38*L$57</f>
        <v>187.5</v>
      </c>
      <c r="K38" s="72">
        <f>(((I38-J38)/(1+N$57))/(1+M$57))*Q$57-(O$57+P$57)</f>
        <v>308.262520618680</v>
      </c>
    </row>
    <row r="39" ht="20.05" customHeight="1">
      <c r="I39" s="70">
        <v>650</v>
      </c>
      <c r="J39" s="71">
        <f>I39*L$57</f>
        <v>195</v>
      </c>
      <c r="K39" s="72">
        <f>(((I39-J39)/(1+N$57))/(1+M$57))*Q$57-(O$57+P$57)</f>
        <v>320.813021443427</v>
      </c>
    </row>
    <row r="40" ht="20.05" customHeight="1">
      <c r="I40" s="70">
        <v>675</v>
      </c>
      <c r="J40" s="71">
        <f>I40*L$57</f>
        <v>202.5</v>
      </c>
      <c r="K40" s="72">
        <f>(((I40-J40)/(1+N$57))/(1+M$57))*Q$57-(O$57+P$57)</f>
        <v>333.363522268174</v>
      </c>
    </row>
    <row r="41" ht="20.05" customHeight="1">
      <c r="I41" s="70">
        <v>700</v>
      </c>
      <c r="J41" s="71">
        <f>I41*L$57</f>
        <v>210</v>
      </c>
      <c r="K41" s="72">
        <f>(((I41-J41)/(1+N$57))/(1+M$57))*Q$57-(O$57+P$57)</f>
        <v>345.914023092922</v>
      </c>
    </row>
    <row r="42" ht="20.05" customHeight="1">
      <c r="I42" s="70">
        <v>725</v>
      </c>
      <c r="J42" s="71">
        <f>I42*L$57</f>
        <v>217.5</v>
      </c>
      <c r="K42" s="72">
        <f>(((I42-J42)/(1+N$57))/(1+M$57))*Q$57-(O$57+P$57)</f>
        <v>358.464523917669</v>
      </c>
    </row>
    <row r="43" ht="20.05" customHeight="1">
      <c r="I43" s="70">
        <v>750</v>
      </c>
      <c r="J43" s="71">
        <f>I43*L$57</f>
        <v>225</v>
      </c>
      <c r="K43" s="72">
        <f>(((I43-J43)/(1+N$57))/(1+M$57))*Q$57-(O$57+P$57)</f>
        <v>371.015024742416</v>
      </c>
    </row>
    <row r="44" ht="20.05" customHeight="1">
      <c r="I44" s="70">
        <v>775</v>
      </c>
      <c r="J44" s="71">
        <f>I44*L$57</f>
        <v>232.5</v>
      </c>
      <c r="K44" s="72">
        <f>(((I44-J44)/(1+N$57))/(1+M$57))*Q$57-(O$57+P$57)</f>
        <v>383.565525567163</v>
      </c>
    </row>
    <row r="45" ht="20.05" customHeight="1">
      <c r="I45" s="70">
        <v>800</v>
      </c>
      <c r="J45" s="71">
        <f>I45*L$57</f>
        <v>240</v>
      </c>
      <c r="K45" s="72">
        <f>(((I45-J45)/(1+N$57))/(1+M$57))*Q$57-(O$57+P$57)</f>
        <v>396.116026391910</v>
      </c>
    </row>
    <row r="46" ht="20.05" customHeight="1">
      <c r="I46" s="70">
        <v>825</v>
      </c>
      <c r="J46" s="71">
        <f>I46*L$57</f>
        <v>247.5</v>
      </c>
      <c r="K46" s="72">
        <f>(((I46-J46)/(1+N$57))/(1+M$57))*Q$57-(O$57+P$57)</f>
        <v>408.666527216658</v>
      </c>
    </row>
    <row r="47" ht="20.05" customHeight="1">
      <c r="I47" s="70">
        <v>850</v>
      </c>
      <c r="J47" s="71">
        <f>I47*L$57</f>
        <v>255</v>
      </c>
      <c r="K47" s="72">
        <f>(((I47-J47)/(1+N$57))/(1+M$57))*Q$57-(O$57+P$57)</f>
        <v>421.217028041405</v>
      </c>
    </row>
    <row r="48" ht="20.05" customHeight="1">
      <c r="I48" s="70">
        <v>875</v>
      </c>
      <c r="J48" s="71">
        <f>I48*L$57</f>
        <v>262.5</v>
      </c>
      <c r="K48" s="72">
        <f>(((I48-J48)/(1+N$57))/(1+M$57))*Q$57-(O$57+P$57)</f>
        <v>433.767528866152</v>
      </c>
    </row>
    <row r="49" ht="20.05" customHeight="1">
      <c r="I49" s="70">
        <v>900</v>
      </c>
      <c r="J49" s="71">
        <f>I49*L$57</f>
        <v>270</v>
      </c>
      <c r="K49" s="72">
        <f>(((I49-J49)/(1+N$57))/(1+M$57))*Q$57-(O$57+P$57)</f>
        <v>446.318029690899</v>
      </c>
    </row>
    <row r="50" ht="20.05" customHeight="1">
      <c r="I50" s="70">
        <v>925</v>
      </c>
      <c r="J50" s="71">
        <f>I50*L$57</f>
        <v>277.5</v>
      </c>
      <c r="K50" s="72">
        <f>(((I50-J50)/(1+N$57))/(1+M$57))*Q$57-(O$57+P$57)</f>
        <v>458.868530515646</v>
      </c>
    </row>
    <row r="51" ht="20.05" customHeight="1">
      <c r="I51" s="70">
        <v>950</v>
      </c>
      <c r="J51" s="71">
        <f>I51*L$57</f>
        <v>285</v>
      </c>
      <c r="K51" s="72">
        <f>(((I51-J51)/(1+N$57))/(1+M$57))*Q$57-(O$57+P$57)</f>
        <v>471.419031340393</v>
      </c>
    </row>
    <row r="52" ht="20.05" customHeight="1">
      <c r="I52" s="70">
        <v>975</v>
      </c>
      <c r="J52" s="71">
        <f>I52*L$57</f>
        <v>292.5</v>
      </c>
      <c r="K52" s="72">
        <f>(((I52-J52)/(1+N$57))/(1+M$57))*Q$57-(O$57+P$57)</f>
        <v>483.969532165141</v>
      </c>
    </row>
    <row r="53" ht="20.05" customHeight="1">
      <c r="I53" s="70">
        <v>1000</v>
      </c>
      <c r="J53" s="71">
        <f>I53*L$57</f>
        <v>300</v>
      </c>
      <c r="K53" s="72">
        <f>(((I53-J53)/(1+N$57))/(1+M$57))*Q$57-(O$57+P$57)</f>
        <v>496.520032989888</v>
      </c>
    </row>
    <row r="55" ht="27.65" customHeight="1">
      <c r="L55" t="s" s="43">
        <v>128</v>
      </c>
      <c r="M55" s="44"/>
      <c r="N55" s="44"/>
      <c r="O55" s="44"/>
      <c r="P55" s="44"/>
      <c r="Q55" s="45"/>
    </row>
    <row r="56" ht="20.25" customHeight="1">
      <c r="L56" t="s" s="74">
        <v>129</v>
      </c>
      <c r="M56" t="s" s="74">
        <v>130</v>
      </c>
      <c r="N56" t="s" s="74">
        <v>131</v>
      </c>
      <c r="O56" t="s" s="74">
        <v>132</v>
      </c>
      <c r="P56" t="s" s="74">
        <v>133</v>
      </c>
      <c r="Q56" t="s" s="74">
        <v>134</v>
      </c>
    </row>
    <row r="57" ht="20.25" customHeight="1">
      <c r="L57" s="75">
        <v>0.3</v>
      </c>
      <c r="M57" s="76">
        <v>0.18</v>
      </c>
      <c r="N57" s="77">
        <v>0.0635</v>
      </c>
      <c r="O57" s="78">
        <v>0.5</v>
      </c>
      <c r="P57" s="78">
        <v>5</v>
      </c>
      <c r="Q57" s="79">
        <v>0.9</v>
      </c>
    </row>
  </sheetData>
  <mergeCells count="9">
    <mergeCell ref="A1:H1"/>
    <mergeCell ref="G2:H2"/>
    <mergeCell ref="E2:F2"/>
    <mergeCell ref="C2:D2"/>
    <mergeCell ref="A2:B2"/>
    <mergeCell ref="A3:B3"/>
    <mergeCell ref="A7:B7"/>
    <mergeCell ref="I13:K13"/>
    <mergeCell ref="L55:Q55"/>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