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omments4.xml" ContentType="application/vnd.openxmlformats-officedocument.spreadsheetml.comments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168" yWindow="72" windowWidth="17808" windowHeight="7188" tabRatio="602" firstSheet="5" activeTab="5"/>
  </bookViews>
  <sheets>
    <sheet name="Rank and availability of strata" sheetId="9" r:id="rId1"/>
    <sheet name="Stratum Codes" sheetId="3" r:id="rId2"/>
    <sheet name="Trip-Year key" sheetId="4" r:id="rId3"/>
    <sheet name="StratBootmean Trinity Bay" sheetId="5" r:id="rId4"/>
    <sheet name="Stratum Areas" sheetId="6" r:id="rId5"/>
    <sheet name="graphs" sheetId="2" r:id="rId6"/>
    <sheet name="Pivot table" sheetId="10" r:id="rId7"/>
    <sheet name="STRATBOOTMEAN" sheetId="1" r:id="rId8"/>
    <sheet name="Core area graph" sheetId="12" r:id="rId9"/>
    <sheet name="Strat boot mean - Core only" sheetId="11" r:id="rId10"/>
    <sheet name="Sheet1" sheetId="13" r:id="rId11"/>
    <sheet name="Sumary for Barry" sheetId="14" r:id="rId12"/>
    <sheet name="Sheet2" sheetId="15" r:id="rId13"/>
    <sheet name="Sheet3" sheetId="16" r:id="rId14"/>
  </sheets>
  <externalReferences>
    <externalReference r:id="rId15"/>
  </externalReferences>
  <definedNames>
    <definedName name="_xlnm._FilterDatabase" localSheetId="7" hidden="1">STRATBOOTMEAN!$F$1:$F$265</definedName>
    <definedName name="STRATBOOTMEAN">STRATBOOTMEAN!$E$2:$G$22</definedName>
  </definedNames>
  <calcPr calcId="145621"/>
  <pivotCaches>
    <pivotCache cacheId="0" r:id="rId16"/>
    <pivotCache cacheId="1" r:id="rId17"/>
    <pivotCache cacheId="2" r:id="rId18"/>
    <pivotCache cacheId="3" r:id="rId19"/>
    <pivotCache cacheId="4" r:id="rId20"/>
  </pivotCaches>
</workbook>
</file>

<file path=xl/calcChain.xml><?xml version="1.0" encoding="utf-8"?>
<calcChain xmlns="http://schemas.openxmlformats.org/spreadsheetml/2006/main">
  <c r="S13" i="15" l="1"/>
  <c r="R13" i="15"/>
  <c r="P13" i="15"/>
  <c r="T13" i="15" s="1"/>
  <c r="O13" i="15"/>
  <c r="N13" i="15"/>
  <c r="T12" i="15"/>
  <c r="P12" i="15"/>
  <c r="O12" i="15"/>
  <c r="S12" i="15" s="1"/>
  <c r="N12" i="15"/>
  <c r="R12" i="15" s="1"/>
  <c r="S11" i="15"/>
  <c r="R11" i="15"/>
  <c r="P11" i="15"/>
  <c r="T11" i="15" s="1"/>
  <c r="O11" i="15"/>
  <c r="N11" i="15"/>
  <c r="T10" i="15"/>
  <c r="P10" i="15"/>
  <c r="O10" i="15"/>
  <c r="S10" i="15" s="1"/>
  <c r="N10" i="15"/>
  <c r="R10" i="15" s="1"/>
  <c r="S9" i="15"/>
  <c r="R9" i="15"/>
  <c r="P9" i="15"/>
  <c r="T9" i="15" s="1"/>
  <c r="O9" i="15"/>
  <c r="N9" i="15"/>
  <c r="T8" i="15"/>
  <c r="P8" i="15"/>
  <c r="O8" i="15"/>
  <c r="S8" i="15" s="1"/>
  <c r="N8" i="15"/>
  <c r="R8" i="15" s="1"/>
  <c r="S7" i="15"/>
  <c r="R7" i="15"/>
  <c r="P7" i="15"/>
  <c r="T7" i="15" s="1"/>
  <c r="O7" i="15"/>
  <c r="N7" i="15"/>
  <c r="T6" i="15"/>
  <c r="P6" i="15"/>
  <c r="O6" i="15"/>
  <c r="S6" i="15" s="1"/>
  <c r="N6" i="15"/>
  <c r="R6" i="15" s="1"/>
  <c r="S5" i="15"/>
  <c r="R5" i="15"/>
  <c r="P5" i="15"/>
  <c r="T5" i="15" s="1"/>
  <c r="O5" i="15"/>
  <c r="N5" i="15"/>
  <c r="T4" i="15"/>
  <c r="P4" i="15"/>
  <c r="O4" i="15"/>
  <c r="S4" i="15" s="1"/>
  <c r="N4" i="15"/>
  <c r="R4" i="15" s="1"/>
  <c r="S3" i="15"/>
  <c r="R3" i="15"/>
  <c r="P3" i="15"/>
  <c r="T3" i="15" s="1"/>
  <c r="O3" i="15"/>
  <c r="N3" i="15"/>
  <c r="T2" i="15"/>
  <c r="P2" i="15"/>
  <c r="O2" i="15"/>
  <c r="S2" i="15" s="1"/>
  <c r="N2" i="15"/>
  <c r="R2" i="15" s="1"/>
  <c r="T152" i="11"/>
  <c r="S152" i="11"/>
  <c r="P152" i="11"/>
  <c r="O152" i="11"/>
  <c r="N152" i="11"/>
  <c r="R152" i="11" s="1"/>
  <c r="X152" i="11" s="1"/>
  <c r="X151" i="11"/>
  <c r="T151" i="11"/>
  <c r="S151" i="11"/>
  <c r="X150" i="11"/>
  <c r="R150" i="11"/>
  <c r="P150" i="11"/>
  <c r="T150" i="11" s="1"/>
  <c r="O150" i="11"/>
  <c r="S150" i="11" s="1"/>
  <c r="N150" i="11"/>
  <c r="T149" i="11"/>
  <c r="P149" i="11"/>
  <c r="O149" i="11"/>
  <c r="S149" i="11" s="1"/>
  <c r="N149" i="11"/>
  <c r="R149" i="11" s="1"/>
  <c r="X149" i="11" s="1"/>
  <c r="T148" i="11"/>
  <c r="S148" i="11"/>
  <c r="P148" i="11"/>
  <c r="O148" i="11"/>
  <c r="N148" i="11"/>
  <c r="R148" i="11" s="1"/>
  <c r="X148" i="11" s="1"/>
  <c r="S147" i="11"/>
  <c r="R147" i="11"/>
  <c r="X147" i="11" s="1"/>
  <c r="P147" i="11"/>
  <c r="T147" i="11" s="1"/>
  <c r="O147" i="11"/>
  <c r="N147" i="11"/>
  <c r="X146" i="11"/>
  <c r="R146" i="11"/>
  <c r="P146" i="11"/>
  <c r="T146" i="11" s="1"/>
  <c r="O146" i="11"/>
  <c r="S146" i="11" s="1"/>
  <c r="N146" i="11"/>
  <c r="T145" i="11"/>
  <c r="P145" i="11"/>
  <c r="O145" i="11"/>
  <c r="S145" i="11" s="1"/>
  <c r="N145" i="11"/>
  <c r="R145" i="11" s="1"/>
  <c r="X145" i="11" s="1"/>
  <c r="T144" i="11"/>
  <c r="S144" i="11"/>
  <c r="P144" i="11"/>
  <c r="O144" i="11"/>
  <c r="N144" i="11"/>
  <c r="R144" i="11" s="1"/>
  <c r="X144" i="11" s="1"/>
  <c r="S143" i="11"/>
  <c r="R143" i="11"/>
  <c r="X143" i="11" s="1"/>
  <c r="P143" i="11"/>
  <c r="T143" i="11" s="1"/>
  <c r="O143" i="11"/>
  <c r="N143" i="11"/>
  <c r="X142" i="11"/>
  <c r="R142" i="11"/>
  <c r="P142" i="11"/>
  <c r="T142" i="11" s="1"/>
  <c r="O142" i="11"/>
  <c r="S142" i="11" s="1"/>
  <c r="N142" i="11"/>
  <c r="T141" i="11"/>
  <c r="P141" i="11"/>
  <c r="O141" i="11"/>
  <c r="S141" i="11" s="1"/>
  <c r="N141" i="11"/>
  <c r="R141" i="11" s="1"/>
  <c r="X141" i="11" s="1"/>
  <c r="T140" i="11"/>
  <c r="S140" i="11"/>
  <c r="P140" i="11"/>
  <c r="O140" i="11"/>
  <c r="N140" i="11"/>
  <c r="R140" i="11" s="1"/>
  <c r="X140" i="11" s="1"/>
  <c r="S139" i="11"/>
  <c r="R139" i="11"/>
  <c r="X139" i="11" s="1"/>
  <c r="P139" i="11"/>
  <c r="T139" i="11" s="1"/>
  <c r="O139" i="11"/>
  <c r="N139" i="11"/>
  <c r="X138" i="11"/>
  <c r="R138" i="11"/>
  <c r="P138" i="11"/>
  <c r="T138" i="11" s="1"/>
  <c r="O138" i="11"/>
  <c r="S138" i="11" s="1"/>
  <c r="N138" i="11"/>
  <c r="T137" i="11"/>
  <c r="P137" i="11"/>
  <c r="O137" i="11"/>
  <c r="S137" i="11" s="1"/>
  <c r="N137" i="11"/>
  <c r="R137" i="11" s="1"/>
  <c r="X137" i="11" s="1"/>
  <c r="T136" i="11"/>
  <c r="S136" i="11"/>
  <c r="P136" i="11"/>
  <c r="O136" i="11"/>
  <c r="N136" i="11"/>
  <c r="R136" i="11" s="1"/>
  <c r="X136" i="11" s="1"/>
  <c r="S135" i="11"/>
  <c r="R135" i="11"/>
  <c r="X135" i="11" s="1"/>
  <c r="P135" i="11"/>
  <c r="T135" i="11" s="1"/>
  <c r="O135" i="11"/>
  <c r="N135" i="11"/>
  <c r="X134" i="11"/>
  <c r="R134" i="11"/>
  <c r="P134" i="11"/>
  <c r="T134" i="11" s="1"/>
  <c r="O134" i="11"/>
  <c r="S134" i="11" s="1"/>
  <c r="N134" i="11"/>
  <c r="T133" i="11"/>
  <c r="P133" i="11"/>
  <c r="O133" i="11"/>
  <c r="S133" i="11" s="1"/>
  <c r="N133" i="11"/>
  <c r="R133" i="11" s="1"/>
  <c r="X133" i="11" s="1"/>
  <c r="T132" i="11"/>
  <c r="S132" i="11"/>
  <c r="P132" i="11"/>
  <c r="O132" i="11"/>
  <c r="N132" i="11"/>
  <c r="R132" i="11" s="1"/>
  <c r="X132" i="11" s="1"/>
  <c r="S131" i="11"/>
  <c r="R131" i="11"/>
  <c r="X131" i="11" s="1"/>
  <c r="P131" i="11"/>
  <c r="T131" i="11" s="1"/>
  <c r="O131" i="11"/>
  <c r="N131" i="11"/>
  <c r="R130" i="11"/>
  <c r="P130" i="11"/>
  <c r="O130" i="11"/>
  <c r="N130" i="11"/>
  <c r="R129" i="11"/>
  <c r="P129" i="11"/>
  <c r="O129" i="11"/>
  <c r="N129" i="11"/>
  <c r="R128" i="11"/>
  <c r="P128" i="11"/>
  <c r="O128" i="11"/>
  <c r="N128" i="11"/>
  <c r="R127" i="11"/>
  <c r="P127" i="11"/>
  <c r="O127" i="11"/>
  <c r="N127" i="11"/>
  <c r="R126" i="11"/>
  <c r="P126" i="11"/>
  <c r="O126" i="11"/>
  <c r="N126" i="11"/>
  <c r="R125" i="11"/>
  <c r="P125" i="11"/>
  <c r="O125" i="11"/>
  <c r="N125" i="11"/>
  <c r="R124" i="11"/>
  <c r="P124" i="11"/>
  <c r="O124" i="11"/>
  <c r="N124" i="11"/>
  <c r="R123" i="11"/>
  <c r="P123" i="11"/>
  <c r="O123" i="11"/>
  <c r="N123" i="11"/>
  <c r="R122" i="11"/>
  <c r="P122" i="11"/>
  <c r="O122" i="11"/>
  <c r="N122" i="11"/>
  <c r="R121" i="11"/>
  <c r="P121" i="11"/>
  <c r="O121" i="11"/>
  <c r="N121" i="11"/>
  <c r="R120" i="11"/>
  <c r="P120" i="11"/>
  <c r="O120" i="11"/>
  <c r="N120" i="11"/>
  <c r="T119" i="11"/>
  <c r="P119" i="11"/>
  <c r="O119" i="11"/>
  <c r="S119" i="11" s="1"/>
  <c r="N119" i="11"/>
  <c r="R119" i="11" s="1"/>
  <c r="P118" i="11"/>
  <c r="O118" i="11"/>
  <c r="N118" i="11"/>
  <c r="R118" i="11" s="1"/>
  <c r="P117" i="11"/>
  <c r="O117" i="11"/>
  <c r="N117" i="11"/>
  <c r="R117" i="11" s="1"/>
  <c r="P116" i="11"/>
  <c r="O116" i="11"/>
  <c r="N116" i="11"/>
  <c r="R116" i="11" s="1"/>
  <c r="P115" i="11"/>
  <c r="O115" i="11"/>
  <c r="N115" i="11"/>
  <c r="R115" i="11" s="1"/>
  <c r="P114" i="11"/>
  <c r="O114" i="11"/>
  <c r="N114" i="11"/>
  <c r="R114" i="11" s="1"/>
  <c r="P113" i="11"/>
  <c r="O113" i="11"/>
  <c r="N113" i="11"/>
  <c r="R113" i="11" s="1"/>
  <c r="P112" i="11"/>
  <c r="O112" i="11"/>
  <c r="N112" i="11"/>
  <c r="R112" i="11" s="1"/>
  <c r="P111" i="11"/>
  <c r="O111" i="11"/>
  <c r="N111" i="11"/>
  <c r="R111" i="11" s="1"/>
  <c r="P110" i="11"/>
  <c r="O110" i="11"/>
  <c r="N110" i="11"/>
  <c r="R110" i="11" s="1"/>
  <c r="P109" i="11"/>
  <c r="O109" i="11"/>
  <c r="N109" i="11"/>
  <c r="R109" i="11" s="1"/>
  <c r="P245" i="1"/>
  <c r="O245" i="1"/>
  <c r="N245" i="1"/>
  <c r="P244" i="1"/>
  <c r="O244" i="1"/>
  <c r="N244" i="1"/>
  <c r="P243" i="1"/>
  <c r="O243" i="1"/>
  <c r="N243" i="1"/>
  <c r="F243" i="1"/>
  <c r="P242" i="1"/>
  <c r="O242" i="1"/>
  <c r="N242" i="1"/>
  <c r="F242" i="1"/>
  <c r="P241" i="1"/>
  <c r="O241" i="1"/>
  <c r="N241" i="1"/>
  <c r="F241" i="1"/>
  <c r="P240" i="1"/>
  <c r="O240" i="1"/>
  <c r="N240" i="1"/>
  <c r="F240" i="1"/>
  <c r="P239" i="1"/>
  <c r="O239" i="1"/>
  <c r="N239" i="1"/>
  <c r="F239" i="1"/>
  <c r="P238" i="1"/>
  <c r="O238" i="1"/>
  <c r="N238" i="1"/>
  <c r="F238" i="1"/>
  <c r="F237" i="1"/>
  <c r="F236" i="1"/>
  <c r="F235" i="1"/>
  <c r="F234" i="1"/>
  <c r="F233" i="1"/>
  <c r="S231" i="1"/>
  <c r="R231" i="1"/>
  <c r="P231" i="1"/>
  <c r="T231" i="1" s="1"/>
  <c r="O231" i="1"/>
  <c r="N231" i="1"/>
  <c r="T230" i="1"/>
  <c r="P230" i="1"/>
  <c r="O230" i="1"/>
  <c r="S230" i="1" s="1"/>
  <c r="N230" i="1"/>
  <c r="R230" i="1" s="1"/>
  <c r="S229" i="1"/>
  <c r="R229" i="1"/>
  <c r="P229" i="1"/>
  <c r="T229" i="1" s="1"/>
  <c r="O229" i="1"/>
  <c r="N229" i="1"/>
  <c r="T228" i="1"/>
  <c r="S228" i="1"/>
  <c r="P228" i="1"/>
  <c r="O228" i="1"/>
  <c r="N228" i="1"/>
  <c r="R228" i="1" s="1"/>
  <c r="S227" i="1"/>
  <c r="R227" i="1"/>
  <c r="P227" i="1"/>
  <c r="T227" i="1" s="1"/>
  <c r="O227" i="1"/>
  <c r="N227" i="1"/>
  <c r="T226" i="1"/>
  <c r="P226" i="1"/>
  <c r="O226" i="1"/>
  <c r="S226" i="1" s="1"/>
  <c r="N226" i="1"/>
  <c r="R226" i="1" s="1"/>
  <c r="S225" i="1"/>
  <c r="R225" i="1"/>
  <c r="P225" i="1"/>
  <c r="T225" i="1" s="1"/>
  <c r="O225" i="1"/>
  <c r="N225" i="1"/>
  <c r="T224" i="1"/>
  <c r="S224" i="1"/>
  <c r="P224" i="1"/>
  <c r="O224" i="1"/>
  <c r="N224" i="1"/>
  <c r="R224" i="1" s="1"/>
  <c r="S223" i="1"/>
  <c r="R223" i="1"/>
  <c r="P223" i="1"/>
  <c r="T223" i="1" s="1"/>
  <c r="O223" i="1"/>
  <c r="N223" i="1"/>
  <c r="T222" i="1"/>
  <c r="P222" i="1"/>
  <c r="O222" i="1"/>
  <c r="S222" i="1" s="1"/>
  <c r="N222" i="1"/>
  <c r="R222" i="1" s="1"/>
  <c r="S221" i="1"/>
  <c r="R221" i="1"/>
  <c r="P221" i="1"/>
  <c r="T221" i="1" s="1"/>
  <c r="O221" i="1"/>
  <c r="N221" i="1"/>
  <c r="T220" i="1"/>
  <c r="S220" i="1"/>
  <c r="P220" i="1"/>
  <c r="O220" i="1"/>
  <c r="N220" i="1"/>
  <c r="R220" i="1" s="1"/>
  <c r="S219" i="1"/>
  <c r="R219" i="1"/>
  <c r="P219" i="1"/>
  <c r="T219" i="1" s="1"/>
  <c r="O219" i="1"/>
  <c r="N219" i="1"/>
  <c r="T218" i="1"/>
  <c r="P218" i="1"/>
  <c r="O218" i="1"/>
  <c r="S218" i="1" s="1"/>
  <c r="N218" i="1"/>
  <c r="R218" i="1" s="1"/>
  <c r="S217" i="1"/>
  <c r="R217" i="1"/>
  <c r="P217" i="1"/>
  <c r="T217" i="1" s="1"/>
  <c r="O217" i="1"/>
  <c r="N217" i="1"/>
  <c r="T216" i="1"/>
  <c r="S216" i="1"/>
  <c r="P216" i="1"/>
  <c r="O216" i="1"/>
  <c r="N216" i="1"/>
  <c r="R216" i="1" s="1"/>
  <c r="S215" i="1"/>
  <c r="R215" i="1"/>
  <c r="P215" i="1"/>
  <c r="T215" i="1" s="1"/>
  <c r="O215" i="1"/>
  <c r="N215" i="1"/>
  <c r="T214" i="1"/>
  <c r="P214" i="1"/>
  <c r="O214" i="1"/>
  <c r="S214" i="1" s="1"/>
  <c r="N214" i="1"/>
  <c r="R214" i="1" s="1"/>
  <c r="S213" i="1"/>
  <c r="R213" i="1"/>
  <c r="P213" i="1"/>
  <c r="T213" i="1" s="1"/>
  <c r="O213" i="1"/>
  <c r="T212" i="1"/>
  <c r="S212" i="1"/>
  <c r="R212" i="1"/>
  <c r="P212" i="1"/>
  <c r="O212" i="1"/>
  <c r="N212" i="1"/>
  <c r="T211" i="1"/>
  <c r="R211" i="1"/>
  <c r="P211" i="1"/>
  <c r="O211" i="1"/>
  <c r="S211" i="1" s="1"/>
  <c r="N211" i="1"/>
  <c r="T210" i="1"/>
  <c r="S210" i="1"/>
  <c r="P210" i="1"/>
  <c r="O210" i="1"/>
  <c r="N210" i="1"/>
  <c r="R210" i="1" s="1"/>
  <c r="R209" i="1"/>
  <c r="P209" i="1"/>
  <c r="T209" i="1" s="1"/>
  <c r="O209" i="1"/>
  <c r="S209" i="1" s="1"/>
  <c r="N209" i="1"/>
  <c r="T208" i="1"/>
  <c r="S208" i="1"/>
  <c r="P208" i="1"/>
  <c r="O208" i="1"/>
  <c r="N208" i="1"/>
  <c r="R208" i="1" s="1"/>
  <c r="S207" i="1"/>
  <c r="R207" i="1"/>
  <c r="X207" i="1" s="1"/>
  <c r="P207" i="1"/>
  <c r="T207" i="1" s="1"/>
  <c r="O207" i="1"/>
  <c r="N207" i="1"/>
  <c r="X206" i="1"/>
  <c r="T206" i="1"/>
  <c r="R206" i="1"/>
  <c r="P206" i="1"/>
  <c r="O206" i="1"/>
  <c r="S206" i="1" s="1"/>
  <c r="N206" i="1"/>
  <c r="X205" i="1"/>
  <c r="T205" i="1"/>
  <c r="S205" i="1"/>
  <c r="T204" i="1"/>
  <c r="S204" i="1"/>
  <c r="P204" i="1"/>
  <c r="O204" i="1"/>
  <c r="N204" i="1"/>
  <c r="R204" i="1" s="1"/>
  <c r="X204" i="1" s="1"/>
  <c r="S203" i="1"/>
  <c r="R203" i="1"/>
  <c r="X203" i="1" s="1"/>
  <c r="P203" i="1"/>
  <c r="T203" i="1" s="1"/>
  <c r="O203" i="1"/>
  <c r="N203" i="1"/>
  <c r="X202" i="1"/>
  <c r="R202" i="1"/>
  <c r="P202" i="1"/>
  <c r="T202" i="1" s="1"/>
  <c r="O202" i="1"/>
  <c r="S202" i="1" s="1"/>
  <c r="N202" i="1"/>
  <c r="T201" i="1"/>
  <c r="S201" i="1"/>
  <c r="P201" i="1"/>
  <c r="O201" i="1"/>
  <c r="N201" i="1"/>
  <c r="R201" i="1" s="1"/>
  <c r="X201" i="1" s="1"/>
  <c r="T200" i="1"/>
  <c r="S200" i="1"/>
  <c r="P200" i="1"/>
  <c r="O200" i="1"/>
  <c r="N200" i="1"/>
  <c r="R200" i="1" s="1"/>
  <c r="X200" i="1" s="1"/>
  <c r="S199" i="1"/>
  <c r="R199" i="1"/>
  <c r="X199" i="1" s="1"/>
  <c r="P199" i="1"/>
  <c r="T199" i="1" s="1"/>
  <c r="O199" i="1"/>
  <c r="N199" i="1"/>
  <c r="X198" i="1"/>
  <c r="T198" i="1"/>
  <c r="R198" i="1"/>
  <c r="P198" i="1"/>
  <c r="O198" i="1"/>
  <c r="S198" i="1" s="1"/>
  <c r="N198" i="1"/>
  <c r="T197" i="1"/>
  <c r="P197" i="1"/>
  <c r="O197" i="1"/>
  <c r="S197" i="1" s="1"/>
  <c r="N197" i="1"/>
  <c r="R197" i="1" s="1"/>
  <c r="X197" i="1" s="1"/>
  <c r="T196" i="1"/>
  <c r="S196" i="1"/>
  <c r="P196" i="1"/>
  <c r="O196" i="1"/>
  <c r="N196" i="1"/>
  <c r="R196" i="1" s="1"/>
  <c r="X196" i="1" s="1"/>
  <c r="X195" i="1"/>
  <c r="S195" i="1"/>
  <c r="R195" i="1"/>
  <c r="P195" i="1"/>
  <c r="T195" i="1" s="1"/>
  <c r="O195" i="1"/>
  <c r="N195" i="1"/>
  <c r="X194" i="1"/>
  <c r="T194" i="1"/>
  <c r="R194" i="1"/>
  <c r="P194" i="1"/>
  <c r="O194" i="1"/>
  <c r="S194" i="1" s="1"/>
  <c r="N194" i="1"/>
  <c r="T193" i="1"/>
  <c r="P193" i="1"/>
  <c r="O193" i="1"/>
  <c r="S193" i="1" s="1"/>
  <c r="N193" i="1"/>
  <c r="R193" i="1" s="1"/>
  <c r="X193" i="1" s="1"/>
  <c r="T192" i="1"/>
  <c r="S192" i="1"/>
  <c r="R192" i="1"/>
  <c r="X192" i="1" s="1"/>
  <c r="P192" i="1"/>
  <c r="O192" i="1"/>
  <c r="N192" i="1"/>
  <c r="X191" i="1"/>
  <c r="S191" i="1"/>
  <c r="R191" i="1"/>
  <c r="P191" i="1"/>
  <c r="T191" i="1" s="1"/>
  <c r="O191" i="1"/>
  <c r="N191" i="1"/>
  <c r="X190" i="1"/>
  <c r="R190" i="1"/>
  <c r="P190" i="1"/>
  <c r="T190" i="1" s="1"/>
  <c r="O190" i="1"/>
  <c r="S190" i="1" s="1"/>
  <c r="N190" i="1"/>
  <c r="T189" i="1"/>
  <c r="S189" i="1"/>
  <c r="P189" i="1"/>
  <c r="O189" i="1"/>
  <c r="N189" i="1"/>
  <c r="R189" i="1" s="1"/>
  <c r="X189" i="1" s="1"/>
  <c r="T188" i="1"/>
  <c r="S188" i="1"/>
  <c r="P188" i="1"/>
  <c r="O188" i="1"/>
  <c r="N188" i="1"/>
  <c r="R188" i="1" s="1"/>
  <c r="X188" i="1" s="1"/>
  <c r="S187" i="1"/>
  <c r="R187" i="1"/>
  <c r="X187" i="1" s="1"/>
  <c r="P187" i="1"/>
  <c r="T187" i="1" s="1"/>
  <c r="O187" i="1"/>
  <c r="N187" i="1"/>
  <c r="X186" i="1"/>
  <c r="R186" i="1"/>
  <c r="P186" i="1"/>
  <c r="T186" i="1" s="1"/>
  <c r="O186" i="1"/>
  <c r="S186" i="1" s="1"/>
  <c r="N186" i="1"/>
  <c r="T185" i="1"/>
  <c r="S185" i="1"/>
  <c r="P185" i="1"/>
  <c r="O185" i="1"/>
  <c r="N185" i="1"/>
  <c r="R185" i="1" s="1"/>
  <c r="X185" i="1" s="1"/>
  <c r="T184" i="1"/>
  <c r="S184" i="1"/>
  <c r="P184" i="1"/>
  <c r="O184" i="1"/>
  <c r="N184" i="1"/>
  <c r="R184" i="1" s="1"/>
  <c r="X184" i="1" s="1"/>
  <c r="S183" i="1"/>
  <c r="R183" i="1"/>
  <c r="X183" i="1" s="1"/>
  <c r="P183" i="1"/>
  <c r="T183" i="1" s="1"/>
  <c r="O183" i="1"/>
  <c r="N183" i="1"/>
  <c r="X182" i="1"/>
  <c r="T182" i="1"/>
  <c r="R182" i="1"/>
  <c r="P182" i="1"/>
  <c r="O182" i="1"/>
  <c r="S182" i="1" s="1"/>
  <c r="N182" i="1"/>
  <c r="X181" i="1"/>
  <c r="S181" i="1"/>
  <c r="P181" i="1"/>
  <c r="T181" i="1" s="1"/>
  <c r="O181" i="1"/>
  <c r="N181" i="1"/>
  <c r="R181" i="1" s="1"/>
  <c r="T180" i="1"/>
  <c r="P180" i="1"/>
  <c r="O180" i="1"/>
  <c r="S180" i="1" s="1"/>
  <c r="N180" i="1"/>
  <c r="R180" i="1" s="1"/>
  <c r="X180" i="1" s="1"/>
  <c r="S179" i="1"/>
  <c r="R179" i="1"/>
  <c r="X179" i="1" s="1"/>
  <c r="P179" i="1"/>
  <c r="T179" i="1" s="1"/>
  <c r="O179" i="1"/>
  <c r="N179" i="1"/>
  <c r="X178" i="1"/>
  <c r="T178" i="1"/>
  <c r="R178" i="1"/>
  <c r="P178" i="1"/>
  <c r="O178" i="1"/>
  <c r="S178" i="1" s="1"/>
  <c r="N178" i="1"/>
  <c r="X177" i="1"/>
  <c r="S177" i="1"/>
  <c r="P177" i="1"/>
  <c r="T177" i="1" s="1"/>
  <c r="O177" i="1"/>
  <c r="N177" i="1"/>
  <c r="R177" i="1" s="1"/>
  <c r="T176" i="1"/>
  <c r="P176" i="1"/>
  <c r="O176" i="1"/>
  <c r="S176" i="1" s="1"/>
  <c r="N176" i="1"/>
  <c r="R176" i="1" s="1"/>
  <c r="X176" i="1" s="1"/>
  <c r="S175" i="1"/>
  <c r="R175" i="1"/>
  <c r="X175" i="1" s="1"/>
  <c r="P175" i="1"/>
  <c r="T175" i="1" s="1"/>
  <c r="O175" i="1"/>
  <c r="N175" i="1"/>
  <c r="X174" i="1"/>
  <c r="T174" i="1"/>
  <c r="R174" i="1"/>
  <c r="P174" i="1"/>
  <c r="O174" i="1"/>
  <c r="S174" i="1" s="1"/>
  <c r="N174" i="1"/>
  <c r="X173" i="1"/>
  <c r="S173" i="1"/>
  <c r="P173" i="1"/>
  <c r="T173" i="1" s="1"/>
  <c r="O173" i="1"/>
  <c r="N173" i="1"/>
  <c r="R173" i="1" s="1"/>
  <c r="T172" i="1"/>
  <c r="S172" i="1"/>
  <c r="P172" i="1"/>
  <c r="O172" i="1"/>
  <c r="N172" i="1"/>
  <c r="R172" i="1" s="1"/>
  <c r="X172" i="1" s="1"/>
  <c r="P171" i="1"/>
  <c r="T171" i="1" s="1"/>
  <c r="O171" i="1"/>
  <c r="S171" i="1" s="1"/>
  <c r="N171" i="1"/>
  <c r="R171" i="1" s="1"/>
  <c r="S170" i="1"/>
  <c r="R170" i="1"/>
  <c r="P170" i="1"/>
  <c r="T170" i="1" s="1"/>
  <c r="O170" i="1"/>
  <c r="N170" i="1"/>
  <c r="T169" i="1"/>
  <c r="P169" i="1"/>
  <c r="O169" i="1"/>
  <c r="S169" i="1" s="1"/>
  <c r="N169" i="1"/>
  <c r="R169" i="1" s="1"/>
  <c r="S168" i="1"/>
  <c r="P168" i="1"/>
  <c r="T168" i="1" s="1"/>
  <c r="O168" i="1"/>
  <c r="N168" i="1"/>
  <c r="R168" i="1" s="1"/>
  <c r="T167" i="1"/>
  <c r="P167" i="1"/>
  <c r="O167" i="1"/>
  <c r="S167" i="1" s="1"/>
  <c r="N167" i="1"/>
  <c r="R167" i="1" s="1"/>
  <c r="S166" i="1"/>
  <c r="P166" i="1"/>
  <c r="T166" i="1" s="1"/>
  <c r="O166" i="1"/>
  <c r="N166" i="1"/>
  <c r="R166" i="1" s="1"/>
  <c r="T165" i="1"/>
  <c r="P165" i="1"/>
  <c r="O165" i="1"/>
  <c r="S165" i="1" s="1"/>
  <c r="N165" i="1"/>
  <c r="R165" i="1" s="1"/>
  <c r="S164" i="1"/>
  <c r="P164" i="1"/>
  <c r="T164" i="1" s="1"/>
  <c r="O164" i="1"/>
  <c r="N164" i="1"/>
  <c r="R164" i="1" s="1"/>
  <c r="P163" i="1"/>
  <c r="T163" i="1" s="1"/>
  <c r="O163" i="1"/>
  <c r="S163" i="1" s="1"/>
  <c r="N163" i="1"/>
  <c r="R163" i="1" s="1"/>
  <c r="S162" i="1"/>
  <c r="R162" i="1"/>
  <c r="P162" i="1"/>
  <c r="T162" i="1" s="1"/>
  <c r="O162" i="1"/>
  <c r="N162" i="1"/>
  <c r="T161" i="1"/>
  <c r="P161" i="1"/>
  <c r="O161" i="1"/>
  <c r="S161" i="1" s="1"/>
  <c r="N161" i="1"/>
  <c r="R161" i="1" s="1"/>
  <c r="S159" i="1"/>
  <c r="P159" i="1"/>
  <c r="T159" i="1" s="1"/>
  <c r="O159" i="1"/>
  <c r="N159" i="1"/>
  <c r="R159" i="1" s="1"/>
  <c r="T158" i="1"/>
  <c r="P158" i="1"/>
  <c r="O158" i="1"/>
  <c r="S158" i="1" s="1"/>
  <c r="N158" i="1"/>
  <c r="R158" i="1" s="1"/>
  <c r="S157" i="1"/>
  <c r="P157" i="1"/>
  <c r="T157" i="1" s="1"/>
  <c r="O157" i="1"/>
  <c r="N157" i="1"/>
  <c r="R157" i="1" s="1"/>
  <c r="T156" i="1"/>
  <c r="P156" i="1"/>
  <c r="O156" i="1"/>
  <c r="S156" i="1" s="1"/>
  <c r="N156" i="1"/>
  <c r="R156" i="1" s="1"/>
  <c r="S155" i="1"/>
  <c r="P155" i="1"/>
  <c r="T155" i="1" s="1"/>
  <c r="O155" i="1"/>
  <c r="N155" i="1"/>
  <c r="R155" i="1" s="1"/>
  <c r="P154" i="1"/>
  <c r="T154" i="1" s="1"/>
  <c r="O154" i="1"/>
  <c r="S154" i="1" s="1"/>
  <c r="N154" i="1"/>
  <c r="R154" i="1" s="1"/>
  <c r="S153" i="1"/>
  <c r="R153" i="1"/>
  <c r="P153" i="1"/>
  <c r="T153" i="1" s="1"/>
  <c r="O153" i="1"/>
  <c r="N153" i="1"/>
  <c r="P152" i="1"/>
  <c r="T152" i="1" s="1"/>
  <c r="O152" i="1"/>
  <c r="S152" i="1" s="1"/>
  <c r="N152" i="1"/>
  <c r="R152" i="1" s="1"/>
  <c r="S151" i="1"/>
  <c r="R151" i="1"/>
  <c r="P151" i="1"/>
  <c r="T151" i="1" s="1"/>
  <c r="O151" i="1"/>
  <c r="N151" i="1"/>
  <c r="T150" i="1"/>
  <c r="P150" i="1"/>
  <c r="O150" i="1"/>
  <c r="S150" i="1" s="1"/>
  <c r="N150" i="1"/>
  <c r="R150" i="1" s="1"/>
  <c r="S149" i="1"/>
  <c r="P149" i="1"/>
  <c r="T149" i="1" s="1"/>
  <c r="O149" i="1"/>
  <c r="N149" i="1"/>
  <c r="R149" i="1" s="1"/>
  <c r="T148" i="1"/>
  <c r="P148" i="1"/>
  <c r="O148" i="1"/>
  <c r="S148" i="1" s="1"/>
  <c r="N148" i="1"/>
  <c r="R148" i="1" s="1"/>
  <c r="S147" i="1"/>
  <c r="P147" i="1"/>
  <c r="T147" i="1" s="1"/>
  <c r="O147" i="1"/>
  <c r="N147" i="1"/>
  <c r="R147" i="1" s="1"/>
  <c r="P146" i="1"/>
  <c r="T146" i="1" s="1"/>
  <c r="O146" i="1"/>
  <c r="S146" i="1" s="1"/>
  <c r="N146" i="1"/>
  <c r="R146" i="1" s="1"/>
  <c r="S145" i="1"/>
  <c r="R145" i="1"/>
  <c r="P145" i="1"/>
  <c r="T145" i="1" s="1"/>
  <c r="O145" i="1"/>
  <c r="N145" i="1"/>
  <c r="P144" i="1"/>
  <c r="T144" i="1" s="1"/>
  <c r="O144" i="1"/>
  <c r="S144" i="1" s="1"/>
  <c r="N144" i="1"/>
  <c r="R144" i="1" s="1"/>
  <c r="S143" i="1"/>
  <c r="R143" i="1"/>
  <c r="P143" i="1"/>
  <c r="T143" i="1" s="1"/>
  <c r="O143" i="1"/>
  <c r="N143" i="1"/>
  <c r="T142" i="1"/>
  <c r="P142" i="1"/>
  <c r="O142" i="1"/>
  <c r="S142" i="1" s="1"/>
  <c r="N142" i="1"/>
  <c r="R142" i="1" s="1"/>
  <c r="S141" i="1"/>
  <c r="P141" i="1"/>
  <c r="T141" i="1" s="1"/>
  <c r="O141" i="1"/>
  <c r="N141" i="1"/>
  <c r="R141" i="1" s="1"/>
  <c r="T140" i="1"/>
  <c r="P140" i="1"/>
  <c r="O140" i="1"/>
  <c r="S140" i="1" s="1"/>
  <c r="N140" i="1"/>
  <c r="R140" i="1" s="1"/>
  <c r="S139" i="1"/>
  <c r="P139" i="1"/>
  <c r="T139" i="1" s="1"/>
  <c r="O139" i="1"/>
  <c r="N139" i="1"/>
  <c r="R139" i="1" s="1"/>
  <c r="P138" i="1"/>
  <c r="T138" i="1" s="1"/>
  <c r="O138" i="1"/>
  <c r="S138" i="1" s="1"/>
  <c r="N138" i="1"/>
  <c r="R138" i="1" s="1"/>
  <c r="S137" i="1"/>
  <c r="R137" i="1"/>
  <c r="P137" i="1"/>
  <c r="T137" i="1" s="1"/>
  <c r="O137" i="1"/>
  <c r="N137" i="1"/>
  <c r="T136" i="1"/>
  <c r="P136" i="1"/>
  <c r="O136" i="1"/>
  <c r="S136" i="1" s="1"/>
  <c r="N136" i="1"/>
  <c r="R136" i="1" s="1"/>
  <c r="S135" i="1"/>
  <c r="P135" i="1"/>
  <c r="T135" i="1" s="1"/>
  <c r="O135" i="1"/>
  <c r="N135" i="1"/>
  <c r="R135" i="1" s="1"/>
  <c r="T134" i="1"/>
  <c r="P134" i="1"/>
  <c r="O134" i="1"/>
  <c r="S134" i="1" s="1"/>
  <c r="N134" i="1"/>
  <c r="R134" i="1" s="1"/>
  <c r="S133" i="1"/>
  <c r="P133" i="1"/>
  <c r="T133" i="1" s="1"/>
  <c r="O133" i="1"/>
  <c r="N133" i="1"/>
  <c r="R133" i="1" s="1"/>
  <c r="T132" i="1"/>
  <c r="P132" i="1"/>
  <c r="O132" i="1"/>
  <c r="S132" i="1" s="1"/>
  <c r="N132" i="1"/>
  <c r="R132" i="1" s="1"/>
  <c r="S131" i="1"/>
  <c r="P131" i="1"/>
  <c r="T131" i="1" s="1"/>
  <c r="O131" i="1"/>
  <c r="N131" i="1"/>
  <c r="R131" i="1" s="1"/>
  <c r="P130" i="1"/>
  <c r="T130" i="1" s="1"/>
  <c r="O130" i="1"/>
  <c r="S130" i="1" s="1"/>
  <c r="N130" i="1"/>
  <c r="R130" i="1" s="1"/>
  <c r="S129" i="1"/>
  <c r="R129" i="1"/>
  <c r="P129" i="1"/>
  <c r="T129" i="1" s="1"/>
  <c r="O129" i="1"/>
  <c r="N129" i="1"/>
  <c r="T128" i="1"/>
  <c r="P128" i="1"/>
  <c r="O128" i="1"/>
  <c r="S128" i="1" s="1"/>
  <c r="N128" i="1"/>
  <c r="R128" i="1" s="1"/>
  <c r="S127" i="1"/>
  <c r="P127" i="1"/>
  <c r="T127" i="1" s="1"/>
  <c r="O127" i="1"/>
  <c r="N127" i="1"/>
  <c r="R127" i="1" s="1"/>
  <c r="T126" i="1"/>
  <c r="P126" i="1"/>
  <c r="O126" i="1"/>
  <c r="S126" i="1" s="1"/>
  <c r="N126" i="1"/>
  <c r="R126" i="1" s="1"/>
  <c r="F126" i="1"/>
  <c r="T125" i="1"/>
  <c r="S125" i="1"/>
  <c r="P125" i="1"/>
  <c r="O125" i="1"/>
  <c r="N125" i="1"/>
  <c r="R125" i="1" s="1"/>
  <c r="T124" i="1"/>
  <c r="R124" i="1"/>
  <c r="P124" i="1"/>
  <c r="O124" i="1"/>
  <c r="S124" i="1" s="1"/>
  <c r="N124" i="1"/>
  <c r="T123" i="1"/>
  <c r="R123" i="1"/>
  <c r="P123" i="1"/>
  <c r="O123" i="1"/>
  <c r="S123" i="1" s="1"/>
  <c r="N123" i="1"/>
  <c r="T122" i="1"/>
  <c r="R122" i="1"/>
  <c r="P122" i="1"/>
  <c r="O122" i="1"/>
  <c r="S122" i="1" s="1"/>
  <c r="N122" i="1"/>
  <c r="T121" i="1"/>
  <c r="P121" i="1"/>
  <c r="O121" i="1"/>
  <c r="S121" i="1" s="1"/>
  <c r="N121" i="1"/>
  <c r="R121" i="1" s="1"/>
  <c r="R120" i="1"/>
  <c r="P120" i="1"/>
  <c r="T120" i="1" s="1"/>
  <c r="O120" i="1"/>
  <c r="S120" i="1" s="1"/>
  <c r="N120" i="1"/>
  <c r="T119" i="1"/>
  <c r="P119" i="1"/>
  <c r="O119" i="1"/>
  <c r="S119" i="1" s="1"/>
  <c r="N119" i="1"/>
  <c r="R119" i="1" s="1"/>
  <c r="R118" i="1"/>
  <c r="P118" i="1"/>
  <c r="T118" i="1" s="1"/>
  <c r="O118" i="1"/>
  <c r="S118" i="1" s="1"/>
  <c r="N118" i="1"/>
  <c r="T117" i="1"/>
  <c r="S117" i="1"/>
  <c r="R117" i="1"/>
  <c r="P117" i="1"/>
  <c r="O117" i="1"/>
  <c r="N117" i="1"/>
  <c r="T116" i="1"/>
  <c r="R116" i="1"/>
  <c r="P116" i="1"/>
  <c r="O116" i="1"/>
  <c r="S116" i="1" s="1"/>
  <c r="N116" i="1"/>
  <c r="T115" i="1"/>
  <c r="R115" i="1"/>
  <c r="P115" i="1"/>
  <c r="O115" i="1"/>
  <c r="S115" i="1" s="1"/>
  <c r="N115" i="1"/>
  <c r="T114" i="1"/>
  <c r="S114" i="1"/>
  <c r="T113" i="1"/>
  <c r="R113" i="1"/>
  <c r="P113" i="1"/>
  <c r="O113" i="1"/>
  <c r="S113" i="1" s="1"/>
  <c r="N113" i="1"/>
  <c r="F113" i="1"/>
  <c r="T112" i="1"/>
  <c r="S112" i="1"/>
  <c r="S111" i="1"/>
  <c r="P111" i="1"/>
  <c r="T111" i="1" s="1"/>
  <c r="O111" i="1"/>
  <c r="N111" i="1"/>
  <c r="R111" i="1" s="1"/>
  <c r="S110" i="1"/>
  <c r="R110" i="1"/>
  <c r="P110" i="1"/>
  <c r="T110" i="1" s="1"/>
  <c r="O110" i="1"/>
  <c r="N110" i="1"/>
  <c r="T109" i="1"/>
  <c r="P109" i="1"/>
  <c r="O109" i="1"/>
  <c r="S109" i="1" s="1"/>
  <c r="N109" i="1"/>
  <c r="R109" i="1" s="1"/>
  <c r="F109" i="1"/>
  <c r="T108" i="1"/>
  <c r="S108" i="1"/>
  <c r="R108" i="1"/>
  <c r="P108" i="1"/>
  <c r="O108" i="1"/>
  <c r="N108" i="1"/>
  <c r="T107" i="1"/>
  <c r="R107" i="1"/>
  <c r="P107" i="1"/>
  <c r="O107" i="1"/>
  <c r="S107" i="1" s="1"/>
  <c r="N107" i="1"/>
  <c r="F107" i="1"/>
  <c r="S106" i="1"/>
  <c r="P106" i="1"/>
  <c r="T106" i="1" s="1"/>
  <c r="O106" i="1"/>
  <c r="N106" i="1"/>
  <c r="R106" i="1" s="1"/>
  <c r="F106" i="1"/>
  <c r="T105" i="1"/>
  <c r="P105" i="1"/>
  <c r="O105" i="1"/>
  <c r="S105" i="1" s="1"/>
  <c r="N105" i="1"/>
  <c r="R105" i="1" s="1"/>
  <c r="F105" i="1"/>
  <c r="S104" i="1"/>
  <c r="R104" i="1"/>
  <c r="P104" i="1"/>
  <c r="T104" i="1" s="1"/>
  <c r="O104" i="1"/>
  <c r="N104" i="1"/>
  <c r="F104" i="1"/>
  <c r="R103" i="1"/>
  <c r="P103" i="1"/>
  <c r="T103" i="1" s="1"/>
  <c r="O103" i="1"/>
  <c r="S103" i="1" s="1"/>
  <c r="N103" i="1"/>
  <c r="F103" i="1"/>
  <c r="T102" i="1"/>
  <c r="S102" i="1"/>
  <c r="P102" i="1"/>
  <c r="O102" i="1"/>
  <c r="N102" i="1"/>
  <c r="R102" i="1" s="1"/>
  <c r="F102" i="1"/>
  <c r="T101" i="1"/>
  <c r="S101" i="1"/>
  <c r="F101" i="1"/>
  <c r="S100" i="1"/>
  <c r="P100" i="1"/>
  <c r="T100" i="1" s="1"/>
  <c r="O100" i="1"/>
  <c r="N100" i="1"/>
  <c r="R100" i="1" s="1"/>
  <c r="F100" i="1"/>
  <c r="R99" i="1"/>
  <c r="P99" i="1"/>
  <c r="T99" i="1" s="1"/>
  <c r="O99" i="1"/>
  <c r="S99" i="1" s="1"/>
  <c r="N99" i="1"/>
  <c r="F99" i="1"/>
  <c r="T98" i="1"/>
  <c r="P98" i="1"/>
  <c r="O98" i="1"/>
  <c r="S98" i="1" s="1"/>
  <c r="N98" i="1"/>
  <c r="R98" i="1" s="1"/>
  <c r="F98" i="1"/>
  <c r="T97" i="1"/>
  <c r="S97" i="1"/>
  <c r="R97" i="1"/>
  <c r="P97" i="1"/>
  <c r="O97" i="1"/>
  <c r="N97" i="1"/>
  <c r="F97" i="1"/>
  <c r="S96" i="1"/>
  <c r="P96" i="1"/>
  <c r="T96" i="1" s="1"/>
  <c r="O96" i="1"/>
  <c r="N96" i="1"/>
  <c r="R96" i="1" s="1"/>
  <c r="F96" i="1"/>
  <c r="T95" i="1"/>
  <c r="R95" i="1"/>
  <c r="P95" i="1"/>
  <c r="O95" i="1"/>
  <c r="S95" i="1" s="1"/>
  <c r="N95" i="1"/>
  <c r="F95" i="1"/>
  <c r="P94" i="1"/>
  <c r="T94" i="1" s="1"/>
  <c r="O94" i="1"/>
  <c r="S94" i="1" s="1"/>
  <c r="N94" i="1"/>
  <c r="R94" i="1" s="1"/>
  <c r="F94" i="1"/>
  <c r="T93" i="1"/>
  <c r="P93" i="1"/>
  <c r="O93" i="1"/>
  <c r="S93" i="1" s="1"/>
  <c r="N93" i="1"/>
  <c r="R93" i="1" s="1"/>
  <c r="F93" i="1"/>
  <c r="S92" i="1"/>
  <c r="R92" i="1"/>
  <c r="P92" i="1"/>
  <c r="T92" i="1" s="1"/>
  <c r="O92" i="1"/>
  <c r="N92" i="1"/>
  <c r="F92" i="1"/>
  <c r="T91" i="1"/>
  <c r="R91" i="1"/>
  <c r="P91" i="1"/>
  <c r="O91" i="1"/>
  <c r="S91" i="1" s="1"/>
  <c r="N91" i="1"/>
  <c r="F91" i="1"/>
  <c r="S90" i="1"/>
  <c r="P90" i="1"/>
  <c r="T90" i="1" s="1"/>
  <c r="O90" i="1"/>
  <c r="N90" i="1"/>
  <c r="R90" i="1" s="1"/>
  <c r="F90" i="1"/>
  <c r="T89" i="1"/>
  <c r="P89" i="1"/>
  <c r="O89" i="1"/>
  <c r="S89" i="1" s="1"/>
  <c r="N89" i="1"/>
  <c r="R89" i="1" s="1"/>
  <c r="F89" i="1"/>
  <c r="S88" i="1"/>
  <c r="P88" i="1"/>
  <c r="T88" i="1" s="1"/>
  <c r="O88" i="1"/>
  <c r="N88" i="1"/>
  <c r="R88" i="1" s="1"/>
  <c r="F88" i="1"/>
  <c r="R87" i="1"/>
  <c r="P87" i="1"/>
  <c r="T87" i="1" s="1"/>
  <c r="O87" i="1"/>
  <c r="S87" i="1" s="1"/>
  <c r="N87" i="1"/>
  <c r="F87" i="1"/>
  <c r="T86" i="1"/>
  <c r="S86" i="1"/>
  <c r="P86" i="1"/>
  <c r="O86" i="1"/>
  <c r="N86" i="1"/>
  <c r="R86" i="1" s="1"/>
  <c r="F86" i="1"/>
  <c r="T85" i="1"/>
  <c r="R85" i="1"/>
  <c r="P85" i="1"/>
  <c r="O85" i="1"/>
  <c r="S85" i="1" s="1"/>
  <c r="N85" i="1"/>
  <c r="F85" i="1"/>
  <c r="S84" i="1"/>
  <c r="P84" i="1"/>
  <c r="T84" i="1" s="1"/>
  <c r="O84" i="1"/>
  <c r="N84" i="1"/>
  <c r="R84" i="1" s="1"/>
  <c r="F84" i="1"/>
  <c r="T83" i="1"/>
  <c r="S83" i="1"/>
  <c r="T82" i="1"/>
  <c r="S82" i="1"/>
  <c r="R81" i="1"/>
  <c r="P81" i="1"/>
  <c r="T81" i="1" s="1"/>
  <c r="O81" i="1"/>
  <c r="S81" i="1" s="1"/>
  <c r="N81" i="1"/>
  <c r="F81" i="1"/>
  <c r="T80" i="1"/>
  <c r="P80" i="1"/>
  <c r="O80" i="1"/>
  <c r="S80" i="1" s="1"/>
  <c r="N80" i="1"/>
  <c r="R80" i="1" s="1"/>
  <c r="F80" i="1"/>
  <c r="T79" i="1"/>
  <c r="S79" i="1"/>
  <c r="R79" i="1"/>
  <c r="P79" i="1"/>
  <c r="O79" i="1"/>
  <c r="N79" i="1"/>
  <c r="F79" i="1"/>
  <c r="P78" i="1"/>
  <c r="T78" i="1" s="1"/>
  <c r="O78" i="1"/>
  <c r="S78" i="1" s="1"/>
  <c r="N78" i="1"/>
  <c r="R78" i="1" s="1"/>
  <c r="F78" i="1"/>
  <c r="T77" i="1"/>
  <c r="P77" i="1"/>
  <c r="O77" i="1"/>
  <c r="S77" i="1" s="1"/>
  <c r="N77" i="1"/>
  <c r="R77" i="1" s="1"/>
  <c r="F77" i="1"/>
  <c r="S76" i="1"/>
  <c r="R76" i="1"/>
  <c r="P76" i="1"/>
  <c r="T76" i="1" s="1"/>
  <c r="O76" i="1"/>
  <c r="N76" i="1"/>
  <c r="F76" i="1"/>
  <c r="T75" i="1"/>
  <c r="S75" i="1"/>
  <c r="T74" i="1"/>
  <c r="S74" i="1"/>
  <c r="P74" i="1"/>
  <c r="O74" i="1"/>
  <c r="N74" i="1"/>
  <c r="R74" i="1" s="1"/>
  <c r="F74" i="1"/>
  <c r="S73" i="1"/>
  <c r="P73" i="1"/>
  <c r="T73" i="1" s="1"/>
  <c r="O73" i="1"/>
  <c r="N73" i="1"/>
  <c r="R73" i="1" s="1"/>
  <c r="F73" i="1"/>
  <c r="T72" i="1"/>
  <c r="S72" i="1"/>
  <c r="T71" i="1"/>
  <c r="P71" i="1"/>
  <c r="O71" i="1"/>
  <c r="S71" i="1" s="1"/>
  <c r="N71" i="1"/>
  <c r="R71" i="1" s="1"/>
  <c r="R70" i="1"/>
  <c r="P70" i="1"/>
  <c r="T70" i="1" s="1"/>
  <c r="O70" i="1"/>
  <c r="S70" i="1" s="1"/>
  <c r="N70" i="1"/>
  <c r="T69" i="1"/>
  <c r="S69" i="1"/>
  <c r="P69" i="1"/>
  <c r="O69" i="1"/>
  <c r="N69" i="1"/>
  <c r="R69" i="1" s="1"/>
  <c r="R68" i="1"/>
  <c r="P68" i="1"/>
  <c r="T68" i="1" s="1"/>
  <c r="O68" i="1"/>
  <c r="S68" i="1" s="1"/>
  <c r="N68" i="1"/>
  <c r="T67" i="1"/>
  <c r="S67" i="1"/>
  <c r="P67" i="1"/>
  <c r="O67" i="1"/>
  <c r="N67" i="1"/>
  <c r="R67" i="1" s="1"/>
  <c r="R66" i="1"/>
  <c r="P66" i="1"/>
  <c r="T66" i="1" s="1"/>
  <c r="O66" i="1"/>
  <c r="S66" i="1" s="1"/>
  <c r="N66" i="1"/>
  <c r="T65" i="1"/>
  <c r="P65" i="1"/>
  <c r="O65" i="1"/>
  <c r="S65" i="1" s="1"/>
  <c r="N65" i="1"/>
  <c r="R65" i="1" s="1"/>
  <c r="R64" i="1"/>
  <c r="P64" i="1"/>
  <c r="T64" i="1" s="1"/>
  <c r="O64" i="1"/>
  <c r="S64" i="1" s="1"/>
  <c r="N64" i="1"/>
  <c r="T63" i="1"/>
  <c r="P63" i="1"/>
  <c r="O63" i="1"/>
  <c r="S63" i="1" s="1"/>
  <c r="N63" i="1"/>
  <c r="R63" i="1" s="1"/>
  <c r="T62" i="1"/>
  <c r="S62" i="1"/>
  <c r="T61" i="1"/>
  <c r="P61" i="1"/>
  <c r="O61" i="1"/>
  <c r="S61" i="1" s="1"/>
  <c r="N61" i="1"/>
  <c r="R61" i="1" s="1"/>
  <c r="R60" i="1"/>
  <c r="P60" i="1"/>
  <c r="T60" i="1" s="1"/>
  <c r="O60" i="1"/>
  <c r="S60" i="1" s="1"/>
  <c r="N60" i="1"/>
  <c r="T59" i="1"/>
  <c r="P59" i="1"/>
  <c r="O59" i="1"/>
  <c r="S59" i="1" s="1"/>
  <c r="N59" i="1"/>
  <c r="R59" i="1" s="1"/>
  <c r="R58" i="1"/>
  <c r="P58" i="1"/>
  <c r="T58" i="1" s="1"/>
  <c r="O58" i="1"/>
  <c r="S58" i="1" s="1"/>
  <c r="N58" i="1"/>
  <c r="T57" i="1"/>
  <c r="S57" i="1"/>
  <c r="P57" i="1"/>
  <c r="O57" i="1"/>
  <c r="N57" i="1"/>
  <c r="R57" i="1" s="1"/>
  <c r="R56" i="1"/>
  <c r="P56" i="1"/>
  <c r="T56" i="1" s="1"/>
  <c r="O56" i="1"/>
  <c r="S56" i="1" s="1"/>
  <c r="N56" i="1"/>
  <c r="T55" i="1"/>
  <c r="S55" i="1"/>
  <c r="P55" i="1"/>
  <c r="O55" i="1"/>
  <c r="N55" i="1"/>
  <c r="R55" i="1" s="1"/>
  <c r="R54" i="1"/>
  <c r="P54" i="1"/>
  <c r="T54" i="1" s="1"/>
  <c r="O54" i="1"/>
  <c r="S54" i="1" s="1"/>
  <c r="N54" i="1"/>
  <c r="T53" i="1"/>
  <c r="P53" i="1"/>
  <c r="O53" i="1"/>
  <c r="S53" i="1" s="1"/>
  <c r="N53" i="1"/>
  <c r="R53" i="1" s="1"/>
  <c r="R52" i="1"/>
  <c r="P52" i="1"/>
  <c r="T52" i="1" s="1"/>
  <c r="O52" i="1"/>
  <c r="S52" i="1" s="1"/>
  <c r="N52" i="1"/>
  <c r="T51" i="1"/>
  <c r="P51" i="1"/>
  <c r="O51" i="1"/>
  <c r="S51" i="1" s="1"/>
  <c r="N51" i="1"/>
  <c r="R51" i="1" s="1"/>
  <c r="R50" i="1"/>
  <c r="P50" i="1"/>
  <c r="T50" i="1" s="1"/>
  <c r="O50" i="1"/>
  <c r="S50" i="1" s="1"/>
  <c r="N50" i="1"/>
  <c r="T49" i="1"/>
  <c r="S49" i="1"/>
  <c r="P49" i="1"/>
  <c r="O49" i="1"/>
  <c r="N49" i="1"/>
  <c r="R49" i="1" s="1"/>
  <c r="R48" i="1"/>
  <c r="P48" i="1"/>
  <c r="T48" i="1" s="1"/>
  <c r="O48" i="1"/>
  <c r="S48" i="1" s="1"/>
  <c r="N48" i="1"/>
  <c r="T47" i="1"/>
  <c r="S47" i="1"/>
  <c r="P47" i="1"/>
  <c r="O47" i="1"/>
  <c r="N47" i="1"/>
  <c r="R47" i="1" s="1"/>
  <c r="R46" i="1"/>
  <c r="P46" i="1"/>
  <c r="T46" i="1" s="1"/>
  <c r="O46" i="1"/>
  <c r="S46" i="1" s="1"/>
  <c r="N46" i="1"/>
  <c r="T45" i="1"/>
  <c r="P45" i="1"/>
  <c r="O45" i="1"/>
  <c r="S45" i="1" s="1"/>
  <c r="N45" i="1"/>
  <c r="R45" i="1" s="1"/>
  <c r="R44" i="1"/>
  <c r="P44" i="1"/>
  <c r="T44" i="1" s="1"/>
  <c r="O44" i="1"/>
  <c r="S44" i="1" s="1"/>
  <c r="N44" i="1"/>
  <c r="T43" i="1"/>
  <c r="P43" i="1"/>
  <c r="O43" i="1"/>
  <c r="S43" i="1" s="1"/>
  <c r="N43" i="1"/>
  <c r="R43" i="1" s="1"/>
  <c r="R42" i="1"/>
  <c r="P42" i="1"/>
  <c r="T42" i="1" s="1"/>
  <c r="O42" i="1"/>
  <c r="S42" i="1" s="1"/>
  <c r="N42" i="1"/>
  <c r="T41" i="1"/>
  <c r="S41" i="1"/>
  <c r="P41" i="1"/>
  <c r="O41" i="1"/>
  <c r="N41" i="1"/>
  <c r="R41" i="1" s="1"/>
  <c r="R40" i="1"/>
  <c r="P40" i="1"/>
  <c r="T40" i="1" s="1"/>
  <c r="O40" i="1"/>
  <c r="S40" i="1" s="1"/>
  <c r="N40" i="1"/>
  <c r="T39" i="1"/>
  <c r="S39" i="1"/>
  <c r="P39" i="1"/>
  <c r="O39" i="1"/>
  <c r="N39" i="1"/>
  <c r="R39" i="1" s="1"/>
  <c r="R38" i="1"/>
  <c r="P38" i="1"/>
  <c r="T38" i="1" s="1"/>
  <c r="O38" i="1"/>
  <c r="S38" i="1" s="1"/>
  <c r="N38" i="1"/>
  <c r="T37" i="1"/>
  <c r="P37" i="1"/>
  <c r="O37" i="1"/>
  <c r="S37" i="1" s="1"/>
  <c r="N37" i="1"/>
  <c r="R37" i="1" s="1"/>
  <c r="R36" i="1"/>
  <c r="P36" i="1"/>
  <c r="T36" i="1" s="1"/>
  <c r="O36" i="1"/>
  <c r="S36" i="1" s="1"/>
  <c r="N36" i="1"/>
  <c r="T35" i="1"/>
  <c r="P35" i="1"/>
  <c r="O35" i="1"/>
  <c r="S35" i="1" s="1"/>
  <c r="N35" i="1"/>
  <c r="R35" i="1" s="1"/>
  <c r="R34" i="1"/>
  <c r="P34" i="1"/>
  <c r="T34" i="1" s="1"/>
  <c r="O34" i="1"/>
  <c r="S34" i="1" s="1"/>
  <c r="N34" i="1"/>
  <c r="O33" i="1"/>
  <c r="S33" i="1" s="1"/>
  <c r="N33" i="1"/>
  <c r="R33" i="1" s="1"/>
  <c r="M33" i="1"/>
  <c r="P33" i="1" s="1"/>
  <c r="T33" i="1" s="1"/>
  <c r="R32" i="1"/>
  <c r="N32" i="1"/>
  <c r="M32" i="1"/>
  <c r="P31" i="1"/>
  <c r="T31" i="1" s="1"/>
  <c r="M31" i="1"/>
  <c r="P30" i="1"/>
  <c r="T30" i="1" s="1"/>
  <c r="O30" i="1"/>
  <c r="S30" i="1" s="1"/>
  <c r="N30" i="1"/>
  <c r="R30" i="1" s="1"/>
  <c r="M30" i="1"/>
  <c r="S29" i="1"/>
  <c r="O29" i="1"/>
  <c r="N29" i="1"/>
  <c r="R29" i="1" s="1"/>
  <c r="M29" i="1"/>
  <c r="P29" i="1" s="1"/>
  <c r="T29" i="1" s="1"/>
  <c r="M28" i="1"/>
  <c r="P27" i="1"/>
  <c r="T27" i="1" s="1"/>
  <c r="M27" i="1"/>
  <c r="P26" i="1"/>
  <c r="T26" i="1" s="1"/>
  <c r="O26" i="1"/>
  <c r="S26" i="1" s="1"/>
  <c r="N26" i="1"/>
  <c r="R26" i="1" s="1"/>
  <c r="M26" i="1"/>
  <c r="S25" i="1"/>
  <c r="O25" i="1"/>
  <c r="N25" i="1"/>
  <c r="R25" i="1" s="1"/>
  <c r="M25" i="1"/>
  <c r="P25" i="1" s="1"/>
  <c r="T25" i="1" s="1"/>
  <c r="M24" i="1"/>
  <c r="M23" i="1"/>
  <c r="T22" i="1"/>
  <c r="P22" i="1"/>
  <c r="O22" i="1"/>
  <c r="S22" i="1" s="1"/>
  <c r="N22" i="1"/>
  <c r="R22" i="1" s="1"/>
  <c r="M22" i="1"/>
  <c r="O21" i="1"/>
  <c r="S21" i="1" s="1"/>
  <c r="N21" i="1"/>
  <c r="R21" i="1" s="1"/>
  <c r="M21" i="1"/>
  <c r="P21" i="1" s="1"/>
  <c r="T21" i="1" s="1"/>
  <c r="N20" i="1"/>
  <c r="R20" i="1" s="1"/>
  <c r="M20" i="1"/>
  <c r="M19" i="1"/>
  <c r="T18" i="1"/>
  <c r="P18" i="1"/>
  <c r="O18" i="1"/>
  <c r="S18" i="1" s="1"/>
  <c r="N18" i="1"/>
  <c r="R18" i="1" s="1"/>
  <c r="M18" i="1"/>
  <c r="O17" i="1"/>
  <c r="S17" i="1" s="1"/>
  <c r="N17" i="1"/>
  <c r="R17" i="1" s="1"/>
  <c r="M17" i="1"/>
  <c r="P17" i="1" s="1"/>
  <c r="T17" i="1" s="1"/>
  <c r="R16" i="1"/>
  <c r="N16" i="1"/>
  <c r="M16" i="1"/>
  <c r="R15" i="1"/>
  <c r="P15" i="1"/>
  <c r="T15" i="1" s="1"/>
  <c r="O15" i="1"/>
  <c r="S15" i="1" s="1"/>
  <c r="M15" i="1"/>
  <c r="N15" i="1" s="1"/>
  <c r="T14" i="1"/>
  <c r="S14" i="1"/>
  <c r="P14" i="1"/>
  <c r="O14" i="1"/>
  <c r="N14" i="1"/>
  <c r="R14" i="1" s="1"/>
  <c r="M14" i="1"/>
  <c r="T13" i="1"/>
  <c r="R13" i="1"/>
  <c r="O13" i="1"/>
  <c r="S13" i="1" s="1"/>
  <c r="N13" i="1"/>
  <c r="M13" i="1"/>
  <c r="P13" i="1" s="1"/>
  <c r="M12" i="1"/>
  <c r="O12" i="1" s="1"/>
  <c r="S12" i="1" s="1"/>
  <c r="M11" i="1"/>
  <c r="N11" i="1" s="1"/>
  <c r="R11" i="1" s="1"/>
  <c r="P10" i="1"/>
  <c r="T10" i="1" s="1"/>
  <c r="O10" i="1"/>
  <c r="S10" i="1" s="1"/>
  <c r="N10" i="1"/>
  <c r="R10" i="1" s="1"/>
  <c r="M10" i="1"/>
  <c r="M9" i="1"/>
  <c r="P9" i="1" s="1"/>
  <c r="T9" i="1" s="1"/>
  <c r="P8" i="1"/>
  <c r="T8" i="1" s="1"/>
  <c r="N8" i="1"/>
  <c r="R8" i="1" s="1"/>
  <c r="M8" i="1"/>
  <c r="O8" i="1" s="1"/>
  <c r="S8" i="1" s="1"/>
  <c r="R7" i="1"/>
  <c r="P7" i="1"/>
  <c r="T7" i="1" s="1"/>
  <c r="O7" i="1"/>
  <c r="S7" i="1" s="1"/>
  <c r="M7" i="1"/>
  <c r="N7" i="1" s="1"/>
  <c r="T6" i="1"/>
  <c r="S6" i="1"/>
  <c r="P6" i="1"/>
  <c r="O6" i="1"/>
  <c r="N6" i="1"/>
  <c r="R6" i="1" s="1"/>
  <c r="S5" i="1"/>
  <c r="P5" i="1"/>
  <c r="T5" i="1" s="1"/>
  <c r="O5" i="1"/>
  <c r="N5" i="1"/>
  <c r="R5" i="1" s="1"/>
  <c r="P4" i="1"/>
  <c r="T4" i="1" s="1"/>
  <c r="O4" i="1"/>
  <c r="S4" i="1" s="1"/>
  <c r="N4" i="1"/>
  <c r="R4" i="1" s="1"/>
  <c r="S3" i="1"/>
  <c r="R3" i="1"/>
  <c r="P3" i="1"/>
  <c r="T3" i="1" s="1"/>
  <c r="O3" i="1"/>
  <c r="N3" i="1"/>
  <c r="M47" i="2"/>
  <c r="N38" i="2"/>
  <c r="M38" i="2"/>
  <c r="L38" i="2"/>
  <c r="N36" i="2"/>
  <c r="M36" i="2"/>
  <c r="L36" i="2"/>
  <c r="U35" i="2"/>
  <c r="T35" i="2"/>
  <c r="N35" i="2"/>
  <c r="M35" i="2"/>
  <c r="L35" i="2"/>
  <c r="U34" i="2"/>
  <c r="T34" i="2"/>
  <c r="N34" i="2"/>
  <c r="M34" i="2"/>
  <c r="L34" i="2"/>
  <c r="U33" i="2"/>
  <c r="T33" i="2"/>
  <c r="U32" i="2"/>
  <c r="T32" i="2"/>
  <c r="U31" i="2"/>
  <c r="T31" i="2"/>
  <c r="U30" i="2"/>
  <c r="T30" i="2"/>
  <c r="U29" i="2"/>
  <c r="T29" i="2"/>
  <c r="U28" i="2"/>
  <c r="T28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R17" i="2"/>
  <c r="R13" i="2"/>
  <c r="R12" i="2"/>
  <c r="R11" i="2"/>
  <c r="R10" i="2"/>
  <c r="R9" i="2"/>
  <c r="R8" i="2"/>
  <c r="R7" i="2"/>
  <c r="R6" i="2"/>
  <c r="R3" i="2"/>
  <c r="R4" i="6"/>
  <c r="R5" i="6" s="1"/>
  <c r="R6" i="6" s="1"/>
  <c r="N48" i="5"/>
  <c r="M48" i="5"/>
  <c r="L48" i="5"/>
  <c r="P48" i="5" s="1"/>
  <c r="N44" i="5"/>
  <c r="M44" i="5"/>
  <c r="L44" i="5"/>
  <c r="P44" i="5" s="1"/>
  <c r="R39" i="5"/>
  <c r="Q39" i="5"/>
  <c r="N39" i="5"/>
  <c r="M39" i="5"/>
  <c r="L39" i="5"/>
  <c r="S39" i="5" s="1"/>
  <c r="S35" i="5"/>
  <c r="Q35" i="5"/>
  <c r="P35" i="5"/>
  <c r="N35" i="5"/>
  <c r="R35" i="5" s="1"/>
  <c r="M35" i="5"/>
  <c r="L35" i="5"/>
  <c r="S34" i="5"/>
  <c r="R34" i="5"/>
  <c r="P34" i="5"/>
  <c r="N34" i="5"/>
  <c r="M34" i="5"/>
  <c r="Q34" i="5" s="1"/>
  <c r="L34" i="5"/>
  <c r="S33" i="5"/>
  <c r="Q33" i="5"/>
  <c r="N33" i="5"/>
  <c r="R33" i="5" s="1"/>
  <c r="M33" i="5"/>
  <c r="L33" i="5"/>
  <c r="P33" i="5" s="1"/>
  <c r="R32" i="5"/>
  <c r="Q32" i="5"/>
  <c r="N32" i="5"/>
  <c r="M32" i="5"/>
  <c r="L32" i="5"/>
  <c r="S32" i="5" s="1"/>
  <c r="S31" i="5"/>
  <c r="Q31" i="5"/>
  <c r="P31" i="5"/>
  <c r="N31" i="5"/>
  <c r="R31" i="5" s="1"/>
  <c r="M31" i="5"/>
  <c r="L31" i="5"/>
  <c r="S30" i="5"/>
  <c r="R30" i="5"/>
  <c r="P30" i="5"/>
  <c r="N30" i="5"/>
  <c r="M30" i="5"/>
  <c r="Q30" i="5" s="1"/>
  <c r="L30" i="5"/>
  <c r="S29" i="5"/>
  <c r="Q29" i="5"/>
  <c r="N29" i="5"/>
  <c r="R29" i="5" s="1"/>
  <c r="M29" i="5"/>
  <c r="L29" i="5"/>
  <c r="P29" i="5" s="1"/>
  <c r="R28" i="5"/>
  <c r="Q28" i="5"/>
  <c r="N28" i="5"/>
  <c r="M28" i="5"/>
  <c r="L28" i="5"/>
  <c r="S28" i="5" s="1"/>
  <c r="S27" i="5"/>
  <c r="R27" i="5"/>
  <c r="Q27" i="5"/>
  <c r="S26" i="5"/>
  <c r="P26" i="5"/>
  <c r="N26" i="5"/>
  <c r="R26" i="5" s="1"/>
  <c r="M26" i="5"/>
  <c r="Q26" i="5" s="1"/>
  <c r="L26" i="5"/>
  <c r="R25" i="5"/>
  <c r="Q25" i="5"/>
  <c r="N25" i="5"/>
  <c r="M25" i="5"/>
  <c r="L25" i="5"/>
  <c r="P25" i="5" s="1"/>
  <c r="R24" i="5"/>
  <c r="N24" i="5"/>
  <c r="M24" i="5"/>
  <c r="Q24" i="5" s="1"/>
  <c r="L24" i="5"/>
  <c r="S24" i="5" s="1"/>
  <c r="Q23" i="5"/>
  <c r="P23" i="5"/>
  <c r="N23" i="5"/>
  <c r="R23" i="5" s="1"/>
  <c r="M23" i="5"/>
  <c r="L23" i="5"/>
  <c r="S23" i="5" s="1"/>
  <c r="S22" i="5"/>
  <c r="P22" i="5"/>
  <c r="N22" i="5"/>
  <c r="R22" i="5" s="1"/>
  <c r="M22" i="5"/>
  <c r="Q22" i="5" s="1"/>
  <c r="L22" i="5"/>
  <c r="R21" i="5"/>
  <c r="Q21" i="5"/>
  <c r="N21" i="5"/>
  <c r="M21" i="5"/>
  <c r="L21" i="5"/>
  <c r="P21" i="5" s="1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L32" i="2"/>
  <c r="M31" i="2"/>
  <c r="N30" i="2"/>
  <c r="L28" i="2"/>
  <c r="M26" i="2"/>
  <c r="N25" i="2"/>
  <c r="L23" i="2"/>
  <c r="M22" i="2"/>
  <c r="N21" i="2"/>
  <c r="L29" i="2"/>
  <c r="M28" i="2"/>
  <c r="L26" i="2"/>
  <c r="L25" i="2"/>
  <c r="M24" i="2"/>
  <c r="N23" i="2"/>
  <c r="N22" i="2"/>
  <c r="M21" i="2"/>
  <c r="N20" i="2"/>
  <c r="N17" i="2"/>
  <c r="N13" i="2"/>
  <c r="N12" i="2"/>
  <c r="N11" i="2"/>
  <c r="N10" i="2"/>
  <c r="N9" i="2"/>
  <c r="M33" i="2"/>
  <c r="N31" i="2"/>
  <c r="N29" i="2"/>
  <c r="L20" i="2"/>
  <c r="L13" i="2"/>
  <c r="L11" i="2"/>
  <c r="L9" i="2"/>
  <c r="M32" i="2"/>
  <c r="L30" i="2"/>
  <c r="M29" i="2"/>
  <c r="N26" i="2"/>
  <c r="N33" i="2"/>
  <c r="L24" i="2"/>
  <c r="M23" i="2"/>
  <c r="L22" i="2"/>
  <c r="L21" i="2"/>
  <c r="M20" i="2"/>
  <c r="M17" i="2"/>
  <c r="M13" i="2"/>
  <c r="M12" i="2"/>
  <c r="M11" i="2"/>
  <c r="M10" i="2"/>
  <c r="M9" i="2"/>
  <c r="N32" i="2"/>
  <c r="M30" i="2"/>
  <c r="L17" i="2"/>
  <c r="L12" i="2"/>
  <c r="L10" i="2"/>
  <c r="L33" i="2"/>
  <c r="L31" i="2"/>
  <c r="N28" i="2"/>
  <c r="M25" i="2"/>
  <c r="N24" i="2"/>
  <c r="G18" i="6" l="1"/>
  <c r="K17" i="6"/>
  <c r="C17" i="6"/>
  <c r="G16" i="6"/>
  <c r="K15" i="6"/>
  <c r="C15" i="6"/>
  <c r="G14" i="6"/>
  <c r="K13" i="6"/>
  <c r="C13" i="6"/>
  <c r="G12" i="6"/>
  <c r="K11" i="6"/>
  <c r="C11" i="6"/>
  <c r="G10" i="6"/>
  <c r="K9" i="6"/>
  <c r="C9" i="6"/>
  <c r="G8" i="6"/>
  <c r="K7" i="6"/>
  <c r="C7" i="6"/>
  <c r="I6" i="6"/>
  <c r="G5" i="6"/>
  <c r="I18" i="6"/>
  <c r="I17" i="6"/>
  <c r="K16" i="6"/>
  <c r="M15" i="6"/>
  <c r="M14" i="6"/>
  <c r="C14" i="6"/>
  <c r="E13" i="6"/>
  <c r="E12" i="6"/>
  <c r="G11" i="6"/>
  <c r="I10" i="6"/>
  <c r="I9" i="6"/>
  <c r="K8" i="6"/>
  <c r="M7" i="6"/>
  <c r="E6" i="6"/>
  <c r="I5" i="6"/>
  <c r="M18" i="6"/>
  <c r="C18" i="6"/>
  <c r="E17" i="6"/>
  <c r="E16" i="6"/>
  <c r="G15" i="6"/>
  <c r="I13" i="6"/>
  <c r="K12" i="6"/>
  <c r="M10" i="6"/>
  <c r="E9" i="6"/>
  <c r="G7" i="6"/>
  <c r="M5" i="6"/>
  <c r="K18" i="6"/>
  <c r="M17" i="6"/>
  <c r="C16" i="6"/>
  <c r="E14" i="6"/>
  <c r="G13" i="6"/>
  <c r="I11" i="6"/>
  <c r="M9" i="6"/>
  <c r="M8" i="6"/>
  <c r="E7" i="6"/>
  <c r="K5" i="6"/>
  <c r="K20" i="6" s="1"/>
  <c r="E18" i="6"/>
  <c r="G17" i="6"/>
  <c r="I16" i="6"/>
  <c r="I15" i="6"/>
  <c r="K14" i="6"/>
  <c r="M13" i="6"/>
  <c r="M12" i="6"/>
  <c r="C12" i="6"/>
  <c r="E11" i="6"/>
  <c r="E10" i="6"/>
  <c r="G9" i="6"/>
  <c r="I8" i="6"/>
  <c r="I7" i="6"/>
  <c r="M6" i="6"/>
  <c r="C6" i="6"/>
  <c r="E5" i="6"/>
  <c r="I14" i="6"/>
  <c r="M11" i="6"/>
  <c r="C10" i="6"/>
  <c r="E8" i="6"/>
  <c r="K6" i="6"/>
  <c r="C5" i="6"/>
  <c r="M16" i="6"/>
  <c r="E15" i="6"/>
  <c r="I12" i="6"/>
  <c r="K10" i="6"/>
  <c r="C8" i="6"/>
  <c r="G6" i="6"/>
  <c r="P24" i="1"/>
  <c r="T24" i="1" s="1"/>
  <c r="O24" i="1"/>
  <c r="S24" i="1" s="1"/>
  <c r="N9" i="1"/>
  <c r="R9" i="1" s="1"/>
  <c r="O23" i="1"/>
  <c r="S23" i="1" s="1"/>
  <c r="N23" i="1"/>
  <c r="R23" i="1" s="1"/>
  <c r="N24" i="1"/>
  <c r="R24" i="1" s="1"/>
  <c r="P28" i="1"/>
  <c r="T28" i="1" s="1"/>
  <c r="O28" i="1"/>
  <c r="S28" i="1" s="1"/>
  <c r="S21" i="5"/>
  <c r="P24" i="5"/>
  <c r="S25" i="5"/>
  <c r="O9" i="1"/>
  <c r="S9" i="1" s="1"/>
  <c r="P11" i="1"/>
  <c r="T11" i="1" s="1"/>
  <c r="N12" i="1"/>
  <c r="R12" i="1" s="1"/>
  <c r="P16" i="1"/>
  <c r="T16" i="1" s="1"/>
  <c r="O16" i="1"/>
  <c r="S16" i="1" s="1"/>
  <c r="P23" i="1"/>
  <c r="T23" i="1" s="1"/>
  <c r="O27" i="1"/>
  <c r="S27" i="1" s="1"/>
  <c r="N27" i="1"/>
  <c r="R27" i="1" s="1"/>
  <c r="N28" i="1"/>
  <c r="R28" i="1" s="1"/>
  <c r="P32" i="1"/>
  <c r="T32" i="1" s="1"/>
  <c r="O32" i="1"/>
  <c r="S32" i="1" s="1"/>
  <c r="O19" i="1"/>
  <c r="S19" i="1" s="1"/>
  <c r="N19" i="1"/>
  <c r="R19" i="1" s="1"/>
  <c r="O11" i="1"/>
  <c r="S11" i="1" s="1"/>
  <c r="P19" i="1"/>
  <c r="T19" i="1" s="1"/>
  <c r="P28" i="5"/>
  <c r="P32" i="5"/>
  <c r="P39" i="5"/>
  <c r="P12" i="1"/>
  <c r="T12" i="1" s="1"/>
  <c r="P20" i="1"/>
  <c r="T20" i="1" s="1"/>
  <c r="O20" i="1"/>
  <c r="S20" i="1" s="1"/>
  <c r="O31" i="1"/>
  <c r="S31" i="1" s="1"/>
  <c r="N31" i="1"/>
  <c r="R31" i="1" s="1"/>
  <c r="E20" i="6" l="1"/>
  <c r="G20" i="6"/>
  <c r="I20" i="6"/>
  <c r="C20" i="6"/>
</calcChain>
</file>

<file path=xl/comments1.xml><?xml version="1.0" encoding="utf-8"?>
<comments xmlns="http://schemas.openxmlformats.org/spreadsheetml/2006/main">
  <authors>
    <author>MowbrayF</author>
  </authors>
  <commentList>
    <comment ref="A48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12*20 nmi sq block added west of southern corner of Strat A
</t>
        </r>
      </text>
    </comment>
  </commentList>
</comments>
</file>

<file path=xl/comments2.xml><?xml version="1.0" encoding="utf-8"?>
<comments xmlns="http://schemas.openxmlformats.org/spreadsheetml/2006/main">
  <authors>
    <author>MOWBRAYF</author>
    <author>DFO-MPO</author>
  </authors>
  <commentList>
    <comment ref="T20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these are output from simulation including correction for dectectability
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In June 2014 I discovered this was point to colum C instead of B!!
</t>
        </r>
      </text>
    </comment>
    <comment ref="A34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Preliminary values
</t>
        </r>
      </text>
    </comment>
    <comment ref="S34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Preliminary values
</t>
        </r>
      </text>
    </comment>
  </commentList>
</comments>
</file>

<file path=xl/comments3.xml><?xml version="1.0" encoding="utf-8"?>
<comments xmlns="http://schemas.openxmlformats.org/spreadsheetml/2006/main">
  <authors>
    <author>MowbrayF</author>
    <author>F. Mowbray</author>
    <author>DFO</author>
    <author>DFO-MPO</author>
  </authors>
  <commentList>
    <comment ref="M1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All areas re-vised in Oct 2008 using surfer and 1*1 merator grid
</t>
        </r>
      </text>
    </comment>
    <comment ref="Q37" authorId="1">
      <text>
        <r>
          <rPr>
            <b/>
            <sz val="8"/>
            <color indexed="81"/>
            <rFont val="Tahoma"/>
            <family val="2"/>
          </rPr>
          <t>F. Mowbray:</t>
        </r>
        <r>
          <rPr>
            <sz val="8"/>
            <color indexed="81"/>
            <rFont val="Tahoma"/>
            <family val="2"/>
          </rPr>
          <t xml:space="preserve">
Frooom Stratum D
</t>
        </r>
      </text>
    </comment>
    <comment ref="Q38" authorId="1">
      <text>
        <r>
          <rPr>
            <b/>
            <sz val="8"/>
            <color indexed="81"/>
            <rFont val="Tahoma"/>
            <family val="2"/>
          </rPr>
          <t>F. Mowbray:</t>
        </r>
        <r>
          <rPr>
            <sz val="8"/>
            <color indexed="81"/>
            <rFont val="Tahoma"/>
            <family val="2"/>
          </rPr>
          <t xml:space="preserve">
Frooom Stratum D
</t>
        </r>
      </text>
    </comment>
    <comment ref="Q39" authorId="1">
      <text>
        <r>
          <rPr>
            <b/>
            <sz val="8"/>
            <color indexed="81"/>
            <rFont val="Tahoma"/>
            <family val="2"/>
          </rPr>
          <t>F. Mowbray:</t>
        </r>
        <r>
          <rPr>
            <sz val="8"/>
            <color indexed="81"/>
            <rFont val="Tahoma"/>
            <family val="2"/>
          </rPr>
          <t xml:space="preserve">
Frooom Stratum D
</t>
        </r>
      </text>
    </comment>
    <comment ref="Q136" authorId="2">
      <text>
        <r>
          <rPr>
            <b/>
            <sz val="8"/>
            <color indexed="81"/>
            <rFont val="Tahoma"/>
            <family val="2"/>
          </rPr>
          <t>DFO:</t>
        </r>
        <r>
          <rPr>
            <sz val="8"/>
            <color indexed="81"/>
            <rFont val="Tahoma"/>
            <family val="2"/>
          </rPr>
          <t xml:space="preserve">
Values updated July 2010 using weights from Agelen output, previously used raw data and excel calculation (very little difference)
</t>
        </r>
      </text>
    </comment>
    <comment ref="Q157" authorId="2">
      <text>
        <r>
          <rPr>
            <b/>
            <sz val="8"/>
            <color indexed="81"/>
            <rFont val="Tahoma"/>
            <family val="2"/>
          </rPr>
          <t>DFO:</t>
        </r>
        <r>
          <rPr>
            <sz val="8"/>
            <color indexed="81"/>
            <rFont val="Tahoma"/>
            <family val="2"/>
          </rPr>
          <t xml:space="preserve">
Used value from J as no samples in K
</t>
        </r>
      </text>
    </comment>
    <comment ref="Q161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No adjustment has been made to try and separate age 1 and rest in Stratum A
</t>
        </r>
      </text>
    </comment>
    <comment ref="Q177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Used value from F, no catches in G
</t>
        </r>
      </text>
    </comment>
    <comment ref="F184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No age 1 fish (these are integrated separately)
</t>
        </r>
      </text>
    </comment>
    <comment ref="F201" authorId="3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values from stratum F, no capelin samples in G
</t>
        </r>
      </text>
    </comment>
    <comment ref="F206" authorId="3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samples from Stratum A, No capelin samples in L
</t>
        </r>
      </text>
    </comment>
    <comment ref="M206" authorId="3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Rough estimation of area, needs to be calculated
</t>
        </r>
      </text>
    </comment>
    <comment ref="Q208" authorId="3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Sample mean, not corrected to population lf
</t>
        </r>
      </text>
    </comment>
  </commentList>
</comments>
</file>

<file path=xl/comments4.xml><?xml version="1.0" encoding="utf-8"?>
<comments xmlns="http://schemas.openxmlformats.org/spreadsheetml/2006/main">
  <authors>
    <author>MowbrayF</author>
    <author>DFO-MPO</author>
  </authors>
  <commentList>
    <comment ref="Q109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No adjustment has been made to try and separate age 1 and rest in Stratum A
</t>
        </r>
      </text>
    </comment>
    <comment ref="Q125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Used value from F, no catches in G
</t>
        </r>
      </text>
    </comment>
    <comment ref="F131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No age 1 fish (these are integrated separately)
</t>
        </r>
      </text>
    </comment>
    <comment ref="F147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values from stratum F, no capelin samples in G
</t>
        </r>
      </text>
    </comment>
  </commentList>
</comments>
</file>

<file path=xl/comments5.xml><?xml version="1.0" encoding="utf-8"?>
<comments xmlns="http://schemas.openxmlformats.org/spreadsheetml/2006/main">
  <authors>
    <author>MowbrayF</author>
    <author>DFO-MPO</author>
  </authors>
  <commentList>
    <comment ref="D184" authorId="0">
      <text>
        <r>
          <rPr>
            <b/>
            <sz val="8"/>
            <color indexed="81"/>
            <rFont val="Tahoma"/>
            <family val="2"/>
          </rPr>
          <t>MowbrayF:</t>
        </r>
        <r>
          <rPr>
            <sz val="8"/>
            <color indexed="81"/>
            <rFont val="Tahoma"/>
            <family val="2"/>
          </rPr>
          <t xml:space="preserve">
No age 1 fish (these are integrated separately)
</t>
        </r>
      </text>
    </comment>
    <comment ref="D201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values from stratum F, no capelin samples in G
</t>
        </r>
      </text>
    </comment>
    <comment ref="D206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samples from Stratum A, No capelin samples in L
</t>
        </r>
      </text>
    </comment>
    <comment ref="D213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values from stratum F, no capelin samples in G
</t>
        </r>
      </text>
    </comment>
    <comment ref="D218" authorId="1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Used samples from Stratum A, No capelin samples in L
</t>
        </r>
      </text>
    </comment>
  </commentList>
</comments>
</file>

<file path=xl/sharedStrings.xml><?xml version="1.0" encoding="utf-8"?>
<sst xmlns="http://schemas.openxmlformats.org/spreadsheetml/2006/main" count="2337" uniqueCount="172">
  <si>
    <t>stratum</t>
  </si>
  <si>
    <t>_FREQ_</t>
  </si>
  <si>
    <t>mean</t>
  </si>
  <si>
    <t>median</t>
  </si>
  <si>
    <t>std</t>
  </si>
  <si>
    <t>p5</t>
  </si>
  <si>
    <t>p95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</si>
  <si>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</si>
  <si>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</si>
  <si>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</si>
  <si>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</si>
  <si>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</si>
  <si>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</si>
  <si>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</si>
  <si>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</si>
  <si>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</si>
  <si>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</si>
  <si>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</si>
  <si>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</si>
  <si>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</si>
  <si>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STRATUM$</t>
  </si>
  <si>
    <t>YEAR</t>
  </si>
  <si>
    <t>STRAT_AREA</t>
  </si>
  <si>
    <t>lower</t>
  </si>
  <si>
    <t>upper</t>
  </si>
  <si>
    <t>Data</t>
  </si>
  <si>
    <t>Sum of lower</t>
  </si>
  <si>
    <t>Sum of upper</t>
  </si>
  <si>
    <t>Grand Total</t>
  </si>
  <si>
    <t>T</t>
  </si>
  <si>
    <t>Mean wt</t>
  </si>
  <si>
    <t>Biomass (tons)</t>
  </si>
  <si>
    <t>Sum of Biomass (tons)</t>
  </si>
  <si>
    <t>Placentia Bay</t>
  </si>
  <si>
    <t>Dan's estimates from 1997 res doc.</t>
  </si>
  <si>
    <t>abundance (billions)</t>
  </si>
  <si>
    <r>
      <t>biomass (g *10</t>
    </r>
    <r>
      <rPr>
        <vertAlign val="superscript"/>
        <sz val="10"/>
        <rFont val="MS Sans Serif"/>
        <family val="2"/>
      </rPr>
      <t>9</t>
    </r>
    <r>
      <rPr>
        <sz val="10"/>
        <rFont val="MS Sans Serif"/>
        <family val="2"/>
      </rPr>
      <t>)</t>
    </r>
  </si>
  <si>
    <r>
      <t>km</t>
    </r>
    <r>
      <rPr>
        <b/>
        <vertAlign val="superscript"/>
        <sz val="10"/>
        <rFont val="MS Sans Serif"/>
        <family val="2"/>
      </rPr>
      <t>2</t>
    </r>
    <r>
      <rPr>
        <b/>
        <sz val="10"/>
        <rFont val="MS Sans Serif"/>
        <family val="2"/>
      </rPr>
      <t xml:space="preserve"> * 10</t>
    </r>
    <r>
      <rPr>
        <b/>
        <vertAlign val="superscript"/>
        <sz val="10"/>
        <rFont val="MS Sans Serif"/>
        <family val="2"/>
      </rPr>
      <t>3</t>
    </r>
  </si>
  <si>
    <t>Trinity Bay</t>
  </si>
  <si>
    <t>Biomass</t>
  </si>
  <si>
    <t>year</t>
  </si>
  <si>
    <t>Dan's and mine combined</t>
  </si>
  <si>
    <t xml:space="preserve">Abundance </t>
  </si>
  <si>
    <t>SA</t>
  </si>
  <si>
    <t>Month</t>
  </si>
  <si>
    <t>May</t>
  </si>
  <si>
    <t>June</t>
  </si>
  <si>
    <t>TRIP</t>
  </si>
  <si>
    <t>TEL 78</t>
  </si>
  <si>
    <t>TEL 303</t>
  </si>
  <si>
    <t>TEL 353</t>
  </si>
  <si>
    <t>TEL 404</t>
  </si>
  <si>
    <t>TEL 463</t>
  </si>
  <si>
    <t>TEL 526</t>
  </si>
  <si>
    <t>none</t>
  </si>
  <si>
    <t>T526</t>
  </si>
  <si>
    <t>Offshore capelin acoustics 2J3K</t>
  </si>
  <si>
    <t>Fall</t>
  </si>
  <si>
    <t>Offshore capelin acoustics 3L</t>
  </si>
  <si>
    <t>Spring</t>
  </si>
  <si>
    <t>Survey</t>
  </si>
  <si>
    <t>Offshore capelin acoustics 3NO</t>
  </si>
  <si>
    <t xml:space="preserve">June </t>
  </si>
  <si>
    <t>July</t>
  </si>
  <si>
    <t>Trip</t>
  </si>
  <si>
    <t>Season</t>
  </si>
  <si>
    <t>Year</t>
  </si>
  <si>
    <t>GAD 151</t>
  </si>
  <si>
    <t>GAD 166</t>
  </si>
  <si>
    <t>GAD 181</t>
  </si>
  <si>
    <t>GAD 200</t>
  </si>
  <si>
    <t>GAD 215</t>
  </si>
  <si>
    <t>TEL 29</t>
  </si>
  <si>
    <t>NUMBERS (millions)</t>
  </si>
  <si>
    <t>T078</t>
  </si>
  <si>
    <t>Sum of NUMBERS (millions)</t>
  </si>
  <si>
    <t>T303</t>
  </si>
  <si>
    <t>T353</t>
  </si>
  <si>
    <t>T404</t>
  </si>
  <si>
    <t>T463</t>
  </si>
  <si>
    <t>TEL 603</t>
  </si>
  <si>
    <t>T603</t>
  </si>
  <si>
    <t>Correct values using  g to sa conversion factor for ADEI output of 0.3737E-6</t>
  </si>
  <si>
    <t>Strat no.</t>
  </si>
  <si>
    <t>Replicates</t>
  </si>
  <si>
    <t>Southern Avalon</t>
  </si>
  <si>
    <t>Tel 508</t>
  </si>
  <si>
    <t>T508</t>
  </si>
  <si>
    <t>Biomass *from o'driscoll</t>
  </si>
  <si>
    <t>T742</t>
  </si>
  <si>
    <r>
      <t>km</t>
    </r>
    <r>
      <rPr>
        <b/>
        <vertAlign val="superscript"/>
        <sz val="10"/>
        <rFont val="MS Sans Serif"/>
        <family val="2"/>
      </rPr>
      <t>2</t>
    </r>
    <r>
      <rPr>
        <b/>
        <sz val="10"/>
        <rFont val="MS Sans Serif"/>
        <family val="2"/>
      </rPr>
      <t xml:space="preserve"> (thousands)</t>
    </r>
  </si>
  <si>
    <t>T743</t>
  </si>
  <si>
    <t>not covered</t>
  </si>
  <si>
    <t>T808</t>
  </si>
  <si>
    <t xml:space="preserve">Strata </t>
  </si>
  <si>
    <t>km2</t>
  </si>
  <si>
    <r>
      <t>Converting mercators to km</t>
    </r>
    <r>
      <rPr>
        <vertAlign val="superscript"/>
        <sz val="10"/>
        <rFont val="Arial"/>
        <family val="2"/>
      </rPr>
      <t>2</t>
    </r>
  </si>
  <si>
    <t>Therefore 1 nautical mi (latitude)</t>
  </si>
  <si>
    <t>lat range</t>
  </si>
  <si>
    <t>mercators/m</t>
  </si>
  <si>
    <t>long range</t>
  </si>
  <si>
    <t>m/mercator</t>
  </si>
  <si>
    <t>m2/mercxator2</t>
  </si>
  <si>
    <t>standard (2003) areas</t>
  </si>
  <si>
    <t xml:space="preserve">Mercator2 </t>
  </si>
  <si>
    <t>Mercator3</t>
  </si>
  <si>
    <t>km3</t>
  </si>
  <si>
    <t>Mercator4</t>
  </si>
  <si>
    <t>km4</t>
  </si>
  <si>
    <t>Mercator5</t>
  </si>
  <si>
    <t>km5</t>
  </si>
  <si>
    <t>???</t>
  </si>
  <si>
    <t>Rank (biomass)</t>
  </si>
  <si>
    <t>Row</t>
  </si>
  <si>
    <t>strat no</t>
  </si>
  <si>
    <t>rank</t>
  </si>
  <si>
    <t>Core</t>
  </si>
  <si>
    <t>X</t>
  </si>
  <si>
    <t>Average of mean</t>
  </si>
  <si>
    <t>Stratum area</t>
  </si>
  <si>
    <t>Offshore all</t>
  </si>
  <si>
    <t>Offshoe core</t>
  </si>
  <si>
    <t>Sum of km2 (thousands)</t>
  </si>
  <si>
    <t>Strata</t>
  </si>
  <si>
    <t>WT887</t>
  </si>
  <si>
    <t>TL972</t>
  </si>
  <si>
    <t>T972</t>
  </si>
  <si>
    <t>Biomass upper</t>
  </si>
  <si>
    <t>Biomass lwr</t>
  </si>
  <si>
    <t>Sum of Biomass lwr</t>
  </si>
  <si>
    <t>Sum of Biomass upper</t>
  </si>
  <si>
    <t>biomass thou tons</t>
  </si>
  <si>
    <t>biomass(tons *103)</t>
  </si>
  <si>
    <t>TL092</t>
  </si>
  <si>
    <t>T092</t>
  </si>
  <si>
    <t>TL103</t>
  </si>
  <si>
    <t>T103</t>
  </si>
  <si>
    <t>N</t>
  </si>
  <si>
    <t>Surveyed offshore area</t>
  </si>
  <si>
    <t>Standard Stratum (2001-2012)</t>
  </si>
  <si>
    <t>August</t>
  </si>
  <si>
    <t>September</t>
  </si>
  <si>
    <t>October</t>
  </si>
  <si>
    <t>November</t>
  </si>
  <si>
    <t>December</t>
  </si>
  <si>
    <t>January</t>
  </si>
  <si>
    <t>February</t>
  </si>
  <si>
    <t>TL116</t>
  </si>
  <si>
    <t>TL131</t>
  </si>
  <si>
    <t>% maturing</t>
  </si>
  <si>
    <t>spawning biomass</t>
  </si>
  <si>
    <t>allstratum</t>
  </si>
  <si>
    <t>core statum (millions)</t>
  </si>
  <si>
    <t>sum(total)</t>
  </si>
  <si>
    <t>TL147</t>
  </si>
  <si>
    <t xml:space="preserve"> NUMBERS (millions)</t>
  </si>
  <si>
    <t>Abundance (millions)</t>
  </si>
  <si>
    <t>Abundance upper</t>
  </si>
  <si>
    <t xml:space="preserve"> Abundance lower</t>
  </si>
  <si>
    <t xml:space="preserve"> Biomass (tons)</t>
  </si>
  <si>
    <t>TL175</t>
  </si>
  <si>
    <t>Row Labels</t>
  </si>
  <si>
    <t>(Multiple Items)</t>
  </si>
  <si>
    <t>Pasted as text STRATUM$</t>
  </si>
  <si>
    <t>(blank)</t>
  </si>
  <si>
    <t>(All)</t>
  </si>
  <si>
    <t>Abundance (billions)</t>
  </si>
  <si>
    <t>TB lower</t>
  </si>
  <si>
    <t>TB upper</t>
  </si>
  <si>
    <t>biomassTB</t>
  </si>
  <si>
    <t>Upper</t>
  </si>
  <si>
    <t>biomass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</si>
</sst>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"/>
    <numFmt numFmtId="166" formatCode="0.000"/>
    <numFmt numFmtId="167" formatCode="0.000000"/>
    <numFmt numFmtId="168" formatCode="0.000000000"/>
    <numFmt numFmtId="169" formatCode="#,##0.0"/>
  </numFmts>
  <fonts count="19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4"/>
      <name val="MS Sans Serif"/>
      <family val="2"/>
    </font>
    <font>
      <vertAlign val="superscript"/>
      <sz val="10"/>
      <name val="MS Sans Serif"/>
      <family val="2"/>
    </font>
    <font>
      <b/>
      <vertAlign val="superscript"/>
      <sz val="10"/>
      <name val="MS Sans Serif"/>
      <family val="2"/>
    </font>
    <font>
      <sz val="9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4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13" fillId="0" borderId="0"/>
    <xf numFmtId="0" fontId="15" fillId="0" borderId="0"/>
    <xf numFmtId="0" fontId="15" fillId="0" borderId="0"/>
  </cellStyleXfs>
  <cellXfs count="165">
    <xf numFmtId="0" fontId="0" fillId="0" borderId="0" xfId="0"/>
    <xf numFmtId="0" fontId="0" fillId="0" borderId="0" xfId="0" quotePrefix="1" applyNumberFormat="1"/>
    <xf numFmtId="0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2" borderId="0" xfId="0" quotePrefix="1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0" borderId="0" xfId="0" applyNumberFormat="1" applyFill="1"/>
    <xf numFmtId="167" fontId="0" fillId="0" borderId="0" xfId="0" applyNumberFormat="1" applyFill="1"/>
    <xf numFmtId="0" fontId="8" fillId="0" borderId="0" xfId="0" applyFont="1"/>
    <xf numFmtId="0" fontId="9" fillId="0" borderId="0" xfId="0" applyFont="1"/>
    <xf numFmtId="2" fontId="0" fillId="0" borderId="0" xfId="0" quotePrefix="1" applyNumberFormat="1"/>
    <xf numFmtId="1" fontId="1" fillId="0" borderId="0" xfId="0" applyNumberFormat="1" applyFont="1" applyFill="1" applyAlignment="1">
      <alignment horizontal="center"/>
    </xf>
    <xf numFmtId="0" fontId="9" fillId="0" borderId="5" xfId="0" applyFont="1" applyBorder="1"/>
    <xf numFmtId="0" fontId="9" fillId="0" borderId="0" xfId="0" applyFont="1" applyBorder="1"/>
    <xf numFmtId="0" fontId="0" fillId="0" borderId="5" xfId="0" applyBorder="1"/>
    <xf numFmtId="0" fontId="9" fillId="0" borderId="5" xfId="0" applyFont="1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quotePrefix="1" applyNumberFormat="1" applyFill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0" xfId="0" applyNumberFormat="1"/>
    <xf numFmtId="165" fontId="0" fillId="5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6" fontId="0" fillId="0" borderId="0" xfId="0" applyNumberFormat="1" applyFill="1"/>
    <xf numFmtId="3" fontId="0" fillId="0" borderId="0" xfId="0" applyNumberFormat="1"/>
    <xf numFmtId="3" fontId="0" fillId="0" borderId="0" xfId="0" applyNumberFormat="1" applyFill="1"/>
    <xf numFmtId="1" fontId="1" fillId="0" borderId="0" xfId="0" applyNumberFormat="1" applyFont="1" applyAlignment="1">
      <alignment horizontal="left"/>
    </xf>
    <xf numFmtId="0" fontId="0" fillId="0" borderId="0" xfId="0" applyNumberFormat="1" applyFill="1"/>
    <xf numFmtId="1" fontId="11" fillId="0" borderId="0" xfId="0" applyNumberFormat="1" applyFont="1" applyAlignment="1">
      <alignment horizontal="center"/>
    </xf>
    <xf numFmtId="168" fontId="0" fillId="0" borderId="0" xfId="0" applyNumberFormat="1"/>
    <xf numFmtId="164" fontId="0" fillId="0" borderId="0" xfId="0" applyNumberFormat="1"/>
    <xf numFmtId="1" fontId="0" fillId="0" borderId="8" xfId="0" applyNumberFormat="1" applyBorder="1"/>
    <xf numFmtId="0" fontId="0" fillId="0" borderId="9" xfId="0" applyBorder="1"/>
    <xf numFmtId="49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quotePrefix="1" applyNumberFormat="1" applyFill="1"/>
    <xf numFmtId="0" fontId="0" fillId="6" borderId="0" xfId="0" applyNumberForma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2" fontId="0" fillId="6" borderId="0" xfId="0" applyNumberFormat="1" applyFill="1"/>
    <xf numFmtId="3" fontId="0" fillId="6" borderId="0" xfId="0" applyNumberFormat="1" applyFill="1"/>
    <xf numFmtId="0" fontId="0" fillId="6" borderId="0" xfId="0" applyNumberFormat="1" applyFill="1"/>
    <xf numFmtId="0" fontId="0" fillId="6" borderId="0" xfId="0" applyFill="1" applyAlignment="1">
      <alignment horizontal="center"/>
    </xf>
    <xf numFmtId="0" fontId="13" fillId="0" borderId="0" xfId="1"/>
    <xf numFmtId="166" fontId="0" fillId="0" borderId="0" xfId="0" applyNumberFormat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Border="1"/>
    <xf numFmtId="0" fontId="13" fillId="0" borderId="5" xfId="1" applyBorder="1"/>
    <xf numFmtId="0" fontId="0" fillId="5" borderId="5" xfId="0" applyFill="1" applyBorder="1"/>
    <xf numFmtId="0" fontId="0" fillId="7" borderId="5" xfId="0" applyFill="1" applyBorder="1"/>
    <xf numFmtId="0" fontId="13" fillId="7" borderId="5" xfId="1" applyFill="1" applyBorder="1"/>
    <xf numFmtId="0" fontId="0" fillId="8" borderId="5" xfId="0" applyFill="1" applyBorder="1"/>
    <xf numFmtId="0" fontId="13" fillId="8" borderId="5" xfId="1" applyFill="1" applyBorder="1"/>
    <xf numFmtId="0" fontId="13" fillId="9" borderId="5" xfId="1" applyFill="1" applyBorder="1"/>
    <xf numFmtId="0" fontId="0" fillId="9" borderId="5" xfId="0" applyFill="1" applyBorder="1"/>
    <xf numFmtId="0" fontId="13" fillId="0" borderId="0" xfId="1" applyFont="1"/>
    <xf numFmtId="0" fontId="13" fillId="0" borderId="0" xfId="1" applyBorder="1"/>
    <xf numFmtId="0" fontId="0" fillId="0" borderId="4" xfId="0" applyNumberFormat="1" applyBorder="1"/>
    <xf numFmtId="0" fontId="0" fillId="0" borderId="8" xfId="0" applyNumberFormat="1" applyBorder="1"/>
    <xf numFmtId="1" fontId="0" fillId="0" borderId="3" xfId="0" applyNumberFormat="1" applyBorder="1"/>
    <xf numFmtId="1" fontId="0" fillId="0" borderId="15" xfId="0" applyNumberFormat="1" applyBorder="1"/>
    <xf numFmtId="0" fontId="11" fillId="0" borderId="0" xfId="0" applyFont="1"/>
    <xf numFmtId="0" fontId="13" fillId="0" borderId="5" xfId="1" applyFont="1" applyBorder="1"/>
    <xf numFmtId="0" fontId="0" fillId="0" borderId="0" xfId="0" applyFill="1" applyAlignment="1">
      <alignment horizontal="left"/>
    </xf>
    <xf numFmtId="165" fontId="0" fillId="0" borderId="0" xfId="0" applyNumberFormat="1" applyFill="1"/>
    <xf numFmtId="165" fontId="0" fillId="6" borderId="0" xfId="0" applyNumberFormat="1" applyFill="1"/>
    <xf numFmtId="0" fontId="14" fillId="0" borderId="0" xfId="0" applyFont="1" applyBorder="1"/>
    <xf numFmtId="1" fontId="0" fillId="0" borderId="1" xfId="0" pivotButton="1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2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6" xfId="0" applyNumberFormat="1" applyBorder="1"/>
    <xf numFmtId="1" fontId="0" fillId="0" borderId="0" xfId="0" applyNumberFormat="1" applyFill="1"/>
    <xf numFmtId="169" fontId="0" fillId="0" borderId="0" xfId="0" applyNumberFormat="1" applyFill="1"/>
    <xf numFmtId="4" fontId="0" fillId="0" borderId="0" xfId="0" applyNumberFormat="1" applyFill="1"/>
    <xf numFmtId="1" fontId="0" fillId="0" borderId="17" xfId="0" applyNumberFormat="1" applyBorder="1"/>
    <xf numFmtId="1" fontId="0" fillId="0" borderId="9" xfId="0" applyNumberFormat="1" applyBorder="1"/>
    <xf numFmtId="0" fontId="15" fillId="0" borderId="0" xfId="2" quotePrefix="1" applyNumberFormat="1"/>
    <xf numFmtId="0" fontId="15" fillId="0" borderId="0" xfId="3" quotePrefix="1" applyNumberFormat="1"/>
    <xf numFmtId="166" fontId="16" fillId="0" borderId="0" xfId="0" applyNumberFormat="1" applyFont="1"/>
    <xf numFmtId="166" fontId="16" fillId="6" borderId="0" xfId="0" applyNumberFormat="1" applyFont="1" applyFill="1"/>
    <xf numFmtId="166" fontId="16" fillId="0" borderId="0" xfId="0" applyNumberFormat="1" applyFont="1" applyFill="1"/>
    <xf numFmtId="166" fontId="0" fillId="6" borderId="0" xfId="0" applyNumberFormat="1" applyFill="1"/>
    <xf numFmtId="1" fontId="0" fillId="0" borderId="10" xfId="0" applyNumberFormat="1" applyBorder="1"/>
    <xf numFmtId="1" fontId="0" fillId="0" borderId="11" xfId="0" applyNumberFormat="1" applyBorder="1"/>
    <xf numFmtId="0" fontId="0" fillId="11" borderId="0" xfId="0" applyFill="1"/>
    <xf numFmtId="3" fontId="0" fillId="0" borderId="0" xfId="0" applyNumberFormat="1" applyFont="1" applyFill="1"/>
    <xf numFmtId="3" fontId="11" fillId="0" borderId="0" xfId="0" applyNumberFormat="1" applyFont="1" applyFill="1"/>
    <xf numFmtId="0" fontId="0" fillId="12" borderId="0" xfId="0" applyFill="1"/>
    <xf numFmtId="0" fontId="2" fillId="12" borderId="0" xfId="2" quotePrefix="1" applyNumberFormat="1" applyFont="1" applyFill="1"/>
    <xf numFmtId="0" fontId="15" fillId="12" borderId="0" xfId="2" quotePrefix="1" applyNumberFormat="1" applyFill="1"/>
    <xf numFmtId="0" fontId="0" fillId="12" borderId="0" xfId="0" applyFill="1" applyAlignment="1">
      <alignment horizontal="right"/>
    </xf>
    <xf numFmtId="0" fontId="0" fillId="12" borderId="0" xfId="0" applyNumberFormat="1" applyFill="1" applyAlignment="1">
      <alignment horizontal="center"/>
    </xf>
    <xf numFmtId="1" fontId="1" fillId="12" borderId="0" xfId="0" applyNumberFormat="1" applyFont="1" applyFill="1" applyAlignment="1">
      <alignment horizontal="center"/>
    </xf>
    <xf numFmtId="166" fontId="16" fillId="12" borderId="0" xfId="0" applyNumberFormat="1" applyFont="1" applyFill="1"/>
    <xf numFmtId="2" fontId="0" fillId="12" borderId="0" xfId="0" applyNumberFormat="1" applyFill="1"/>
    <xf numFmtId="3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applyFont="1" applyFill="1"/>
    <xf numFmtId="0" fontId="0" fillId="12" borderId="0" xfId="0" quotePrefix="1" applyNumberFormat="1" applyFill="1"/>
    <xf numFmtId="169" fontId="0" fillId="12" borderId="0" xfId="0" applyNumberFormat="1" applyFill="1"/>
    <xf numFmtId="0" fontId="0" fillId="12" borderId="0" xfId="0" applyNumberFormat="1" applyFill="1"/>
    <xf numFmtId="1" fontId="0" fillId="12" borderId="0" xfId="0" applyNumberFormat="1" applyFill="1"/>
    <xf numFmtId="1" fontId="0" fillId="0" borderId="8" xfId="0" applyNumberFormat="1" applyFill="1" applyBorder="1"/>
    <xf numFmtId="0" fontId="0" fillId="10" borderId="0" xfId="0" applyFill="1"/>
    <xf numFmtId="0" fontId="2" fillId="0" borderId="0" xfId="0" applyFont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1" fontId="0" fillId="0" borderId="2" xfId="0" applyNumberFormat="1" applyFill="1" applyBorder="1"/>
    <xf numFmtId="0" fontId="15" fillId="0" borderId="0" xfId="2" quotePrefix="1" applyNumberFormat="1" applyFill="1"/>
    <xf numFmtId="0" fontId="0" fillId="0" borderId="0" xfId="0" applyNumberFormat="1" applyFill="1" applyAlignment="1">
      <alignment horizontal="center"/>
    </xf>
    <xf numFmtId="3" fontId="0" fillId="10" borderId="0" xfId="0" applyNumberFormat="1" applyFill="1"/>
    <xf numFmtId="1" fontId="0" fillId="0" borderId="0" xfId="0" applyNumberFormat="1" applyFill="1" applyBorder="1"/>
    <xf numFmtId="0" fontId="0" fillId="10" borderId="0" xfId="0" applyFill="1" applyAlignment="1">
      <alignment horizontal="right"/>
    </xf>
    <xf numFmtId="1" fontId="1" fillId="10" borderId="0" xfId="0" applyNumberFormat="1" applyFont="1" applyFill="1" applyAlignment="1">
      <alignment horizontal="center"/>
    </xf>
    <xf numFmtId="166" fontId="16" fillId="10" borderId="0" xfId="0" applyNumberFormat="1" applyFont="1" applyFill="1"/>
    <xf numFmtId="2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horizontal="center"/>
    </xf>
    <xf numFmtId="3" fontId="0" fillId="13" borderId="0" xfId="0" applyNumberFormat="1" applyFill="1"/>
    <xf numFmtId="2" fontId="0" fillId="10" borderId="0" xfId="0" applyNumberFormat="1" applyFill="1"/>
    <xf numFmtId="0" fontId="15" fillId="0" borderId="0" xfId="2" applyNumberFormat="1" applyFill="1"/>
    <xf numFmtId="0" fontId="0" fillId="0" borderId="0" xfId="0" applyAlignment="1">
      <alignment wrapText="1"/>
    </xf>
    <xf numFmtId="0" fontId="15" fillId="10" borderId="0" xfId="2" quotePrefix="1" applyNumberFormat="1" applyFill="1"/>
    <xf numFmtId="0" fontId="0" fillId="14" borderId="0" xfId="0" applyFill="1"/>
    <xf numFmtId="165" fontId="0" fillId="14" borderId="0" xfId="0" applyNumberFormat="1" applyFill="1"/>
    <xf numFmtId="3" fontId="2" fillId="0" borderId="0" xfId="0" applyNumberFormat="1" applyFont="1"/>
    <xf numFmtId="0" fontId="2" fillId="0" borderId="0" xfId="0" applyFont="1" applyFill="1"/>
    <xf numFmtId="0" fontId="0" fillId="0" borderId="0" xfId="0" applyFont="1" applyFill="1"/>
  </cellXfs>
  <cellStyles count="4">
    <cellStyle name="Normal" xfId="0" builtinId="0"/>
    <cellStyle name="Normal_Book2" xfId="1"/>
    <cellStyle name="Normal_STRATBOOTMEAN" xfId="2"/>
    <cellStyle name="Normal_StratBootmean Trinity Bay" xfId="3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5943579571638"/>
          <c:y val="4.347832924203849E-2"/>
          <c:w val="0.70649486085231716"/>
          <c:h val="0.64915108267716537"/>
        </c:manualLayout>
      </c:layout>
      <c:lineChart>
        <c:grouping val="standard"/>
        <c:varyColors val="0"/>
        <c:ser>
          <c:idx val="1"/>
          <c:order val="0"/>
          <c:tx>
            <c:strRef>
              <c:f>graphs!$T$2</c:f>
              <c:strCache>
                <c:ptCount val="1"/>
                <c:pt idx="0">
                  <c:v>biomass (g *109)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graphs!$A$17:$A$35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graphs!$T$17:$T$38</c:f>
              <c:numCache>
                <c:formatCode>General</c:formatCode>
                <c:ptCount val="22"/>
                <c:pt idx="0">
                  <c:v>64</c:v>
                </c:pt>
                <c:pt idx="3" formatCode="0.0">
                  <c:v>216.30545447319437</c:v>
                </c:pt>
                <c:pt idx="4" formatCode="0.0">
                  <c:v>124.74977848998033</c:v>
                </c:pt>
                <c:pt idx="5" formatCode="0.0">
                  <c:v>129.41885726665353</c:v>
                </c:pt>
                <c:pt idx="6" formatCode="0.0">
                  <c:v>83.865016448557427</c:v>
                </c:pt>
                <c:pt idx="7" formatCode="0.0">
                  <c:v>108.13910917210923</c:v>
                </c:pt>
                <c:pt idx="8" formatCode="0.0">
                  <c:v>125.15963663769749</c:v>
                </c:pt>
                <c:pt idx="9" formatCode="0.0">
                  <c:v>98.073814690821735</c:v>
                </c:pt>
                <c:pt idx="11" formatCode="0.0">
                  <c:v>300.47718434017946</c:v>
                </c:pt>
                <c:pt idx="12" formatCode="0.0">
                  <c:v>262.85500204694961</c:v>
                </c:pt>
                <c:pt idx="13" formatCode="0.0">
                  <c:v>262.16638724987791</c:v>
                </c:pt>
                <c:pt idx="14" formatCode="0.0">
                  <c:v>23.229830220979022</c:v>
                </c:pt>
                <c:pt idx="15" formatCode="0.0">
                  <c:v>209.64570212735831</c:v>
                </c:pt>
                <c:pt idx="16" formatCode="0.0">
                  <c:v>205.76128530349743</c:v>
                </c:pt>
                <c:pt idx="17" formatCode="0.0">
                  <c:v>762.84330641017709</c:v>
                </c:pt>
                <c:pt idx="18" formatCode="0.0">
                  <c:v>982.85487536432333</c:v>
                </c:pt>
                <c:pt idx="19">
                  <c:v>661</c:v>
                </c:pt>
                <c:pt idx="21" formatCode="0.0">
                  <c:v>157.63200000000001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graphs!$W$2</c:f>
              <c:strCache>
                <c:ptCount val="1"/>
                <c:pt idx="0">
                  <c:v>Trinity Bay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FF00"/>
              </a:solidFill>
              <a:ln w="9525">
                <a:noFill/>
              </a:ln>
            </c:spPr>
          </c:marker>
          <c:cat>
            <c:numRef>
              <c:f>graphs!$A$17:$A$35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graphs!$W$17:$W$38</c:f>
              <c:numCache>
                <c:formatCode>0.000</c:formatCode>
                <c:ptCount val="22"/>
                <c:pt idx="0">
                  <c:v>22.218</c:v>
                </c:pt>
                <c:pt idx="3" formatCode="#,##0">
                  <c:v>19.201292943353252</c:v>
                </c:pt>
                <c:pt idx="4" formatCode="#,##0">
                  <c:v>90.98363956405548</c:v>
                </c:pt>
                <c:pt idx="5" formatCode="#,##0">
                  <c:v>60.251075728752362</c:v>
                </c:pt>
                <c:pt idx="6" formatCode="#,##0">
                  <c:v>10.649275746343903</c:v>
                </c:pt>
                <c:pt idx="7" formatCode="#,##0">
                  <c:v>12.14395855053381</c:v>
                </c:pt>
                <c:pt idx="8" formatCode="#,##0">
                  <c:v>5.6479356206571909</c:v>
                </c:pt>
                <c:pt idx="9" formatCode="#,##0">
                  <c:v>37.014859533853212</c:v>
                </c:pt>
                <c:pt idx="10" formatCode="General">
                  <c:v>0</c:v>
                </c:pt>
                <c:pt idx="11" formatCode="#,##0">
                  <c:v>12.05916443236784</c:v>
                </c:pt>
                <c:pt idx="12" formatCode="#,##0">
                  <c:v>53.996646091725694</c:v>
                </c:pt>
                <c:pt idx="13" formatCode="#,##0">
                  <c:v>17.644514203270326</c:v>
                </c:pt>
                <c:pt idx="14" formatCode="#,##0">
                  <c:v>15.995804776526013</c:v>
                </c:pt>
                <c:pt idx="15" formatCode="#,##0">
                  <c:v>47.336934803578323</c:v>
                </c:pt>
                <c:pt idx="16" formatCode="#,##0">
                  <c:v>16.204278148180556</c:v>
                </c:pt>
                <c:pt idx="17" formatCode="#,##0">
                  <c:v>3.3736895099432163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5.0739999999999998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0432"/>
        <c:axId val="93412352"/>
      </c:lineChart>
      <c:catAx>
        <c:axId val="934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FFFF99"/>
            </a:solidFill>
            <a:prstDash val="solid"/>
          </a:ln>
        </c:spPr>
        <c:txPr>
          <a:bodyPr rot="-5400000" vert="horz"/>
          <a:lstStyle/>
          <a:p>
            <a:pPr>
              <a:defRPr sz="1975" b="0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12352"/>
        <c:crossesAt val="0.1"/>
        <c:auto val="1"/>
        <c:lblAlgn val="ctr"/>
        <c:lblOffset val="100"/>
        <c:tickLblSkip val="2"/>
        <c:tickMarkSkip val="1"/>
        <c:noMultiLvlLbl val="0"/>
      </c:catAx>
      <c:valAx>
        <c:axId val="9341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Biomass (kilotonnes) </a:t>
                </a:r>
              </a:p>
            </c:rich>
          </c:tx>
          <c:layout>
            <c:manualLayout>
              <c:xMode val="edge"/>
              <c:yMode val="edge"/>
              <c:x val="3.5645283359312739E-2"/>
              <c:y val="0.1795864694302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1975" b="0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1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92857142857142"/>
          <c:y val="0.10354237209209502"/>
          <c:w val="0.78928571428571426"/>
          <c:h val="0.73842060097257245"/>
        </c:manualLayout>
      </c:layout>
      <c:lineChart>
        <c:grouping val="standard"/>
        <c:varyColors val="0"/>
        <c:ser>
          <c:idx val="0"/>
          <c:order val="0"/>
          <c:tx>
            <c:strRef>
              <c:f>'Core area graph'!$O$3</c:f>
              <c:strCache>
                <c:ptCount val="1"/>
                <c:pt idx="0">
                  <c:v>allstratum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'Core area graph'!$A$15:$A$29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'Core area graph'!$O$15:$O$29</c:f>
              <c:numCache>
                <c:formatCode>0</c:formatCode>
                <c:ptCount val="15"/>
                <c:pt idx="0">
                  <c:v>10931.251918463706</c:v>
                </c:pt>
                <c:pt idx="1">
                  <c:v>10721.631765836084</c:v>
                </c:pt>
                <c:pt idx="2">
                  <c:v>6325.1097943053201</c:v>
                </c:pt>
                <c:pt idx="3">
                  <c:v>9320.5919371152959</c:v>
                </c:pt>
                <c:pt idx="4">
                  <c:v>11712.290585401028</c:v>
                </c:pt>
                <c:pt idx="5">
                  <c:v>6147.2049062972828</c:v>
                </c:pt>
                <c:pt idx="7">
                  <c:v>28249.653196723688</c:v>
                </c:pt>
                <c:pt idx="8">
                  <c:v>22290.05903060842</c:v>
                </c:pt>
                <c:pt idx="9">
                  <c:v>29401.658009803374</c:v>
                </c:pt>
                <c:pt idx="10">
                  <c:v>2031.7991581790245</c:v>
                </c:pt>
                <c:pt idx="11">
                  <c:v>19351.176440037809</c:v>
                </c:pt>
                <c:pt idx="12">
                  <c:v>23644.483743920857</c:v>
                </c:pt>
                <c:pt idx="13">
                  <c:v>53629.591711534478</c:v>
                </c:pt>
                <c:pt idx="14">
                  <c:v>121916.61397432383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'Core area graph'!$P$3</c:f>
              <c:strCache>
                <c:ptCount val="1"/>
                <c:pt idx="0">
                  <c:v>core statum (millions)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'Core area graph'!$A$15:$A$29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'Core area graph'!$P$15:$P$29</c:f>
              <c:numCache>
                <c:formatCode>0</c:formatCode>
                <c:ptCount val="15"/>
                <c:pt idx="0">
                  <c:v>7978.8248972582423</c:v>
                </c:pt>
                <c:pt idx="1">
                  <c:v>10134.073142061508</c:v>
                </c:pt>
                <c:pt idx="2">
                  <c:v>6279.3569578696461</c:v>
                </c:pt>
                <c:pt idx="3">
                  <c:v>9320.5919371152959</c:v>
                </c:pt>
                <c:pt idx="4">
                  <c:v>11219.838482670299</c:v>
                </c:pt>
                <c:pt idx="5">
                  <c:v>6147.2049062972828</c:v>
                </c:pt>
                <c:pt idx="7">
                  <c:v>28126.409965816714</c:v>
                </c:pt>
                <c:pt idx="8">
                  <c:v>21410.78083767213</c:v>
                </c:pt>
                <c:pt idx="9">
                  <c:v>28408.92679397836</c:v>
                </c:pt>
                <c:pt idx="10">
                  <c:v>1977.0429077821293</c:v>
                </c:pt>
                <c:pt idx="11">
                  <c:v>19351.176440037809</c:v>
                </c:pt>
                <c:pt idx="12">
                  <c:v>19024.681502547548</c:v>
                </c:pt>
                <c:pt idx="13">
                  <c:v>53629.591711534478</c:v>
                </c:pt>
                <c:pt idx="14">
                  <c:v>121916.61397432383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6736"/>
        <c:axId val="94651904"/>
      </c:lineChart>
      <c:catAx>
        <c:axId val="944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65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6519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Surveyed abundance (millions)</a:t>
                </a:r>
              </a:p>
            </c:rich>
          </c:tx>
          <c:layout>
            <c:manualLayout>
              <c:xMode val="edge"/>
              <c:yMode val="edge"/>
              <c:x val="2.3214285714285715E-2"/>
              <c:y val="0.174387207048710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6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476190476190472"/>
          <c:y val="0.14168965936478647"/>
          <c:w val="0.19285714285714284"/>
          <c:h val="0.206176489519191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Survey</a:t>
            </a:r>
            <a:r>
              <a:rPr lang="en-US" sz="1600" baseline="0"/>
              <a:t> Index of Biomass</a:t>
            </a:r>
            <a:endParaRPr lang="en-US" sz="1600"/>
          </a:p>
        </c:rich>
      </c:tx>
      <c:layout>
        <c:manualLayout>
          <c:xMode val="edge"/>
          <c:yMode val="edge"/>
          <c:x val="0.31981423708189394"/>
          <c:y val="4.93640410998575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9808404634004"/>
          <c:y val="0.19873973050581964"/>
          <c:w val="0.75412807092606793"/>
          <c:h val="0.66588635886822223"/>
        </c:manualLayout>
      </c:layout>
      <c:barChart>
        <c:barDir val="col"/>
        <c:grouping val="clustered"/>
        <c:varyColors val="0"/>
        <c:ser>
          <c:idx val="1"/>
          <c:order val="0"/>
          <c:tx>
            <c:v>70 % of area covered</c:v>
          </c:tx>
          <c:invertIfNegative val="0"/>
          <c:cat>
            <c:numRef>
              <c:f>'Sumary for Barry'!$M$4:$M$25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'Sumary for Barry'!$N$4:$N$25</c:f>
              <c:numCache>
                <c:formatCode>General</c:formatCode>
                <c:ptCount val="22"/>
                <c:pt idx="0">
                  <c:v>47448.349730736809</c:v>
                </c:pt>
                <c:pt idx="3">
                  <c:v>216305.45447319438</c:v>
                </c:pt>
                <c:pt idx="4">
                  <c:v>124749.77848998032</c:v>
                </c:pt>
                <c:pt idx="5">
                  <c:v>129418.85726665353</c:v>
                </c:pt>
                <c:pt idx="6">
                  <c:v>83865.016448557421</c:v>
                </c:pt>
                <c:pt idx="7">
                  <c:v>108139.10917210922</c:v>
                </c:pt>
                <c:pt idx="8">
                  <c:v>125159.63663769749</c:v>
                </c:pt>
                <c:pt idx="9">
                  <c:v>98073.814690821731</c:v>
                </c:pt>
                <c:pt idx="11">
                  <c:v>300477.18434017949</c:v>
                </c:pt>
                <c:pt idx="12">
                  <c:v>262855.00204694958</c:v>
                </c:pt>
                <c:pt idx="13">
                  <c:v>262166.38724987791</c:v>
                </c:pt>
                <c:pt idx="14">
                  <c:v>23229.83022097902</c:v>
                </c:pt>
                <c:pt idx="15">
                  <c:v>209645.70212735829</c:v>
                </c:pt>
                <c:pt idx="16">
                  <c:v>209447.11250010232</c:v>
                </c:pt>
                <c:pt idx="17">
                  <c:v>762843.30641017715</c:v>
                </c:pt>
                <c:pt idx="18">
                  <c:v>982854.87536432338</c:v>
                </c:pt>
                <c:pt idx="19">
                  <c:v>661257.9339102729</c:v>
                </c:pt>
                <c:pt idx="21">
                  <c:v>158039.71445226943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51744"/>
        <c:axId val="94999296"/>
      </c:barChart>
      <c:catAx>
        <c:axId val="94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99296"/>
        <c:crosses val="autoZero"/>
        <c:auto val="1"/>
        <c:lblAlgn val="ctr"/>
        <c:lblOffset val="100"/>
        <c:noMultiLvlLbl val="0"/>
      </c:catAx>
      <c:valAx>
        <c:axId val="949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(tonnes)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47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226058433956"/>
          <c:y val="5.3639947093411557E-2"/>
          <c:w val="0.82993046555900152"/>
          <c:h val="0.77394780806208108"/>
        </c:manualLayout>
      </c:layout>
      <c:lineChart>
        <c:grouping val="standard"/>
        <c:varyColors val="0"/>
        <c:ser>
          <c:idx val="3"/>
          <c:order val="0"/>
          <c:tx>
            <c:v>Offshore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graphs!$A$3:$A$38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6" formatCode="0">
                  <c:v>409.23031540750003</c:v>
                </c:pt>
                <c:pt idx="7" formatCode="0">
                  <c:v>366.09397755503869</c:v>
                </c:pt>
                <c:pt idx="8" formatCode="0">
                  <c:v>464.44302138012057</c:v>
                </c:pt>
                <c:pt idx="9" formatCode="0">
                  <c:v>16.131797779468048</c:v>
                </c:pt>
                <c:pt idx="10" formatCode="0">
                  <c:v>19.399027595204526</c:v>
                </c:pt>
                <c:pt idx="14" formatCode="0">
                  <c:v>3.3601826922391194</c:v>
                </c:pt>
                <c:pt idx="17" formatCode="0">
                  <c:v>17.009042975132193</c:v>
                </c:pt>
                <c:pt idx="18" formatCode="0">
                  <c:v>10.931251918463706</c:v>
                </c:pt>
                <c:pt idx="19" formatCode="0">
                  <c:v>10.721631765836085</c:v>
                </c:pt>
                <c:pt idx="20" formatCode="0">
                  <c:v>6.3251097943053205</c:v>
                </c:pt>
                <c:pt idx="21" formatCode="0">
                  <c:v>9.3205919371152959</c:v>
                </c:pt>
                <c:pt idx="22" formatCode="0">
                  <c:v>11.712290585401028</c:v>
                </c:pt>
                <c:pt idx="23" formatCode="0">
                  <c:v>6.1472049062972829</c:v>
                </c:pt>
                <c:pt idx="25" formatCode="0">
                  <c:v>28.249653196723688</c:v>
                </c:pt>
                <c:pt idx="26" formatCode="0">
                  <c:v>22.290059030608418</c:v>
                </c:pt>
                <c:pt idx="27" formatCode="0">
                  <c:v>29.401658009803374</c:v>
                </c:pt>
                <c:pt idx="28" formatCode="0">
                  <c:v>2.0317991581790245</c:v>
                </c:pt>
                <c:pt idx="29" formatCode="0">
                  <c:v>19.351176440037808</c:v>
                </c:pt>
                <c:pt idx="30" formatCode="0">
                  <c:v>23.0735244562654</c:v>
                </c:pt>
                <c:pt idx="31" formatCode="0">
                  <c:v>53.629591711534481</c:v>
                </c:pt>
                <c:pt idx="32" formatCode="0">
                  <c:v>121.91661397432384</c:v>
                </c:pt>
                <c:pt idx="33" formatCode="0">
                  <c:v>62.6</c:v>
                </c:pt>
                <c:pt idx="35" formatCode="0">
                  <c:v>18.495000000000001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graphs!$Z$2</c:f>
              <c:strCache>
                <c:ptCount val="1"/>
                <c:pt idx="0">
                  <c:v>Trinity Bay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graphs!$Z$3:$Z$38</c:f>
              <c:numCache>
                <c:formatCode>General</c:formatCode>
                <c:ptCount val="36"/>
                <c:pt idx="17">
                  <c:v>36.228854610100477</c:v>
                </c:pt>
                <c:pt idx="18">
                  <c:v>131.86034719428329</c:v>
                </c:pt>
                <c:pt idx="19">
                  <c:v>45.993187579200274</c:v>
                </c:pt>
                <c:pt idx="20">
                  <c:v>17.748792910573172</c:v>
                </c:pt>
                <c:pt idx="21">
                  <c:v>14.120882035504433</c:v>
                </c:pt>
                <c:pt idx="22">
                  <c:v>4.6677153889728853</c:v>
                </c:pt>
                <c:pt idx="23">
                  <c:v>0</c:v>
                </c:pt>
                <c:pt idx="24">
                  <c:v>22.570036301130006</c:v>
                </c:pt>
                <c:pt idx="25">
                  <c:v>11.063453607676918</c:v>
                </c:pt>
                <c:pt idx="26">
                  <c:v>94.730958055659102</c:v>
                </c:pt>
                <c:pt idx="27">
                  <c:v>26.335095825776605</c:v>
                </c:pt>
                <c:pt idx="28">
                  <c:v>20.247854147501279</c:v>
                </c:pt>
                <c:pt idx="29">
                  <c:v>83.047254041365491</c:v>
                </c:pt>
                <c:pt idx="30">
                  <c:v>17.613345813239736</c:v>
                </c:pt>
                <c:pt idx="31">
                  <c:v>3.4780304226218726</c:v>
                </c:pt>
                <c:pt idx="35">
                  <c:v>5.7007500000000002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28448"/>
        <c:axId val="93930624"/>
      </c:lineChart>
      <c:catAx>
        <c:axId val="939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0624"/>
        <c:crossesAt val="0.1"/>
        <c:auto val="1"/>
        <c:lblAlgn val="ctr"/>
        <c:lblOffset val="100"/>
        <c:noMultiLvlLbl val="0"/>
      </c:catAx>
      <c:valAx>
        <c:axId val="9393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Abundance (bilions)</a:t>
                </a:r>
              </a:p>
            </c:rich>
          </c:tx>
          <c:layout>
            <c:manualLayout>
              <c:xMode val="edge"/>
              <c:yMode val="edge"/>
              <c:x val="1.4332284897508841E-3"/>
              <c:y val="0.167719696894851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8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88907521412882"/>
          <c:y val="4.7854862596145631E-2"/>
          <c:w val="0.66161681425269714"/>
          <c:h val="0.68481958542760135"/>
        </c:manualLayout>
      </c:layout>
      <c:lineChart>
        <c:grouping val="standard"/>
        <c:varyColors val="0"/>
        <c:ser>
          <c:idx val="1"/>
          <c:order val="0"/>
          <c:tx>
            <c:strRef>
              <c:f>graphs!$T$2</c:f>
              <c:strCache>
                <c:ptCount val="1"/>
                <c:pt idx="0">
                  <c:v>biomass (g *109)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graphs!$A$20:$A$33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graphs!$T$20:$T$35</c:f>
              <c:numCache>
                <c:formatCode>0.0</c:formatCode>
                <c:ptCount val="16"/>
                <c:pt idx="0">
                  <c:v>216.30545447319437</c:v>
                </c:pt>
                <c:pt idx="1">
                  <c:v>124.74977848998033</c:v>
                </c:pt>
                <c:pt idx="2">
                  <c:v>129.41885726665353</c:v>
                </c:pt>
                <c:pt idx="3">
                  <c:v>83.865016448557427</c:v>
                </c:pt>
                <c:pt idx="4">
                  <c:v>108.13910917210923</c:v>
                </c:pt>
                <c:pt idx="5">
                  <c:v>125.15963663769749</c:v>
                </c:pt>
                <c:pt idx="6">
                  <c:v>98.073814690821735</c:v>
                </c:pt>
                <c:pt idx="8">
                  <c:v>300.47718434017946</c:v>
                </c:pt>
                <c:pt idx="9">
                  <c:v>262.85500204694961</c:v>
                </c:pt>
                <c:pt idx="10">
                  <c:v>262.16638724987791</c:v>
                </c:pt>
                <c:pt idx="11">
                  <c:v>23.229830220979022</c:v>
                </c:pt>
                <c:pt idx="12">
                  <c:v>209.64570212735831</c:v>
                </c:pt>
                <c:pt idx="13">
                  <c:v>205.76128530349743</c:v>
                </c:pt>
                <c:pt idx="14">
                  <c:v>762.84330641017709</c:v>
                </c:pt>
                <c:pt idx="15">
                  <c:v>982.85487536432333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66720"/>
        <c:axId val="93968640"/>
      </c:lineChart>
      <c:catAx>
        <c:axId val="939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-5400000" vert="horz"/>
          <a:lstStyle/>
          <a:p>
            <a:pPr>
              <a:defRPr sz="22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8640"/>
        <c:crossesAt val="0.1"/>
        <c:auto val="1"/>
        <c:lblAlgn val="ctr"/>
        <c:lblOffset val="100"/>
        <c:tickLblSkip val="1"/>
        <c:tickMarkSkip val="1"/>
        <c:noMultiLvlLbl val="0"/>
      </c:catAx>
      <c:valAx>
        <c:axId val="9396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FF9900"/>
            </a:solidFill>
            <a:prstDash val="solid"/>
          </a:ln>
        </c:spPr>
        <c:txPr>
          <a:bodyPr rot="0" vert="horz"/>
          <a:lstStyle/>
          <a:p>
            <a:pPr>
              <a:defRPr sz="2200" b="0" i="0" u="none" strike="noStrike" baseline="0">
                <a:solidFill>
                  <a:srgbClr val="FF99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27284458041083"/>
          <c:y val="6.060616610643331E-2"/>
          <c:w val="0.77272710505781372"/>
          <c:h val="0.7789674878973929"/>
        </c:manualLayout>
      </c:layout>
      <c:lineChart>
        <c:grouping val="standard"/>
        <c:varyColors val="0"/>
        <c:ser>
          <c:idx val="1"/>
          <c:order val="0"/>
          <c:tx>
            <c:strRef>
              <c:f>graphs!$C$2</c:f>
              <c:strCache>
                <c:ptCount val="1"/>
                <c:pt idx="0">
                  <c:v>Sum of lower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ysDash"/>
            </a:ln>
          </c:spPr>
          <c:marker>
            <c:symbol val="dash"/>
            <c:size val="5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graphs!$A$3:$A$39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graphs!$C$3:$C$39</c:f>
              <c:numCache>
                <c:formatCode>0</c:formatCode>
                <c:ptCount val="37"/>
                <c:pt idx="6">
                  <c:v>339797.37504008465</c:v>
                </c:pt>
                <c:pt idx="7">
                  <c:v>311742.34496774618</c:v>
                </c:pt>
                <c:pt idx="8">
                  <c:v>346163.81342379993</c:v>
                </c:pt>
                <c:pt idx="9">
                  <c:v>7846.1313712475348</c:v>
                </c:pt>
                <c:pt idx="10">
                  <c:v>16018.19995812562</c:v>
                </c:pt>
                <c:pt idx="14">
                  <c:v>2236.49129620127</c:v>
                </c:pt>
                <c:pt idx="17">
                  <c:v>10859.953279965368</c:v>
                </c:pt>
                <c:pt idx="18">
                  <c:v>8799.0802236849577</c:v>
                </c:pt>
                <c:pt idx="19">
                  <c:v>7020.4094828144825</c:v>
                </c:pt>
                <c:pt idx="20">
                  <c:v>5239.1774091162342</c:v>
                </c:pt>
                <c:pt idx="21">
                  <c:v>6738.8929867209099</c:v>
                </c:pt>
                <c:pt idx="22">
                  <c:v>9298.170954363206</c:v>
                </c:pt>
                <c:pt idx="23">
                  <c:v>3818.47349438111</c:v>
                </c:pt>
                <c:pt idx="25">
                  <c:v>22001.573079862806</c:v>
                </c:pt>
                <c:pt idx="26">
                  <c:v>17605.556200970535</c:v>
                </c:pt>
                <c:pt idx="27">
                  <c:v>25611.505861845639</c:v>
                </c:pt>
                <c:pt idx="28">
                  <c:v>1181.2033281171512</c:v>
                </c:pt>
                <c:pt idx="29">
                  <c:v>14509.836668980617</c:v>
                </c:pt>
                <c:pt idx="30">
                  <c:v>18544.694079887846</c:v>
                </c:pt>
                <c:pt idx="31">
                  <c:v>35426.46385920485</c:v>
                </c:pt>
                <c:pt idx="32">
                  <c:v>103823.7370760686</c:v>
                </c:pt>
                <c:pt idx="33">
                  <c:v>46838.363535056051</c:v>
                </c:pt>
                <c:pt idx="35">
                  <c:v>15623.282323482304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graphs!$D$2</c:f>
              <c:strCache>
                <c:ptCount val="1"/>
                <c:pt idx="0">
                  <c:v>Sum of upper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ysDash"/>
            </a:ln>
          </c:spPr>
          <c:marker>
            <c:symbol val="dash"/>
            <c:size val="5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graphs!$A$3:$A$39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graphs!$D$3:$D$39</c:f>
              <c:numCache>
                <c:formatCode>0</c:formatCode>
                <c:ptCount val="37"/>
                <c:pt idx="6">
                  <c:v>498826.94762838905</c:v>
                </c:pt>
                <c:pt idx="7">
                  <c:v>439309.45892693399</c:v>
                </c:pt>
                <c:pt idx="8">
                  <c:v>642306.59333153954</c:v>
                </c:pt>
                <c:pt idx="9">
                  <c:v>58633.438691454568</c:v>
                </c:pt>
                <c:pt idx="10">
                  <c:v>24977.095013937073</c:v>
                </c:pt>
                <c:pt idx="14">
                  <c:v>5317.7324417144828</c:v>
                </c:pt>
                <c:pt idx="17">
                  <c:v>33156.295232777637</c:v>
                </c:pt>
                <c:pt idx="18">
                  <c:v>13828.653086824532</c:v>
                </c:pt>
                <c:pt idx="19">
                  <c:v>31649.165984101284</c:v>
                </c:pt>
                <c:pt idx="20">
                  <c:v>8323.327611853827</c:v>
                </c:pt>
                <c:pt idx="21">
                  <c:v>16905.120477453835</c:v>
                </c:pt>
                <c:pt idx="22">
                  <c:v>21352.420153984287</c:v>
                </c:pt>
                <c:pt idx="23">
                  <c:v>24120.187526677095</c:v>
                </c:pt>
                <c:pt idx="25">
                  <c:v>44629.384204963739</c:v>
                </c:pt>
                <c:pt idx="26">
                  <c:v>44222.046723010055</c:v>
                </c:pt>
                <c:pt idx="27">
                  <c:v>38994.609176917802</c:v>
                </c:pt>
                <c:pt idx="28">
                  <c:v>5124.3562028814531</c:v>
                </c:pt>
                <c:pt idx="29">
                  <c:v>30070.933624884568</c:v>
                </c:pt>
                <c:pt idx="30">
                  <c:v>41658.589225538097</c:v>
                </c:pt>
                <c:pt idx="31">
                  <c:v>90183.796459395409</c:v>
                </c:pt>
                <c:pt idx="32">
                  <c:v>150435.90595045869</c:v>
                </c:pt>
                <c:pt idx="33">
                  <c:v>88355.330121408129</c:v>
                </c:pt>
                <c:pt idx="35">
                  <c:v>25266.982295400063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graphs!$B$2</c:f>
              <c:strCache>
                <c:ptCount val="1"/>
                <c:pt idx="0">
                  <c:v> NUMBERS (millions)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graphs!$A$3:$A$39</c:f>
              <c:numCache>
                <c:formatCode>General</c:formatCode>
                <c:ptCount val="37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graphs!$B$3:$B$39</c:f>
              <c:numCache>
                <c:formatCode>0</c:formatCode>
                <c:ptCount val="37"/>
                <c:pt idx="6">
                  <c:v>409230.31540750002</c:v>
                </c:pt>
                <c:pt idx="7">
                  <c:v>366093.9775550387</c:v>
                </c:pt>
                <c:pt idx="8">
                  <c:v>464443.0213801206</c:v>
                </c:pt>
                <c:pt idx="9">
                  <c:v>16131.797779468048</c:v>
                </c:pt>
                <c:pt idx="10">
                  <c:v>19399.027595204527</c:v>
                </c:pt>
                <c:pt idx="14">
                  <c:v>3360.1826922391192</c:v>
                </c:pt>
                <c:pt idx="17">
                  <c:v>17009.042975132194</c:v>
                </c:pt>
                <c:pt idx="18">
                  <c:v>10931.251918463706</c:v>
                </c:pt>
                <c:pt idx="19">
                  <c:v>10721.631765836084</c:v>
                </c:pt>
                <c:pt idx="20">
                  <c:v>6325.1097943053201</c:v>
                </c:pt>
                <c:pt idx="21">
                  <c:v>9320.5919371152959</c:v>
                </c:pt>
                <c:pt idx="22">
                  <c:v>11712.290585401028</c:v>
                </c:pt>
                <c:pt idx="23">
                  <c:v>6147.2049062972828</c:v>
                </c:pt>
                <c:pt idx="25">
                  <c:v>28249.653196723688</c:v>
                </c:pt>
                <c:pt idx="26">
                  <c:v>22290.05903060842</c:v>
                </c:pt>
                <c:pt idx="27">
                  <c:v>29401.658009803374</c:v>
                </c:pt>
                <c:pt idx="28">
                  <c:v>2031.7991581790245</c:v>
                </c:pt>
                <c:pt idx="29">
                  <c:v>19351.176440037809</c:v>
                </c:pt>
                <c:pt idx="30">
                  <c:v>23073.524456265401</c:v>
                </c:pt>
                <c:pt idx="31">
                  <c:v>53629.591711534478</c:v>
                </c:pt>
                <c:pt idx="32">
                  <c:v>121916.61397432383</c:v>
                </c:pt>
                <c:pt idx="33">
                  <c:v>62616.874475370169</c:v>
                </c:pt>
                <c:pt idx="35">
                  <c:v>18495.393279326057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74816"/>
        <c:axId val="93876992"/>
      </c:lineChart>
      <c:catAx>
        <c:axId val="93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FFFF00"/>
            </a:solidFill>
            <a:prstDash val="solid"/>
          </a:ln>
        </c:spPr>
        <c:txPr>
          <a:bodyPr rot="-5400000" vert="horz"/>
          <a:lstStyle/>
          <a:p>
            <a:pPr>
              <a:defRPr sz="2100" b="0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6992"/>
        <c:crossesAt val="0.1"/>
        <c:auto val="1"/>
        <c:lblAlgn val="ctr"/>
        <c:lblOffset val="100"/>
        <c:tickLblSkip val="2"/>
        <c:tickMarkSkip val="1"/>
        <c:noMultiLvlLbl val="0"/>
      </c:catAx>
      <c:valAx>
        <c:axId val="9387699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FFFF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Abundance (millions)</a:t>
                </a:r>
              </a:p>
            </c:rich>
          </c:tx>
          <c:layout>
            <c:manualLayout>
              <c:xMode val="edge"/>
              <c:yMode val="edge"/>
              <c:x val="4.8625806196336011E-2"/>
              <c:y val="0.203208930434497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2100" b="0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637181619739"/>
          <c:y val="3.0909118349714444E-2"/>
          <c:w val="0.83660983845319126"/>
          <c:h val="0.83818256230696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graphs!$AC$1</c:f>
              <c:strCache>
                <c:ptCount val="1"/>
                <c:pt idx="0">
                  <c:v>Surveyed offshore area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graphs!$O$9:$O$35</c:f>
              <c:numCache>
                <c:formatCode>General</c:formatCod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numCache>
            </c:numRef>
          </c:cat>
          <c:val>
            <c:numRef>
              <c:f>graphs!$AC$9:$AC$35</c:f>
              <c:numCache>
                <c:formatCode>General</c:formatCode>
                <c:ptCount val="27"/>
                <c:pt idx="0">
                  <c:v>69327</c:v>
                </c:pt>
                <c:pt idx="1">
                  <c:v>66193.5</c:v>
                </c:pt>
                <c:pt idx="2">
                  <c:v>69291</c:v>
                </c:pt>
                <c:pt idx="3" formatCode="0.000000">
                  <c:v>44997</c:v>
                </c:pt>
                <c:pt idx="4">
                  <c:v>82043.199999999997</c:v>
                </c:pt>
                <c:pt idx="8">
                  <c:v>132939</c:v>
                </c:pt>
                <c:pt idx="11">
                  <c:v>71167.785688938849</c:v>
                </c:pt>
                <c:pt idx="12">
                  <c:v>115042.12597090854</c:v>
                </c:pt>
                <c:pt idx="13">
                  <c:v>109011.81728721323</c:v>
                </c:pt>
                <c:pt idx="14">
                  <c:v>139556.27277883934</c:v>
                </c:pt>
                <c:pt idx="15">
                  <c:v>77544.927102135873</c:v>
                </c:pt>
                <c:pt idx="16">
                  <c:v>120764.86600768716</c:v>
                </c:pt>
                <c:pt idx="17">
                  <c:v>87982.126190535404</c:v>
                </c:pt>
                <c:pt idx="19">
                  <c:v>116851.5457767053</c:v>
                </c:pt>
                <c:pt idx="20">
                  <c:v>151724.59512604025</c:v>
                </c:pt>
                <c:pt idx="21">
                  <c:v>146378.13588070218</c:v>
                </c:pt>
                <c:pt idx="22">
                  <c:v>146378.13588070218</c:v>
                </c:pt>
                <c:pt idx="23">
                  <c:v>110008.14338281019</c:v>
                </c:pt>
                <c:pt idx="24">
                  <c:v>146378.13588070218</c:v>
                </c:pt>
                <c:pt idx="25" formatCode="0">
                  <c:v>146378.13588070218</c:v>
                </c:pt>
                <c:pt idx="26" formatCode="0">
                  <c:v>130918.40676234908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79392"/>
        <c:axId val="93980928"/>
      </c:barChart>
      <c:catAx>
        <c:axId val="939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8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9809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Surveyed area (square kilometers * 10</a:t>
                </a:r>
                <a:r>
                  <a:rPr lang="en-CA" sz="112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CA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2113022113022112E-2"/>
              <c:y val="0.190909281794321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9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2978723404256"/>
          <c:y val="5.233649636435489E-2"/>
          <c:w val="0.73515439602307775"/>
          <c:h val="0.77943996371199964"/>
        </c:manualLayout>
      </c:layout>
      <c:lineChart>
        <c:grouping val="standard"/>
        <c:varyColors val="0"/>
        <c:ser>
          <c:idx val="3"/>
          <c:order val="0"/>
          <c:tx>
            <c:strRef>
              <c:f>graphs!$E$2</c:f>
              <c:strCache>
                <c:ptCount val="1"/>
                <c:pt idx="0">
                  <c:v>Sum of Biomass (tons)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graphs!$A$3:$A$38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graphs!$T$3:$T$38</c:f>
              <c:numCache>
                <c:formatCode>General</c:formatCode>
                <c:ptCount val="36"/>
                <c:pt idx="0">
                  <c:v>466</c:v>
                </c:pt>
                <c:pt idx="3">
                  <c:v>3426</c:v>
                </c:pt>
                <c:pt idx="4">
                  <c:v>3697</c:v>
                </c:pt>
                <c:pt idx="5">
                  <c:v>2576</c:v>
                </c:pt>
                <c:pt idx="6">
                  <c:v>4551</c:v>
                </c:pt>
                <c:pt idx="7">
                  <c:v>3829</c:v>
                </c:pt>
                <c:pt idx="8">
                  <c:v>6958</c:v>
                </c:pt>
                <c:pt idx="9">
                  <c:v>116</c:v>
                </c:pt>
                <c:pt idx="10">
                  <c:v>206</c:v>
                </c:pt>
                <c:pt idx="14">
                  <c:v>64</c:v>
                </c:pt>
                <c:pt idx="17" formatCode="0.0">
                  <c:v>216.30545447319437</c:v>
                </c:pt>
                <c:pt idx="18" formatCode="0.0">
                  <c:v>124.74977848998033</c:v>
                </c:pt>
                <c:pt idx="19" formatCode="0.0">
                  <c:v>129.41885726665353</c:v>
                </c:pt>
                <c:pt idx="20" formatCode="0.0">
                  <c:v>83.865016448557427</c:v>
                </c:pt>
                <c:pt idx="21" formatCode="0.0">
                  <c:v>108.13910917210923</c:v>
                </c:pt>
                <c:pt idx="22" formatCode="0.0">
                  <c:v>125.15963663769749</c:v>
                </c:pt>
                <c:pt idx="23" formatCode="0.0">
                  <c:v>98.073814690821735</c:v>
                </c:pt>
                <c:pt idx="25" formatCode="0.0">
                  <c:v>300.47718434017946</c:v>
                </c:pt>
                <c:pt idx="26" formatCode="0.0">
                  <c:v>262.85500204694961</c:v>
                </c:pt>
                <c:pt idx="27" formatCode="0.0">
                  <c:v>262.16638724987791</c:v>
                </c:pt>
                <c:pt idx="28" formatCode="0.0">
                  <c:v>23.229830220979022</c:v>
                </c:pt>
                <c:pt idx="29" formatCode="0.0">
                  <c:v>209.64570212735831</c:v>
                </c:pt>
                <c:pt idx="30" formatCode="0.0">
                  <c:v>205.76128530349743</c:v>
                </c:pt>
                <c:pt idx="31" formatCode="0.0">
                  <c:v>762.84330641017709</c:v>
                </c:pt>
                <c:pt idx="32" formatCode="0.0">
                  <c:v>982.85487536432333</c:v>
                </c:pt>
                <c:pt idx="33">
                  <c:v>661</c:v>
                </c:pt>
                <c:pt idx="35" formatCode="0.0">
                  <c:v>157.63200000000001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2832"/>
        <c:axId val="94011392"/>
      </c:lineChart>
      <c:catAx>
        <c:axId val="939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1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401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20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Biomass (tonnes * 10</a:t>
                </a:r>
                <a:r>
                  <a:rPr lang="en-CA" sz="20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CA" sz="20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8723379514269577E-2"/>
              <c:y val="0.147663747639021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9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7772602366667"/>
          <c:y val="3.2818532818532815E-2"/>
          <c:w val="0.74692919497729848"/>
          <c:h val="0.81853281853281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graphs!$AC$1</c:f>
              <c:strCache>
                <c:ptCount val="1"/>
                <c:pt idx="0">
                  <c:v>Surveyed offshore area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graphs!$O$9:$O$35</c:f>
              <c:numCache>
                <c:formatCode>General</c:formatCod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numCache>
            </c:numRef>
          </c:cat>
          <c:val>
            <c:numRef>
              <c:f>graphs!$AC$9:$AC$35</c:f>
              <c:numCache>
                <c:formatCode>General</c:formatCode>
                <c:ptCount val="27"/>
                <c:pt idx="0">
                  <c:v>69327</c:v>
                </c:pt>
                <c:pt idx="1">
                  <c:v>66193.5</c:v>
                </c:pt>
                <c:pt idx="2">
                  <c:v>69291</c:v>
                </c:pt>
                <c:pt idx="3" formatCode="0.000000">
                  <c:v>44997</c:v>
                </c:pt>
                <c:pt idx="4">
                  <c:v>82043.199999999997</c:v>
                </c:pt>
                <c:pt idx="8">
                  <c:v>132939</c:v>
                </c:pt>
                <c:pt idx="11">
                  <c:v>71167.785688938849</c:v>
                </c:pt>
                <c:pt idx="12">
                  <c:v>115042.12597090854</c:v>
                </c:pt>
                <c:pt idx="13">
                  <c:v>109011.81728721323</c:v>
                </c:pt>
                <c:pt idx="14">
                  <c:v>139556.27277883934</c:v>
                </c:pt>
                <c:pt idx="15">
                  <c:v>77544.927102135873</c:v>
                </c:pt>
                <c:pt idx="16">
                  <c:v>120764.86600768716</c:v>
                </c:pt>
                <c:pt idx="17">
                  <c:v>87982.126190535404</c:v>
                </c:pt>
                <c:pt idx="19">
                  <c:v>116851.5457767053</c:v>
                </c:pt>
                <c:pt idx="20">
                  <c:v>151724.59512604025</c:v>
                </c:pt>
                <c:pt idx="21">
                  <c:v>146378.13588070218</c:v>
                </c:pt>
                <c:pt idx="22">
                  <c:v>146378.13588070218</c:v>
                </c:pt>
                <c:pt idx="23">
                  <c:v>110008.14338281019</c:v>
                </c:pt>
                <c:pt idx="24">
                  <c:v>146378.13588070218</c:v>
                </c:pt>
                <c:pt idx="25" formatCode="0">
                  <c:v>146378.13588070218</c:v>
                </c:pt>
                <c:pt idx="26" formatCode="0">
                  <c:v>130918.40676234908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3136"/>
        <c:axId val="94125056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graphs!$U$9:$U$35</c:f>
              <c:numCache>
                <c:formatCode>General</c:formatCode>
                <c:ptCount val="27"/>
                <c:pt idx="0">
                  <c:v>486.2</c:v>
                </c:pt>
                <c:pt idx="1">
                  <c:v>426.8</c:v>
                </c:pt>
                <c:pt idx="2">
                  <c:v>598.6</c:v>
                </c:pt>
                <c:pt idx="3">
                  <c:v>30.1</c:v>
                </c:pt>
                <c:pt idx="4">
                  <c:v>31.9</c:v>
                </c:pt>
                <c:pt idx="8">
                  <c:v>4.9000000000000004</c:v>
                </c:pt>
                <c:pt idx="11" formatCode="0.0">
                  <c:v>17.009042975132193</c:v>
                </c:pt>
                <c:pt idx="12" formatCode="0.0">
                  <c:v>10.931251918463706</c:v>
                </c:pt>
                <c:pt idx="13" formatCode="0.0">
                  <c:v>10.721631765836085</c:v>
                </c:pt>
                <c:pt idx="14" formatCode="0.0">
                  <c:v>6.3251097943053205</c:v>
                </c:pt>
                <c:pt idx="15" formatCode="0.0">
                  <c:v>9.3205919371152959</c:v>
                </c:pt>
                <c:pt idx="16" formatCode="0.0">
                  <c:v>11.712290585401028</c:v>
                </c:pt>
                <c:pt idx="17" formatCode="0.0">
                  <c:v>6.1472049062972829</c:v>
                </c:pt>
                <c:pt idx="19" formatCode="0.0">
                  <c:v>28.249653196723688</c:v>
                </c:pt>
                <c:pt idx="20" formatCode="0.0">
                  <c:v>22.290059030608418</c:v>
                </c:pt>
                <c:pt idx="21" formatCode="0.0">
                  <c:v>29.401658009803374</c:v>
                </c:pt>
                <c:pt idx="22" formatCode="0.0">
                  <c:v>2.0317991581790245</c:v>
                </c:pt>
                <c:pt idx="23" formatCode="0.0">
                  <c:v>19.351176440037808</c:v>
                </c:pt>
                <c:pt idx="24" formatCode="0.0">
                  <c:v>23.0735244562654</c:v>
                </c:pt>
                <c:pt idx="25" formatCode="0.0">
                  <c:v>53.629591711534481</c:v>
                </c:pt>
                <c:pt idx="26" formatCode="0.0">
                  <c:v>121.91661397432384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7232"/>
        <c:axId val="94128768"/>
      </c:lineChart>
      <c:catAx>
        <c:axId val="941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2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41250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Surveyed area (square kilometers * 10</a:t>
                </a:r>
                <a:r>
                  <a:rPr lang="en-CA" sz="112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CA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7027027027027029E-2"/>
              <c:y val="0.16795366795366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23136"/>
        <c:crosses val="autoZero"/>
        <c:crossBetween val="between"/>
      </c:valAx>
      <c:catAx>
        <c:axId val="9412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28768"/>
        <c:crosses val="autoZero"/>
        <c:auto val="1"/>
        <c:lblAlgn val="ctr"/>
        <c:lblOffset val="100"/>
        <c:noMultiLvlLbl val="0"/>
      </c:catAx>
      <c:valAx>
        <c:axId val="9412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Surveyed abundance (billions)</a:t>
                </a:r>
              </a:p>
            </c:rich>
          </c:tx>
          <c:layout>
            <c:manualLayout>
              <c:xMode val="edge"/>
              <c:yMode val="edge"/>
              <c:x val="0.93488995079546255"/>
              <c:y val="0.23166023166023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2723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13001499812522"/>
          <c:y val="6.060616610643331E-2"/>
          <c:w val="0.8177846831646044"/>
          <c:h val="0.7789674878973929"/>
        </c:manualLayout>
      </c:layout>
      <c:lineChart>
        <c:grouping val="standard"/>
        <c:varyColors val="0"/>
        <c:ser>
          <c:idx val="1"/>
          <c:order val="0"/>
          <c:tx>
            <c:strRef>
              <c:f>graphs!$C$2</c:f>
              <c:strCache>
                <c:ptCount val="1"/>
                <c:pt idx="0">
                  <c:v>Sum of lower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ysDash"/>
            </a:ln>
          </c:spPr>
          <c:marker>
            <c:symbol val="dash"/>
            <c:size val="5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graphs!$A$3:$A$35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graphs!$J$39:$J$39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"/>
          <c:order val="1"/>
          <c:tx>
            <c:strRef>
              <c:f>graphs!$D$2</c:f>
              <c:strCache>
                <c:ptCount val="1"/>
                <c:pt idx="0">
                  <c:v>Sum of upper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ysDash"/>
            </a:ln>
          </c:spPr>
          <c:marker>
            <c:symbol val="dash"/>
            <c:size val="5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graphs!$A$3:$A$35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graphs!$K$39:$K$39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2"/>
          <c:tx>
            <c:strRef>
              <c:f>graphs!$B$2</c:f>
              <c:strCache>
                <c:ptCount val="1"/>
                <c:pt idx="0">
                  <c:v> NUMBERS (millions)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graphs!$A$3:$A$35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graphs!$I$36:$I$36</c:f>
              <c:numCache>
                <c:formatCode>0</c:formatCode>
                <c:ptCount val="1"/>
                <c:pt idx="0">
                  <c:v>62.6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graphs!$O$1</c:f>
              <c:strCache>
                <c:ptCount val="1"/>
                <c:pt idx="0">
                  <c:v>Dan's estimates from 1997 res doc.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graphs!$A$3:$A$35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graphs!$P$3:$P$34</c:f>
              <c:numCache>
                <c:formatCode>General</c:formatCode>
                <c:ptCount val="32"/>
                <c:pt idx="0">
                  <c:v>466</c:v>
                </c:pt>
                <c:pt idx="3">
                  <c:v>3426</c:v>
                </c:pt>
                <c:pt idx="4">
                  <c:v>3697</c:v>
                </c:pt>
                <c:pt idx="5">
                  <c:v>2576</c:v>
                </c:pt>
                <c:pt idx="6">
                  <c:v>4551</c:v>
                </c:pt>
                <c:pt idx="7">
                  <c:v>3829</c:v>
                </c:pt>
                <c:pt idx="8">
                  <c:v>6958</c:v>
                </c:pt>
                <c:pt idx="9">
                  <c:v>116</c:v>
                </c:pt>
                <c:pt idx="10">
                  <c:v>206</c:v>
                </c:pt>
                <c:pt idx="14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7808"/>
        <c:axId val="94169344"/>
      </c:lineChart>
      <c:catAx>
        <c:axId val="941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FFFF00"/>
            </a:solidFill>
            <a:prstDash val="solid"/>
          </a:ln>
        </c:spPr>
        <c:txPr>
          <a:bodyPr rot="-5400000" vert="horz"/>
          <a:lstStyle/>
          <a:p>
            <a:pPr>
              <a:defRPr sz="2100" b="0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9344"/>
        <c:crossesAt val="0.1"/>
        <c:auto val="1"/>
        <c:lblAlgn val="ctr"/>
        <c:lblOffset val="100"/>
        <c:tickLblSkip val="2"/>
        <c:tickMarkSkip val="1"/>
        <c:noMultiLvlLbl val="0"/>
      </c:catAx>
      <c:valAx>
        <c:axId val="9416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FFFF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Biomass (kilotonnes)</a:t>
                </a:r>
              </a:p>
            </c:rich>
          </c:tx>
          <c:layout>
            <c:manualLayout>
              <c:xMode val="edge"/>
              <c:yMode val="edge"/>
              <c:x val="1.8360788011418144E-2"/>
              <c:y val="0.21892159202024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2100" b="0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47223904704219"/>
          <c:y val="6.060616610643331E-2"/>
          <c:w val="0.84252764878749131"/>
          <c:h val="0.7789674878973929"/>
        </c:manualLayout>
      </c:layout>
      <c:lineChart>
        <c:grouping val="standard"/>
        <c:varyColors val="0"/>
        <c:ser>
          <c:idx val="1"/>
          <c:order val="0"/>
          <c:tx>
            <c:strRef>
              <c:f>graphs!$C$2</c:f>
              <c:strCache>
                <c:ptCount val="1"/>
                <c:pt idx="0">
                  <c:v>Sum of lower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ash"/>
            <c:size val="5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graphs!$S$3:$S$38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graphs!$M$3:$M$38</c:f>
              <c:numCache>
                <c:formatCode>General</c:formatCode>
                <c:ptCount val="36"/>
                <c:pt idx="6" formatCode="0">
                  <c:v>3579.5695042131383</c:v>
                </c:pt>
                <c:pt idx="7" formatCode="0">
                  <c:v>3126.8464044257594</c:v>
                </c:pt>
                <c:pt idx="8" formatCode="0">
                  <c:v>4168.5922590359996</c:v>
                </c:pt>
                <c:pt idx="9" formatCode="0">
                  <c:v>61.40982490148604</c:v>
                </c:pt>
                <c:pt idx="10" formatCode="0">
                  <c:v>114.50031905946605</c:v>
                </c:pt>
                <c:pt idx="14" formatCode="0">
                  <c:v>32.123622036666006</c:v>
                </c:pt>
                <c:pt idx="17" formatCode="0">
                  <c:v>140.93446662639261</c:v>
                </c:pt>
                <c:pt idx="18" formatCode="0">
                  <c:v>100.2255820275394</c:v>
                </c:pt>
                <c:pt idx="19" formatCode="0">
                  <c:v>86.055886059002574</c:v>
                </c:pt>
                <c:pt idx="20" formatCode="0">
                  <c:v>70.167597179670025</c:v>
                </c:pt>
                <c:pt idx="21" formatCode="0">
                  <c:v>78.337780848155106</c:v>
                </c:pt>
                <c:pt idx="22" formatCode="0">
                  <c:v>100.39296248656741</c:v>
                </c:pt>
                <c:pt idx="23" formatCode="0">
                  <c:v>63.254375987263025</c:v>
                </c:pt>
                <c:pt idx="25" formatCode="0">
                  <c:v>233.35085026736198</c:v>
                </c:pt>
                <c:pt idx="26" formatCode="0">
                  <c:v>207.27915731362589</c:v>
                </c:pt>
                <c:pt idx="27" formatCode="0">
                  <c:v>227.09312857300202</c:v>
                </c:pt>
                <c:pt idx="28" formatCode="0">
                  <c:v>13.621038791282276</c:v>
                </c:pt>
                <c:pt idx="29" formatCode="0">
                  <c:v>161.55948053070085</c:v>
                </c:pt>
                <c:pt idx="30" formatCode="0">
                  <c:v>165.90633820235021</c:v>
                </c:pt>
                <c:pt idx="31" formatCode="0">
                  <c:v>519.91647002170919</c:v>
                </c:pt>
                <c:pt idx="32" formatCode="0">
                  <c:v>839.18475697691463</c:v>
                </c:pt>
                <c:pt idx="33" formatCode="0">
                  <c:v>507.67633102778314</c:v>
                </c:pt>
                <c:pt idx="35" formatCode="0">
                  <c:v>133.73561171892206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graphs!$D$2</c:f>
              <c:strCache>
                <c:ptCount val="1"/>
                <c:pt idx="0">
                  <c:v>Sum of upper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graphs!$S$3:$S$38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graphs!$N$3:$N$38</c:f>
              <c:numCache>
                <c:formatCode>General</c:formatCode>
                <c:ptCount val="36"/>
                <c:pt idx="6" formatCode="0">
                  <c:v>5179.9990311483634</c:v>
                </c:pt>
                <c:pt idx="7" formatCode="0">
                  <c:v>4505.3260777582791</c:v>
                </c:pt>
                <c:pt idx="8" formatCode="0">
                  <c:v>8353.5738274634823</c:v>
                </c:pt>
                <c:pt idx="9" formatCode="0">
                  <c:v>339.15019181150245</c:v>
                </c:pt>
                <c:pt idx="10" formatCode="0">
                  <c:v>175.47897954267998</c:v>
                </c:pt>
                <c:pt idx="14" formatCode="0">
                  <c:v>74.162970497860101</c:v>
                </c:pt>
                <c:pt idx="17" formatCode="0">
                  <c:v>414.40352409760493</c:v>
                </c:pt>
                <c:pt idx="18" formatCode="0">
                  <c:v>158.51736759213151</c:v>
                </c:pt>
                <c:pt idx="19" formatCode="0">
                  <c:v>375.38455245943209</c:v>
                </c:pt>
                <c:pt idx="20" formatCode="0">
                  <c:v>109.44023712280698</c:v>
                </c:pt>
                <c:pt idx="21" formatCode="0">
                  <c:v>191.40731510644969</c:v>
                </c:pt>
                <c:pt idx="22" formatCode="0">
                  <c:v>216.26867605243953</c:v>
                </c:pt>
                <c:pt idx="23" formatCode="0">
                  <c:v>333.52634711431955</c:v>
                </c:pt>
                <c:pt idx="25" formatCode="0">
                  <c:v>473.15373202417356</c:v>
                </c:pt>
                <c:pt idx="26" formatCode="0">
                  <c:v>496.40124323339251</c:v>
                </c:pt>
                <c:pt idx="27" formatCode="0">
                  <c:v>351.53508193277463</c:v>
                </c:pt>
                <c:pt idx="28" formatCode="0">
                  <c:v>60.734573339180628</c:v>
                </c:pt>
                <c:pt idx="29" formatCode="0">
                  <c:v>318.94215749445613</c:v>
                </c:pt>
                <c:pt idx="30" formatCode="0">
                  <c:v>355.12963426299041</c:v>
                </c:pt>
                <c:pt idx="31" formatCode="0">
                  <c:v>1259.0504333085555</c:v>
                </c:pt>
                <c:pt idx="32" formatCode="0">
                  <c:v>1209.5005327974952</c:v>
                </c:pt>
                <c:pt idx="33" formatCode="0">
                  <c:v>906.43292047447449</c:v>
                </c:pt>
                <c:pt idx="35" formatCode="0">
                  <c:v>211.52592973368863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graphs!$L$2</c:f>
              <c:strCache>
                <c:ptCount val="1"/>
                <c:pt idx="0">
                  <c:v>biomass thou tons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graphs!$S$3:$S$38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graphs!$L$3:$L$38</c:f>
              <c:numCache>
                <c:formatCode>General</c:formatCode>
                <c:ptCount val="36"/>
                <c:pt idx="6" formatCode="0">
                  <c:v>4285.0499622403959</c:v>
                </c:pt>
                <c:pt idx="7" formatCode="0">
                  <c:v>3712.3278029967514</c:v>
                </c:pt>
                <c:pt idx="8" formatCode="0">
                  <c:v>5782.8244983873237</c:v>
                </c:pt>
                <c:pt idx="9" formatCode="0">
                  <c:v>137.82829606831856</c:v>
                </c:pt>
                <c:pt idx="10" formatCode="0">
                  <c:v>138.01892569381539</c:v>
                </c:pt>
                <c:pt idx="14" formatCode="0">
                  <c:v>47.448349730736808</c:v>
                </c:pt>
                <c:pt idx="17" formatCode="0">
                  <c:v>216.30545447319437</c:v>
                </c:pt>
                <c:pt idx="18" formatCode="0">
                  <c:v>124.74977848998033</c:v>
                </c:pt>
                <c:pt idx="19" formatCode="0">
                  <c:v>129.41885726665353</c:v>
                </c:pt>
                <c:pt idx="20" formatCode="0">
                  <c:v>83.865016448557427</c:v>
                </c:pt>
                <c:pt idx="21" formatCode="0">
                  <c:v>108.13910917210923</c:v>
                </c:pt>
                <c:pt idx="22" formatCode="0">
                  <c:v>125.15963663769749</c:v>
                </c:pt>
                <c:pt idx="23" formatCode="0">
                  <c:v>98.073814690821735</c:v>
                </c:pt>
                <c:pt idx="25" formatCode="0">
                  <c:v>300.47718434017946</c:v>
                </c:pt>
                <c:pt idx="26" formatCode="0">
                  <c:v>262.85500204694961</c:v>
                </c:pt>
                <c:pt idx="27" formatCode="0">
                  <c:v>262.16638724987791</c:v>
                </c:pt>
                <c:pt idx="28" formatCode="0">
                  <c:v>23.229830220979022</c:v>
                </c:pt>
                <c:pt idx="29" formatCode="0">
                  <c:v>209.64570212735831</c:v>
                </c:pt>
                <c:pt idx="30" formatCode="0">
                  <c:v>205.76128530349743</c:v>
                </c:pt>
                <c:pt idx="31" formatCode="0">
                  <c:v>762.84330641017709</c:v>
                </c:pt>
                <c:pt idx="32" formatCode="0">
                  <c:v>982.85487536432333</c:v>
                </c:pt>
                <c:pt idx="33" formatCode="0">
                  <c:v>661.25793391027287</c:v>
                </c:pt>
                <c:pt idx="35" formatCode="0">
                  <c:v>157.63159354587341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graphs!$W$2</c:f>
              <c:strCache>
                <c:ptCount val="1"/>
                <c:pt idx="0">
                  <c:v>Trinity Bay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graphs!$S$3:$S$38</c:f>
              <c:numCache>
                <c:formatCode>General</c:formatCode>
                <c:ptCount val="36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</c:numCache>
            </c:numRef>
          </c:cat>
          <c:val>
            <c:numRef>
              <c:f>graphs!$W$3:$W$38</c:f>
              <c:numCache>
                <c:formatCode>General</c:formatCode>
                <c:ptCount val="36"/>
                <c:pt idx="14" formatCode="0.000">
                  <c:v>22.218</c:v>
                </c:pt>
                <c:pt idx="17" formatCode="#,##0">
                  <c:v>19.201292943353252</c:v>
                </c:pt>
                <c:pt idx="18" formatCode="#,##0">
                  <c:v>90.98363956405548</c:v>
                </c:pt>
                <c:pt idx="19" formatCode="#,##0">
                  <c:v>60.251075728752362</c:v>
                </c:pt>
                <c:pt idx="20" formatCode="#,##0">
                  <c:v>10.649275746343903</c:v>
                </c:pt>
                <c:pt idx="21" formatCode="#,##0">
                  <c:v>12.14395855053381</c:v>
                </c:pt>
                <c:pt idx="22" formatCode="#,##0">
                  <c:v>5.6479356206571909</c:v>
                </c:pt>
                <c:pt idx="23" formatCode="#,##0">
                  <c:v>37.014859533853212</c:v>
                </c:pt>
                <c:pt idx="24">
                  <c:v>0</c:v>
                </c:pt>
                <c:pt idx="25" formatCode="#,##0">
                  <c:v>12.05916443236784</c:v>
                </c:pt>
                <c:pt idx="26" formatCode="#,##0">
                  <c:v>53.996646091725694</c:v>
                </c:pt>
                <c:pt idx="27" formatCode="#,##0">
                  <c:v>17.644514203270326</c:v>
                </c:pt>
                <c:pt idx="28" formatCode="#,##0">
                  <c:v>15.995804776526013</c:v>
                </c:pt>
                <c:pt idx="29" formatCode="#,##0">
                  <c:v>47.336934803578323</c:v>
                </c:pt>
                <c:pt idx="30" formatCode="#,##0">
                  <c:v>16.204278148180556</c:v>
                </c:pt>
                <c:pt idx="31" formatCode="#,##0">
                  <c:v>3.3736895099432163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5.0739999999999998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graphs!$X$2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prstDash val="sysDash"/>
            </a:ln>
          </c:spPr>
          <c:marker>
            <c:symbol val="dash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graphs!$X$3:$X$38</c:f>
              <c:numCache>
                <c:formatCode>General</c:formatCode>
                <c:ptCount val="36"/>
                <c:pt idx="17" formatCode="#,##0">
                  <c:v>5.4983032443606064</c:v>
                </c:pt>
                <c:pt idx="18" formatCode="#,##0">
                  <c:v>45.436969951922755</c:v>
                </c:pt>
                <c:pt idx="19" formatCode="#,##0">
                  <c:v>24.800498548144304</c:v>
                </c:pt>
                <c:pt idx="20" formatCode="#,##0">
                  <c:v>8.250964473946615</c:v>
                </c:pt>
                <c:pt idx="21" formatCode="#,##0">
                  <c:v>8.305181523190182</c:v>
                </c:pt>
                <c:pt idx="22" formatCode="#,##0">
                  <c:v>1.4293435937701029</c:v>
                </c:pt>
                <c:pt idx="23" formatCode="#,##0">
                  <c:v>20.081504086409403</c:v>
                </c:pt>
                <c:pt idx="24">
                  <c:v>0</c:v>
                </c:pt>
                <c:pt idx="25" formatCode="#,##0">
                  <c:v>9.0202787333345498</c:v>
                </c:pt>
                <c:pt idx="26" formatCode="#,##0">
                  <c:v>37.661812925542485</c:v>
                </c:pt>
                <c:pt idx="27" formatCode="#,##0">
                  <c:v>15.34308596017339</c:v>
                </c:pt>
                <c:pt idx="28" formatCode="#,##0">
                  <c:v>11.007508479147061</c:v>
                </c:pt>
                <c:pt idx="29" formatCode="#,##0">
                  <c:v>33.204391095440151</c:v>
                </c:pt>
                <c:pt idx="30" formatCode="#,##0">
                  <c:v>12.257639643111858</c:v>
                </c:pt>
                <c:pt idx="31" formatCode="#,##0">
                  <c:v>2.3475453778117807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3.50175306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graphs!$Y$2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ash"/>
            <c:size val="7"/>
            <c:spPr>
              <a:ln>
                <a:solidFill>
                  <a:schemeClr val="accent1"/>
                </a:solidFill>
              </a:ln>
            </c:spPr>
          </c:marker>
          <c:val>
            <c:numRef>
              <c:f>graphs!$Y$3:$Y$38</c:f>
              <c:numCache>
                <c:formatCode>General</c:formatCode>
                <c:ptCount val="36"/>
                <c:pt idx="17" formatCode="#,##0">
                  <c:v>45.993936249473222</c:v>
                </c:pt>
                <c:pt idx="18" formatCode="#,##0">
                  <c:v>151.83319723898578</c:v>
                </c:pt>
                <c:pt idx="19" formatCode="#,##0">
                  <c:v>256.53337894232556</c:v>
                </c:pt>
                <c:pt idx="20" formatCode="#,##0">
                  <c:v>15.595750496945671</c:v>
                </c:pt>
                <c:pt idx="21" formatCode="#,##0">
                  <c:v>28.174595096006222</c:v>
                </c:pt>
                <c:pt idx="22" formatCode="#,##0">
                  <c:v>71.585191078510377</c:v>
                </c:pt>
                <c:pt idx="23" formatCode="#,##0">
                  <c:v>66.504209583737463</c:v>
                </c:pt>
                <c:pt idx="24">
                  <c:v>0</c:v>
                </c:pt>
                <c:pt idx="25" formatCode="#,##0">
                  <c:v>220.95436232722258</c:v>
                </c:pt>
                <c:pt idx="26" formatCode="#,##0">
                  <c:v>95.481368417495048</c:v>
                </c:pt>
                <c:pt idx="27" formatCode="#,##0">
                  <c:v>21.766550395174828</c:v>
                </c:pt>
                <c:pt idx="28" formatCode="#,##0">
                  <c:v>506.61601448472635</c:v>
                </c:pt>
                <c:pt idx="29" formatCode="#,##0">
                  <c:v>71.062596722784562</c:v>
                </c:pt>
                <c:pt idx="30" formatCode="#,##0">
                  <c:v>28.535023671424632</c:v>
                </c:pt>
                <c:pt idx="31" formatCode="#,##0">
                  <c:v>15.159420159743792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#,##0">
                  <c:v>9.3375776669999997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5952"/>
        <c:axId val="94376320"/>
      </c:lineChart>
      <c:catAx>
        <c:axId val="943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-5400000" vert="horz"/>
          <a:lstStyle/>
          <a:p>
            <a:pPr>
              <a:defRPr sz="21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76320"/>
        <c:crossesAt val="0.1"/>
        <c:auto val="1"/>
        <c:lblAlgn val="ctr"/>
        <c:lblOffset val="100"/>
        <c:tickLblSkip val="2"/>
        <c:tickMarkSkip val="1"/>
        <c:noMultiLvlLbl val="0"/>
      </c:catAx>
      <c:valAx>
        <c:axId val="9437632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Biomass Index (kilotonnes)</a:t>
                </a:r>
              </a:p>
            </c:rich>
          </c:tx>
          <c:layout>
            <c:manualLayout>
              <c:xMode val="edge"/>
              <c:yMode val="edge"/>
              <c:x val="1.3013325257419741E-2"/>
              <c:y val="0.205539893177688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21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114300</xdr:colOff>
      <xdr:row>39</xdr:row>
      <xdr:rowOff>0</xdr:rowOff>
    </xdr:from>
    <xdr:to>
      <xdr:col>40</xdr:col>
      <xdr:colOff>590550</xdr:colOff>
      <xdr:row>78</xdr:row>
      <xdr:rowOff>12700</xdr:rowOff>
    </xdr:to>
    <xdr:graphicFrame macro="">
      <xdr:nvGraphicFramePr>
        <xdr:cNvPr id="1371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40</xdr:row>
      <xdr:rowOff>133350</xdr:rowOff>
    </xdr:from>
    <xdr:to>
      <xdr:col>10</xdr:col>
      <xdr:colOff>609600</xdr:colOff>
      <xdr:row>68</xdr:row>
      <xdr:rowOff>114300</xdr:rowOff>
    </xdr:to>
    <xdr:graphicFrame macro="">
      <xdr:nvGraphicFramePr>
        <xdr:cNvPr id="13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40</xdr:row>
      <xdr:rowOff>133350</xdr:rowOff>
    </xdr:from>
    <xdr:to>
      <xdr:col>22</xdr:col>
      <xdr:colOff>666750</xdr:colOff>
      <xdr:row>73</xdr:row>
      <xdr:rowOff>104775</xdr:rowOff>
    </xdr:to>
    <xdr:graphicFrame macro="">
      <xdr:nvGraphicFramePr>
        <xdr:cNvPr id="13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79</xdr:row>
      <xdr:rowOff>38100</xdr:rowOff>
    </xdr:from>
    <xdr:to>
      <xdr:col>22</xdr:col>
      <xdr:colOff>0</xdr:colOff>
      <xdr:row>112</xdr:row>
      <xdr:rowOff>38100</xdr:rowOff>
    </xdr:to>
    <xdr:graphicFrame macro="">
      <xdr:nvGraphicFramePr>
        <xdr:cNvPr id="13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571500</xdr:colOff>
      <xdr:row>43</xdr:row>
      <xdr:rowOff>123825</xdr:rowOff>
    </xdr:from>
    <xdr:to>
      <xdr:col>13</xdr:col>
      <xdr:colOff>1162050</xdr:colOff>
      <xdr:row>63</xdr:row>
      <xdr:rowOff>0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13087350" y="6334125"/>
          <a:ext cx="590550" cy="356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n-CA" sz="1800" b="1" i="0" u="none" strike="noStrike" baseline="0">
              <a:solidFill>
                <a:srgbClr val="FFFF99"/>
              </a:solidFill>
              <a:latin typeface="MS Sans Serif"/>
            </a:rPr>
            <a:t>Surveyed Biomass (tons * 10</a:t>
          </a:r>
          <a:r>
            <a:rPr lang="en-CA" sz="1800" b="1" i="0" u="none" strike="noStrike" baseline="30000">
              <a:solidFill>
                <a:srgbClr val="FFFF99"/>
              </a:solidFill>
              <a:latin typeface="MS Sans Serif"/>
            </a:rPr>
            <a:t>3)</a:t>
          </a:r>
        </a:p>
      </xdr:txBody>
    </xdr:sp>
    <xdr:clientData/>
  </xdr:twoCellAnchor>
  <xdr:twoCellAnchor>
    <xdr:from>
      <xdr:col>29</xdr:col>
      <xdr:colOff>508000</xdr:colOff>
      <xdr:row>54</xdr:row>
      <xdr:rowOff>44450</xdr:rowOff>
    </xdr:from>
    <xdr:to>
      <xdr:col>32</xdr:col>
      <xdr:colOff>165100</xdr:colOff>
      <xdr:row>56</xdr:row>
      <xdr:rowOff>114300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23698200" y="9239250"/>
          <a:ext cx="1485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333399" mc:Ignorable="a14" a14:legacySpreadsheetColorIndex="62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en-CA" sz="2400" b="0" i="0" u="none" strike="noStrike" baseline="0">
              <a:solidFill>
                <a:srgbClr val="FF0000"/>
              </a:solidFill>
              <a:latin typeface="MS Sans Serif"/>
            </a:rPr>
            <a:t>Offshore</a:t>
          </a:r>
        </a:p>
      </xdr:txBody>
    </xdr:sp>
    <xdr:clientData/>
  </xdr:twoCellAnchor>
  <xdr:twoCellAnchor>
    <xdr:from>
      <xdr:col>30</xdr:col>
      <xdr:colOff>581025</xdr:colOff>
      <xdr:row>60</xdr:row>
      <xdr:rowOff>76200</xdr:rowOff>
    </xdr:from>
    <xdr:to>
      <xdr:col>33</xdr:col>
      <xdr:colOff>257175</xdr:colOff>
      <xdr:row>61</xdr:row>
      <xdr:rowOff>301625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24380825" y="10261600"/>
          <a:ext cx="1504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333399" mc:Ignorable="a14" a14:legacySpreadsheetColorIndex="62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en-CA" sz="2400" b="0" i="0" u="none" strike="noStrike" baseline="0">
              <a:solidFill>
                <a:srgbClr val="00B050"/>
              </a:solidFill>
              <a:latin typeface="MS Sans Serif"/>
            </a:rPr>
            <a:t>Trinty Bay</a:t>
          </a:r>
        </a:p>
      </xdr:txBody>
    </xdr:sp>
    <xdr:clientData/>
  </xdr:twoCellAnchor>
  <xdr:twoCellAnchor>
    <xdr:from>
      <xdr:col>31</xdr:col>
      <xdr:colOff>38100</xdr:colOff>
      <xdr:row>0</xdr:row>
      <xdr:rowOff>57150</xdr:rowOff>
    </xdr:from>
    <xdr:to>
      <xdr:col>43</xdr:col>
      <xdr:colOff>476250</xdr:colOff>
      <xdr:row>32</xdr:row>
      <xdr:rowOff>57150</xdr:rowOff>
    </xdr:to>
    <xdr:graphicFrame macro="">
      <xdr:nvGraphicFramePr>
        <xdr:cNvPr id="1378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70</xdr:row>
      <xdr:rowOff>25400</xdr:rowOff>
    </xdr:from>
    <xdr:to>
      <xdr:col>11</xdr:col>
      <xdr:colOff>381000</xdr:colOff>
      <xdr:row>100</xdr:row>
      <xdr:rowOff>101600</xdr:rowOff>
    </xdr:to>
    <xdr:graphicFrame macro="">
      <xdr:nvGraphicFramePr>
        <xdr:cNvPr id="1379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57</xdr:col>
      <xdr:colOff>438150</xdr:colOff>
      <xdr:row>31</xdr:row>
      <xdr:rowOff>19050</xdr:rowOff>
    </xdr:to>
    <xdr:graphicFrame macro="">
      <xdr:nvGraphicFramePr>
        <xdr:cNvPr id="1380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895350</xdr:colOff>
      <xdr:row>111</xdr:row>
      <xdr:rowOff>133350</xdr:rowOff>
    </xdr:from>
    <xdr:to>
      <xdr:col>21</xdr:col>
      <xdr:colOff>1200150</xdr:colOff>
      <xdr:row>144</xdr:row>
      <xdr:rowOff>133350</xdr:rowOff>
    </xdr:to>
    <xdr:graphicFrame macro="">
      <xdr:nvGraphicFramePr>
        <xdr:cNvPr id="138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342900</xdr:colOff>
      <xdr:row>61</xdr:row>
      <xdr:rowOff>254000</xdr:rowOff>
    </xdr:from>
    <xdr:to>
      <xdr:col>34</xdr:col>
      <xdr:colOff>127000</xdr:colOff>
      <xdr:row>63</xdr:row>
      <xdr:rowOff>12700</xdr:rowOff>
    </xdr:to>
    <xdr:cxnSp macro="">
      <xdr:nvCxnSpPr>
        <xdr:cNvPr id="1382" name="Straight Arrow Connector 2"/>
        <xdr:cNvCxnSpPr>
          <a:cxnSpLocks noChangeShapeType="1"/>
        </xdr:cNvCxnSpPr>
      </xdr:nvCxnSpPr>
      <xdr:spPr bwMode="auto">
        <a:xfrm>
          <a:off x="25971500" y="10604500"/>
          <a:ext cx="393700" cy="317500"/>
        </a:xfrm>
        <a:prstGeom prst="straightConnector1">
          <a:avLst/>
        </a:prstGeom>
        <a:noFill/>
        <a:ln w="9525" algn="ctr">
          <a:solidFill>
            <a:srgbClr val="00B050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152400</xdr:colOff>
      <xdr:row>57</xdr:row>
      <xdr:rowOff>12700</xdr:rowOff>
    </xdr:from>
    <xdr:to>
      <xdr:col>32</xdr:col>
      <xdr:colOff>476250</xdr:colOff>
      <xdr:row>58</xdr:row>
      <xdr:rowOff>107950</xdr:rowOff>
    </xdr:to>
    <xdr:cxnSp macro="">
      <xdr:nvCxnSpPr>
        <xdr:cNvPr id="1383" name="Straight Arrow Connector 4"/>
        <xdr:cNvCxnSpPr>
          <a:cxnSpLocks noChangeShapeType="1"/>
        </xdr:cNvCxnSpPr>
      </xdr:nvCxnSpPr>
      <xdr:spPr bwMode="auto">
        <a:xfrm>
          <a:off x="25171400" y="9702800"/>
          <a:ext cx="323850" cy="260350"/>
        </a:xfrm>
        <a:prstGeom prst="straightConnector1">
          <a:avLst/>
        </a:prstGeom>
        <a:noFill/>
        <a:ln w="9525" algn="ctr">
          <a:solidFill>
            <a:srgbClr val="FF0000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0</xdr:colOff>
      <xdr:row>103</xdr:row>
      <xdr:rowOff>0</xdr:rowOff>
    </xdr:from>
    <xdr:to>
      <xdr:col>7</xdr:col>
      <xdr:colOff>1092200</xdr:colOff>
      <xdr:row>136</xdr:row>
      <xdr:rowOff>0</xdr:rowOff>
    </xdr:to>
    <xdr:graphicFrame macro="">
      <xdr:nvGraphicFramePr>
        <xdr:cNvPr id="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0.53213</cdr:x>
      <cdr:y>0.05862</cdr:y>
    </cdr:from>
    <cdr:to>
      <cdr:x>0.75215</cdr:x>
      <cdr:y>0.35635</cdr:y>
    </cdr:to>
    <cdr:sp macro="" textlink="">
      <cdr:nvSpPr>
        <cdr:cNvPr id="870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9616" y="331335"/>
          <a:ext cx="1837658" cy="1438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0.61249</cdr:x>
      <cdr:y>0.46632</cdr:y>
    </cdr:from>
    <cdr:to>
      <cdr:x>0.96767</cdr:x>
      <cdr:y>0.86091</cdr:y>
    </cdr:to>
    <cdr:sp macro="" textlink="">
      <cdr:nvSpPr>
        <cdr:cNvPr id="37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0655" y="2540669"/>
          <a:ext cx="3369557" cy="21498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2450" b="1" i="0" u="none" strike="noStrike" baseline="0">
              <a:solidFill>
                <a:srgbClr val="FF0000"/>
              </a:solidFill>
              <a:latin typeface="Arial"/>
              <a:cs typeface="Arial"/>
            </a:rPr>
            <a:t>Offshore - all ages</a:t>
          </a:r>
        </a:p>
        <a:p xmlns:a="http://schemas.openxmlformats.org/drawingml/2006/main">
          <a:pPr algn="l" rtl="0">
            <a:defRPr sz="1000"/>
          </a:pPr>
          <a:r>
            <a:rPr lang="en-CA" sz="2450" b="1" i="0" u="none" strike="noStrike" baseline="0">
              <a:solidFill>
                <a:srgbClr val="FF0000"/>
              </a:solidFill>
              <a:latin typeface="Arial"/>
              <a:cs typeface="Arial"/>
            </a:rPr>
            <a:t>and maturites</a:t>
          </a:r>
        </a:p>
        <a:p xmlns:a="http://schemas.openxmlformats.org/drawingml/2006/main">
          <a:pPr algn="l" rtl="0">
            <a:defRPr sz="1000"/>
          </a:pPr>
          <a:r>
            <a:rPr lang="en-CA" sz="2450" b="1" i="0" u="none" strike="noStrike" baseline="0">
              <a:solidFill>
                <a:srgbClr val="FF0000"/>
              </a:solidFill>
              <a:latin typeface="Arial"/>
              <a:cs typeface="Arial"/>
            </a:rPr>
            <a:t>   </a:t>
          </a:r>
          <a:r>
            <a:rPr lang="en-CA" sz="1700" b="1" i="0" u="none" strike="noStrike" baseline="0">
              <a:solidFill>
                <a:srgbClr val="C0C0C0"/>
              </a:solidFill>
              <a:latin typeface="Arial"/>
              <a:cs typeface="Arial"/>
            </a:rPr>
            <a:t>(confidence limits</a:t>
          </a:r>
        </a:p>
        <a:p xmlns:a="http://schemas.openxmlformats.org/drawingml/2006/main">
          <a:pPr algn="l" rtl="0">
            <a:defRPr sz="1000"/>
          </a:pPr>
          <a:r>
            <a:rPr lang="en-CA" sz="1700" b="1" i="0" u="none" strike="noStrike" baseline="0">
              <a:solidFill>
                <a:srgbClr val="C0C0C0"/>
              </a:solidFill>
              <a:latin typeface="Arial"/>
              <a:cs typeface="Arial"/>
            </a:rPr>
            <a:t>      from simulations)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0.58438</cdr:x>
      <cdr:y>0.24954</cdr:y>
    </cdr:from>
    <cdr:to>
      <cdr:x>0.93956</cdr:x>
      <cdr:y>0.64413</cdr:y>
    </cdr:to>
    <cdr:sp macro="" textlink="">
      <cdr:nvSpPr>
        <cdr:cNvPr id="37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37803" y="1218032"/>
          <a:ext cx="2896138" cy="18573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2450" b="1" i="0" u="none" strike="noStrike" baseline="0">
              <a:solidFill>
                <a:srgbClr val="FF0000"/>
              </a:solidFill>
              <a:latin typeface="Arial"/>
              <a:cs typeface="Arial"/>
            </a:rPr>
            <a:t>Offshore - all ages</a:t>
          </a:r>
        </a:p>
        <a:p xmlns:a="http://schemas.openxmlformats.org/drawingml/2006/main">
          <a:pPr algn="l" rtl="0">
            <a:defRPr sz="1000"/>
          </a:pPr>
          <a:r>
            <a:rPr lang="en-CA" sz="2450" b="1" i="0" u="none" strike="noStrike" baseline="0">
              <a:solidFill>
                <a:srgbClr val="FF0000"/>
              </a:solidFill>
              <a:latin typeface="Arial"/>
              <a:cs typeface="Arial"/>
            </a:rPr>
            <a:t>and maturites</a:t>
          </a:r>
        </a:p>
        <a:p xmlns:a="http://schemas.openxmlformats.org/drawingml/2006/main">
          <a:pPr algn="l" rtl="0">
            <a:defRPr sz="1000"/>
          </a:pPr>
          <a:r>
            <a:rPr lang="en-CA" sz="2450" b="1" i="0" u="none" strike="noStrike" baseline="0">
              <a:solidFill>
                <a:srgbClr val="FF0000"/>
              </a:solidFill>
              <a:latin typeface="Arial"/>
              <a:cs typeface="Arial"/>
            </a:rPr>
            <a:t>   </a:t>
          </a:r>
          <a:r>
            <a:rPr lang="en-CA" sz="1700" b="1" i="0" u="none" strike="noStrike" baseline="0">
              <a:solidFill>
                <a:srgbClr val="C0C0C0"/>
              </a:solidFill>
              <a:latin typeface="Arial"/>
              <a:cs typeface="Arial"/>
            </a:rPr>
            <a:t>(confidence limits</a:t>
          </a:r>
        </a:p>
        <a:p xmlns:a="http://schemas.openxmlformats.org/drawingml/2006/main">
          <a:pPr algn="l" rtl="0">
            <a:defRPr sz="1000"/>
          </a:pPr>
          <a:r>
            <a:rPr lang="en-CA" sz="1700" b="1" i="0" u="none" strike="noStrike" baseline="0">
              <a:solidFill>
                <a:srgbClr val="C0C0C0"/>
              </a:solidFill>
              <a:latin typeface="Arial"/>
              <a:cs typeface="Arial"/>
            </a:rPr>
            <a:t>      from simulations)</a:t>
          </a:r>
        </a:p>
      </cdr:txBody>
    </cdr:sp>
  </cdr:relSizeAnchor>
  <cdr:relSizeAnchor xmlns:cdr="http://schemas.openxmlformats.org/drawingml/2006/chartDrawing">
    <cdr:from>
      <cdr:x>0.24947</cdr:x>
      <cdr:y>0.15686</cdr:y>
    </cdr:from>
    <cdr:to>
      <cdr:x>0.40698</cdr:x>
      <cdr:y>0.29768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7900" y="838200"/>
          <a:ext cx="141922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2000">
              <a:solidFill>
                <a:srgbClr val="FFFF00"/>
              </a:solidFill>
            </a:rPr>
            <a:t>Miller 1997 </a:t>
          </a:r>
        </a:p>
      </cdr:txBody>
    </cdr:sp>
  </cdr:relSizeAnchor>
  <cdr:relSizeAnchor xmlns:cdr="http://schemas.openxmlformats.org/drawingml/2006/chartDrawing">
    <cdr:from>
      <cdr:x>0.31607</cdr:x>
      <cdr:y>0.22995</cdr:y>
    </cdr:from>
    <cdr:to>
      <cdr:x>0.32241</cdr:x>
      <cdr:y>0.50446</cdr:y>
    </cdr:to>
    <cdr:cxnSp macro="">
      <cdr:nvCxnSpPr>
        <cdr:cNvPr id="4" name="Straight Arrow Connector 3"/>
        <cdr:cNvCxnSpPr/>
      </cdr:nvCxnSpPr>
      <cdr:spPr bwMode="auto">
        <a:xfrm xmlns:a="http://schemas.openxmlformats.org/drawingml/2006/main">
          <a:off x="2847975" y="1228725"/>
          <a:ext cx="57150" cy="146685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28575</xdr:rowOff>
    </xdr:from>
    <xdr:to>
      <xdr:col>10</xdr:col>
      <xdr:colOff>276225</xdr:colOff>
      <xdr:row>25</xdr:row>
      <xdr:rowOff>123825</xdr:rowOff>
    </xdr:to>
    <xdr:graphicFrame macro="">
      <xdr:nvGraphicFramePr>
        <xdr:cNvPr id="1454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3</xdr:row>
      <xdr:rowOff>114300</xdr:rowOff>
    </xdr:from>
    <xdr:to>
      <xdr:col>26</xdr:col>
      <xdr:colOff>466725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spiron%20Backups\15%20May%202009\Coping\boot-strapped%20mean%20density%20percentiles%20(1988-200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Sheet1"/>
      <sheetName val="STRATBOOTMEAN"/>
    </sheetNames>
    <sheetDataSet>
      <sheetData sheetId="0" refreshError="1"/>
      <sheetData sheetId="1" refreshError="1">
        <row r="1">
          <cell r="A1">
            <v>1</v>
          </cell>
          <cell r="B1" t="str">
            <v>A</v>
          </cell>
        </row>
        <row r="2">
          <cell r="A2">
            <v>2</v>
          </cell>
          <cell r="B2" t="str">
            <v>B</v>
          </cell>
        </row>
        <row r="3">
          <cell r="A3">
            <v>3</v>
          </cell>
          <cell r="B3" t="str">
            <v>C</v>
          </cell>
        </row>
        <row r="4">
          <cell r="A4">
            <v>4</v>
          </cell>
          <cell r="B4" t="str">
            <v>D</v>
          </cell>
        </row>
        <row r="5">
          <cell r="A5">
            <v>5</v>
          </cell>
          <cell r="B5" t="str">
            <v>E</v>
          </cell>
        </row>
        <row r="6">
          <cell r="A6">
            <v>6</v>
          </cell>
          <cell r="B6" t="str">
            <v>F</v>
          </cell>
        </row>
        <row r="7">
          <cell r="A7">
            <v>7</v>
          </cell>
          <cell r="B7" t="str">
            <v>G</v>
          </cell>
        </row>
        <row r="8">
          <cell r="A8">
            <v>8</v>
          </cell>
          <cell r="B8" t="str">
            <v>H</v>
          </cell>
        </row>
        <row r="9">
          <cell r="A9">
            <v>9</v>
          </cell>
          <cell r="B9" t="str">
            <v>I</v>
          </cell>
        </row>
        <row r="10">
          <cell r="A10">
            <v>10</v>
          </cell>
          <cell r="B10" t="str">
            <v>J</v>
          </cell>
        </row>
        <row r="11">
          <cell r="A11">
            <v>11</v>
          </cell>
          <cell r="B11" t="str">
            <v>K</v>
          </cell>
        </row>
        <row r="12">
          <cell r="A12">
            <v>12</v>
          </cell>
          <cell r="B12" t="str">
            <v>L</v>
          </cell>
        </row>
        <row r="13">
          <cell r="A13">
            <v>13</v>
          </cell>
          <cell r="B13" t="str">
            <v>M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  <cell r="B20" t="str">
            <v>T</v>
          </cell>
        </row>
        <row r="21">
          <cell r="A21">
            <v>21</v>
          </cell>
          <cell r="B21" t="str">
            <v>SA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wbrayF" refreshedDate="39753.495055555555" createdVersion="1" refreshedVersion="1" recordCount="143" upgradeOnRefresh="1">
  <cacheSource type="worksheet">
    <worksheetSource ref="H14:M14" sheet="STRATBOOTMEAN"/>
  </cacheSource>
  <cacheFields count="6">
    <cacheField name="YEAR" numFmtId="0">
      <sharedItems containsString="0" containsBlank="1" containsNumber="1" containsInteger="1" minValue="1982" maxValue="2008" count="26">
        <n v="1988"/>
        <n v="1989"/>
        <n v="1990"/>
        <n v="1991"/>
        <n v="1992"/>
        <n v="1996"/>
        <n v="1999"/>
        <n v="2000"/>
        <n v="2001"/>
        <n v="2002"/>
        <m/>
        <n v="2003"/>
        <n v="2004"/>
        <n v="2005"/>
        <n v="2007"/>
        <n v="2008"/>
        <n v="1982"/>
        <n v="1983"/>
        <n v="1984"/>
        <n v="1985"/>
        <n v="1986"/>
        <n v="1987"/>
        <n v="1993"/>
        <n v="1994"/>
        <n v="1995"/>
        <n v="1997"/>
      </sharedItems>
    </cacheField>
    <cacheField name="Month" numFmtId="0">
      <sharedItems containsBlank="1" count="2">
        <s v="May"/>
        <m/>
      </sharedItems>
    </cacheField>
    <cacheField name="stratum" numFmtId="0">
      <sharedItems containsString="0" containsBlank="1" containsNumber="1" containsInteger="1" minValue="1" maxValue="13" count="14"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STRATUM$" numFmtId="0">
      <sharedItems count="13">
        <s v="A"/>
        <s v="B"/>
        <s v="C"/>
        <s v="D"/>
        <s v="E"/>
        <s v="F"/>
        <s v="G"/>
        <s v="H"/>
        <s v="I"/>
        <s v="J"/>
        <s v="K"/>
        <s v="L"/>
        <s v="M"/>
      </sharedItems>
    </cacheField>
    <cacheField name="_FREQ_" numFmtId="0">
      <sharedItems containsMixedTypes="1" containsNumber="1" containsInteger="1" minValue="0" maxValue="1001" count="4">
        <n v="1001"/>
        <n v="1000"/>
        <s v="not covered"/>
        <n v="0"/>
      </sharedItems>
    </cacheField>
    <cacheField name="mean" numFmtId="0">
      <sharedItems containsString="0" containsBlank="1" containsNumber="1" minValue="0" maxValue="10.522562140002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wbrayF" refreshedDate="41213.55190810185" createdVersion="1" refreshedVersion="1" recordCount="194" upgradeOnRefresh="1">
  <cacheSource type="worksheet">
    <worksheetSource ref="E17:N17" sheet="STRATBOOTMEAN"/>
  </cacheSource>
  <cacheFields count="18">
    <cacheField name="YEAR" numFmtId="0">
      <sharedItems containsString="0" containsBlank="1" containsNumber="1" containsInteger="1" minValue="0" maxValue="2012" count="33">
        <n v="1988"/>
        <n v="1989"/>
        <n v="1990"/>
        <n v="1991"/>
        <n v="1992"/>
        <n v="1996"/>
        <n v="1999"/>
        <n v="2000"/>
        <n v="2001"/>
        <n v="2002"/>
        <m/>
        <n v="2003"/>
        <n v="2004"/>
        <n v="2005"/>
        <n v="2007"/>
        <n v="2008"/>
        <n v="2009"/>
        <n v="2010"/>
        <n v="2011"/>
        <n v="2012"/>
        <n v="1982"/>
        <n v="1983"/>
        <n v="1984"/>
        <n v="1985"/>
        <n v="1986"/>
        <n v="1987"/>
        <n v="1993"/>
        <n v="1994"/>
        <n v="1995"/>
        <n v="1997"/>
        <n v="1998"/>
        <n v="2006"/>
        <n v="0" u="1"/>
      </sharedItems>
    </cacheField>
    <cacheField name="Month" numFmtId="0">
      <sharedItems containsBlank="1" count="2">
        <s v="May"/>
        <m/>
      </sharedItems>
    </cacheField>
    <cacheField name="stratum" numFmtId="0">
      <sharedItems containsString="0" containsBlank="1" containsNumber="1" containsInteger="1" minValue="1" maxValue="13" count="14"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STRATUM$" numFmtId="0">
      <sharedItems containsBlank="1" count="14">
        <s v="A"/>
        <s v="B"/>
        <s v="C"/>
        <s v="D"/>
        <s v="E"/>
        <s v="F"/>
        <s v="G"/>
        <s v="H"/>
        <s v="I"/>
        <s v="J"/>
        <s v="K"/>
        <s v="L"/>
        <s v="M"/>
        <m/>
      </sharedItems>
    </cacheField>
    <cacheField name="_FREQ_" numFmtId="0">
      <sharedItems containsBlank="1" containsMixedTypes="1" containsNumber="1" containsInteger="1" minValue="0" maxValue="1001" count="5">
        <n v="1001"/>
        <n v="1000"/>
        <s v="not covered"/>
        <m/>
        <n v="0"/>
      </sharedItems>
    </cacheField>
    <cacheField name="mean" numFmtId="0">
      <sharedItems containsString="0" containsBlank="1" containsNumber="1" minValue="2.5934626500886593E-5" maxValue="10.522562140002746"/>
    </cacheField>
    <cacheField name="median" numFmtId="0">
      <sharedItems containsString="0" containsBlank="1" containsNumber="1" minValue="0" maxValue="10.474603438377514"/>
    </cacheField>
    <cacheField name="std" numFmtId="0">
      <sharedItems containsString="0" containsBlank="1" containsNumber="1" minValue="0" maxValue="2.4303201765473967"/>
    </cacheField>
    <cacheField name="p5" numFmtId="0">
      <sharedItems containsString="0" containsBlank="1" containsNumber="1" minValue="0" maxValue="8.7745375428233352"/>
    </cacheField>
    <cacheField name="p95" numFmtId="0">
      <sharedItems containsString="0" containsBlank="1" containsNumber="1" minValue="0" maxValue="12.520905091599918"/>
    </cacheField>
    <cacheField name="km2 (thousands)" numFmtId="0">
      <sharedItems containsString="0" containsBlank="1" containsNumber="1" minValue="790.19999999999993" maxValue="88680"/>
    </cacheField>
    <cacheField name="NUMBERS (millions)" numFmtId="0">
      <sharedItems containsBlank="1" containsMixedTypes="1" containsNumber="1" minValue="0" maxValue="206203.04328789975"/>
    </cacheField>
    <cacheField name="lower" numFmtId="0">
      <sharedItems containsString="0" containsBlank="1" containsNumber="1" minValue="0" maxValue="172735.54606802016"/>
    </cacheField>
    <cacheField name="upper" numFmtId="0">
      <sharedItems containsString="0" containsBlank="1" containsNumber="1" minValue="0" maxValue="246486.53763323597"/>
    </cacheField>
    <cacheField name="Mean wt" numFmtId="0">
      <sharedItems containsString="0" containsBlank="1" containsNumber="1" minValue="0.3" maxValue="23"/>
    </cacheField>
    <cacheField name="Biomass (tons)" numFmtId="0">
      <sharedItems containsString="0" containsBlank="1" containsNumber="1" minValue="0" maxValue="1787317.5312350995"/>
    </cacheField>
    <cacheField name="Biomass lwr" numFmtId="0">
      <sharedItems containsString="0" containsBlank="1" containsNumber="1" minValue="0" maxValue="1540482.6995102568"/>
    </cacheField>
    <cacheField name="Biomass upper" numFmtId="0">
      <sharedItems containsString="0" containsBlank="1" containsNumber="1" minValue="0" maxValue="2119784.2236458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FO-MPO" refreshedDate="42029.624500115744" createdVersion="4" refreshedVersion="4" minRefreshableVersion="3" recordCount="153">
  <cacheSource type="worksheet">
    <worksheetSource ref="A1:R152" sheet="Strat boot mean - Core only"/>
  </cacheSource>
  <cacheFields count="18">
    <cacheField name="Row" numFmtId="0">
      <sharedItems containsSemiMixedTypes="0" containsString="0" containsNumber="1" containsInteger="1" minValue="38" maxValue="204"/>
    </cacheField>
    <cacheField name="TRIP" numFmtId="0">
      <sharedItems/>
    </cacheField>
    <cacheField name="YEAR" numFmtId="0">
      <sharedItems containsSemiMixedTypes="0" containsString="0" containsNumber="1" containsInteger="1" minValue="1982" maxValue="2014" count="26">
        <n v="2000"/>
        <n v="2001"/>
        <n v="2002"/>
        <n v="2003"/>
        <n v="2004"/>
        <n v="2005"/>
        <n v="2007"/>
        <n v="2008"/>
        <n v="2009"/>
        <n v="2010"/>
        <n v="1982"/>
        <n v="1983"/>
        <n v="1984"/>
        <n v="1985"/>
        <n v="1986"/>
        <n v="1987"/>
        <n v="1993"/>
        <n v="1994"/>
        <n v="1995"/>
        <n v="1997"/>
        <n v="1998"/>
        <n v="2006"/>
        <n v="2011"/>
        <n v="2012"/>
        <n v="2013"/>
        <n v="2014"/>
      </sharedItems>
    </cacheField>
    <cacheField name="Month" numFmtId="0">
      <sharedItems/>
    </cacheField>
    <cacheField name="stratum" numFmtId="0">
      <sharedItems containsSemiMixedTypes="0" containsString="0" containsNumber="1" containsInteger="1" minValue="1" maxValue="13"/>
    </cacheField>
    <cacheField name="STRATUM$" numFmtId="0">
      <sharedItems count="12">
        <s v="A"/>
        <s v="B"/>
        <s v="C"/>
        <s v="E"/>
        <s v="F"/>
        <s v="G"/>
        <s v="H"/>
        <s v="I"/>
        <s v="J"/>
        <s v="M"/>
        <s v="K"/>
        <s v="L"/>
      </sharedItems>
    </cacheField>
    <cacheField name="_FREQ_" numFmtId="0">
      <sharedItems containsMixedTypes="1" containsNumber="1" containsInteger="1" minValue="0" maxValue="1000"/>
    </cacheField>
    <cacheField name="mean" numFmtId="0">
      <sharedItems containsString="0" containsBlank="1" containsNumber="1" minValue="0" maxValue="2.9540531348286798"/>
    </cacheField>
    <cacheField name="median" numFmtId="0">
      <sharedItems containsString="0" containsBlank="1" containsNumber="1" minValue="0" maxValue="2.9442674070996997"/>
    </cacheField>
    <cacheField name="std" numFmtId="0">
      <sharedItems containsString="0" containsBlank="1" containsNumber="1" minValue="0" maxValue="0.54291243523611976"/>
    </cacheField>
    <cacheField name="p5" numFmtId="0">
      <sharedItems containsString="0" containsBlank="1" containsNumber="1" minValue="0" maxValue="2.6108695878307504"/>
    </cacheField>
    <cacheField name="p95" numFmtId="0">
      <sharedItems containsString="0" containsBlank="1" containsNumber="1" minValue="0" maxValue="3.3364479075638451"/>
    </cacheField>
    <cacheField name="km2 (thousands)" numFmtId="0">
      <sharedItems containsString="0" containsBlank="1" containsNumber="1" minValue="1865.0439227923566" maxValue="30959.729118353116"/>
    </cacheField>
    <cacheField name="NUMBERS (millions)" numFmtId="166">
      <sharedItems containsBlank="1" containsMixedTypes="1" containsNumber="1" minValue="0" maxValue="36577.707138348604"/>
    </cacheField>
    <cacheField name="lower" numFmtId="2">
      <sharedItems containsString="0" containsBlank="1" containsNumber="1" minValue="0" maxValue="29627.235905776961"/>
    </cacheField>
    <cacheField name="upper" numFmtId="2">
      <sharedItems containsString="0" containsBlank="1" containsNumber="1" minValue="0" maxValue="50694.142765002689"/>
    </cacheField>
    <cacheField name="Mean wt" numFmtId="0">
      <sharedItems containsString="0" containsBlank="1" containsNumber="1" minValue="0" maxValue="21.1"/>
    </cacheField>
    <cacheField name="Biomass (tons)" numFmtId="3">
      <sharedItems containsString="0" containsBlank="1" containsNumber="1" minValue="0" maxValue="274332.80353761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FO-MPO" refreshedDate="42877.936417592595" createdVersion="4" refreshedVersion="4" minRefreshableVersion="3" recordCount="242">
  <cacheSource type="worksheet">
    <worksheetSource ref="A2:E244" sheet="Sumary for Barry"/>
  </cacheSource>
  <cacheFields count="5">
    <cacheField name="YEAR" numFmtId="0">
      <sharedItems containsString="0" containsBlank="1" containsNumber="1" containsInteger="1" minValue="1982" maxValue="2017" count="37">
        <n v="1988"/>
        <n v="1989"/>
        <n v="1990"/>
        <n v="1991"/>
        <n v="1992"/>
        <n v="1996"/>
        <n v="1999"/>
        <n v="2000"/>
        <n v="2001"/>
        <n v="2002"/>
        <m/>
        <n v="2003"/>
        <n v="2004"/>
        <n v="2005"/>
        <n v="2007"/>
        <n v="2008"/>
        <n v="2009"/>
        <n v="2010"/>
        <n v="2011"/>
        <n v="2012"/>
        <n v="2013"/>
        <n v="2014"/>
        <n v="2015"/>
        <n v="2017"/>
        <n v="1982"/>
        <n v="1983"/>
        <n v="1984"/>
        <n v="1985"/>
        <n v="1986"/>
        <n v="1987"/>
        <n v="1993"/>
        <n v="1994"/>
        <n v="1995"/>
        <n v="1997"/>
        <n v="1998"/>
        <n v="2006"/>
        <n v="2016"/>
      </sharedItems>
    </cacheField>
    <cacheField name="Month" numFmtId="0">
      <sharedItems containsBlank="1"/>
    </cacheField>
    <cacheField name="stratum" numFmtId="0">
      <sharedItems containsString="0" containsBlank="1" containsNumber="1" containsInteger="1" minValue="1" maxValue="13"/>
    </cacheField>
    <cacheField name="STRATUM$" numFmtId="0">
      <sharedItems containsBlank="1" count="14">
        <s v="A"/>
        <s v="B"/>
        <s v="C"/>
        <s v="D"/>
        <s v="E"/>
        <s v="F"/>
        <s v="G"/>
        <s v="H"/>
        <s v="I"/>
        <s v="J"/>
        <s v="K"/>
        <s v="L"/>
        <s v="M"/>
        <m/>
      </sharedItems>
    </cacheField>
    <cacheField name="Biomass (tons)" numFmtId="3">
      <sharedItems containsString="0" containsBlank="1" containsNumber="1" minValue="0" maxValue="1787317.5312350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FO-MPO" refreshedDate="43136.461002314813" createdVersion="4" refreshedVersion="4" minRefreshableVersion="3" recordCount="229">
  <cacheSource type="worksheet">
    <worksheetSource ref="B2:T231" sheet="STRATBOOTMEAN"/>
  </cacheSource>
  <cacheFields count="19">
    <cacheField name="TRIP" numFmtId="0">
      <sharedItems containsBlank="1"/>
    </cacheField>
    <cacheField name="YEAR" numFmtId="0">
      <sharedItems containsString="0" containsBlank="1" containsNumber="1" containsInteger="1" minValue="1988" maxValue="2017" count="24">
        <n v="1988"/>
        <n v="1989"/>
        <n v="1990"/>
        <n v="1991"/>
        <n v="1992"/>
        <n v="1996"/>
        <n v="1999"/>
        <n v="2000"/>
        <n v="2001"/>
        <n v="2002"/>
        <m/>
        <n v="2003"/>
        <n v="2004"/>
        <n v="2005"/>
        <n v="2007"/>
        <n v="2008"/>
        <n v="2009"/>
        <n v="2010"/>
        <n v="2011"/>
        <n v="2012"/>
        <n v="2013"/>
        <n v="2014"/>
        <n v="2015"/>
        <n v="2017"/>
      </sharedItems>
    </cacheField>
    <cacheField name="Month" numFmtId="0">
      <sharedItems containsBlank="1"/>
    </cacheField>
    <cacheField name="stratum" numFmtId="0">
      <sharedItems containsString="0" containsBlank="1" containsNumber="1" containsInteger="1" minValue="1" maxValue="13"/>
    </cacheField>
    <cacheField name="STRATUM$" numFmtId="0">
      <sharedItems containsBlank="1"/>
    </cacheField>
    <cacheField name="_FREQ_" numFmtId="0">
      <sharedItems containsBlank="1" containsMixedTypes="1" containsNumber="1" containsInteger="1" minValue="1000" maxValue="1001"/>
    </cacheField>
    <cacheField name="mean" numFmtId="0">
      <sharedItems containsString="0" containsBlank="1" containsNumber="1" minValue="0" maxValue="10.522562140002746"/>
    </cacheField>
    <cacheField name="median" numFmtId="0">
      <sharedItems containsString="0" containsBlank="1" containsNumber="1" minValue="0" maxValue="10.474603438377514"/>
    </cacheField>
    <cacheField name="std" numFmtId="0">
      <sharedItems containsString="0" containsBlank="1" containsNumber="1" minValue="0" maxValue="2.4303201765473967"/>
    </cacheField>
    <cacheField name="p5" numFmtId="0">
      <sharedItems containsString="0" containsBlank="1" containsNumber="1" minValue="0" maxValue="8.7745375428233352"/>
    </cacheField>
    <cacheField name="p95" numFmtId="0">
      <sharedItems containsString="0" containsBlank="1" containsNumber="1" minValue="0" maxValue="12.520905091599918"/>
    </cacheField>
    <cacheField name="km2 (thousands)" numFmtId="0">
      <sharedItems containsString="0" containsBlank="1" containsNumber="1" minValue="790.19999999999993" maxValue="88680"/>
    </cacheField>
    <cacheField name="NUMBERS (millions)" numFmtId="166">
      <sharedItems containsBlank="1" containsMixedTypes="1" containsNumber="1" minValue="0" maxValue="206203.04328789975"/>
    </cacheField>
    <cacheField name="lower" numFmtId="2">
      <sharedItems containsString="0" containsBlank="1" containsNumber="1" minValue="0" maxValue="172735.54606802016"/>
    </cacheField>
    <cacheField name="upper" numFmtId="2">
      <sharedItems containsString="0" containsBlank="1" containsNumber="1" minValue="0" maxValue="246486.53763323597"/>
    </cacheField>
    <cacheField name="Mean wt" numFmtId="0">
      <sharedItems containsString="0" containsBlank="1" containsNumber="1" minValue="0" maxValue="23"/>
    </cacheField>
    <cacheField name="Biomass (tons)" numFmtId="3">
      <sharedItems containsString="0" containsBlank="1" containsNumber="1" minValue="0" maxValue="1787317.5312350995"/>
    </cacheField>
    <cacheField name="Biomass lwr" numFmtId="3">
      <sharedItems containsString="0" containsBlank="1" containsNumber="1" minValue="0" maxValue="1540482.6995102568"/>
    </cacheField>
    <cacheField name="Biomass upper" numFmtId="3">
      <sharedItems containsString="0" containsBlank="1" containsNumber="1" minValue="0" maxValue="2119784.2236458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0"/>
    <x v="0"/>
    <x v="0"/>
    <x v="0"/>
    <n v="4.7851578338459015"/>
  </r>
  <r>
    <x v="0"/>
    <x v="0"/>
    <x v="1"/>
    <x v="1"/>
    <x v="0"/>
    <n v="10.522562140002746"/>
  </r>
  <r>
    <x v="0"/>
    <x v="0"/>
    <x v="2"/>
    <x v="2"/>
    <x v="0"/>
    <n v="3.528224966608434"/>
  </r>
  <r>
    <x v="0"/>
    <x v="0"/>
    <x v="3"/>
    <x v="3"/>
    <x v="0"/>
    <n v="4.1235465161986617"/>
  </r>
  <r>
    <x v="1"/>
    <x v="0"/>
    <x v="0"/>
    <x v="0"/>
    <x v="0"/>
    <n v="6.2349185765194424"/>
  </r>
  <r>
    <x v="1"/>
    <x v="0"/>
    <x v="1"/>
    <x v="1"/>
    <x v="0"/>
    <n v="6.9797670689089211"/>
  </r>
  <r>
    <x v="1"/>
    <x v="0"/>
    <x v="2"/>
    <x v="2"/>
    <x v="0"/>
    <n v="7.726507512428852"/>
  </r>
  <r>
    <x v="1"/>
    <x v="0"/>
    <x v="3"/>
    <x v="3"/>
    <x v="0"/>
    <n v="5.6084509523769634"/>
  </r>
  <r>
    <x v="1"/>
    <x v="0"/>
    <x v="4"/>
    <x v="4"/>
    <x v="0"/>
    <n v="3.1107315440227272"/>
  </r>
  <r>
    <x v="1"/>
    <x v="0"/>
    <x v="5"/>
    <x v="5"/>
    <x v="0"/>
    <n v="2.1648245588907327"/>
  </r>
  <r>
    <x v="2"/>
    <x v="0"/>
    <x v="0"/>
    <x v="0"/>
    <x v="0"/>
    <n v="7.1222803829661583"/>
  </r>
  <r>
    <x v="2"/>
    <x v="0"/>
    <x v="1"/>
    <x v="1"/>
    <x v="0"/>
    <n v="9.1278491363788223"/>
  </r>
  <r>
    <x v="2"/>
    <x v="0"/>
    <x v="2"/>
    <x v="2"/>
    <x v="0"/>
    <n v="7.363760055012726"/>
  </r>
  <r>
    <x v="2"/>
    <x v="0"/>
    <x v="3"/>
    <x v="3"/>
    <x v="0"/>
    <n v="8.2491414606559008"/>
  </r>
  <r>
    <x v="2"/>
    <x v="0"/>
    <x v="4"/>
    <x v="4"/>
    <x v="0"/>
    <n v="2.9438680165748194"/>
  </r>
  <r>
    <x v="2"/>
    <x v="0"/>
    <x v="5"/>
    <x v="5"/>
    <x v="0"/>
    <n v="4.547080596185662"/>
  </r>
  <r>
    <x v="3"/>
    <x v="0"/>
    <x v="2"/>
    <x v="2"/>
    <x v="1"/>
    <n v="0.6321602808416692"/>
  </r>
  <r>
    <x v="3"/>
    <x v="0"/>
    <x v="3"/>
    <x v="3"/>
    <x v="1"/>
    <n v="0.2310514994208745"/>
  </r>
  <r>
    <x v="3"/>
    <x v="0"/>
    <x v="4"/>
    <x v="4"/>
    <x v="1"/>
    <n v="0.35952420456494727"/>
  </r>
  <r>
    <x v="3"/>
    <x v="0"/>
    <x v="5"/>
    <x v="5"/>
    <x v="1"/>
    <n v="0.63800654334861795"/>
  </r>
  <r>
    <x v="4"/>
    <x v="0"/>
    <x v="0"/>
    <x v="0"/>
    <x v="1"/>
    <n v="0.58950595067218592"/>
  </r>
  <r>
    <x v="4"/>
    <x v="0"/>
    <x v="1"/>
    <x v="1"/>
    <x v="1"/>
    <n v="0.56673962638140096"/>
  </r>
  <r>
    <x v="4"/>
    <x v="0"/>
    <x v="2"/>
    <x v="2"/>
    <x v="1"/>
    <n v="0.12517341111192701"/>
  </r>
  <r>
    <x v="4"/>
    <x v="0"/>
    <x v="3"/>
    <x v="3"/>
    <x v="1"/>
    <n v="4.3008789246470711E-2"/>
  </r>
  <r>
    <x v="4"/>
    <x v="0"/>
    <x v="4"/>
    <x v="4"/>
    <x v="1"/>
    <n v="1.0552733150240252E-2"/>
  </r>
  <r>
    <x v="4"/>
    <x v="0"/>
    <x v="5"/>
    <x v="5"/>
    <x v="1"/>
    <n v="4.4008517309616028E-3"/>
  </r>
  <r>
    <x v="5"/>
    <x v="0"/>
    <x v="0"/>
    <x v="0"/>
    <x v="1"/>
    <n v="1.4752945431721744E-3"/>
  </r>
  <r>
    <x v="5"/>
    <x v="0"/>
    <x v="1"/>
    <x v="1"/>
    <x v="1"/>
    <n v="5.0677567418402639E-2"/>
  </r>
  <r>
    <x v="5"/>
    <x v="0"/>
    <x v="2"/>
    <x v="2"/>
    <x v="1"/>
    <n v="5.4064725466808614E-2"/>
  </r>
  <r>
    <x v="5"/>
    <x v="0"/>
    <x v="3"/>
    <x v="3"/>
    <x v="1"/>
    <n v="0.12006004555552052"/>
  </r>
  <r>
    <x v="5"/>
    <x v="0"/>
    <x v="4"/>
    <x v="4"/>
    <x v="1"/>
    <n v="9.4826595838934755E-2"/>
  </r>
  <r>
    <x v="6"/>
    <x v="0"/>
    <x v="0"/>
    <x v="0"/>
    <x v="1"/>
    <n v="0.28622578980733288"/>
  </r>
  <r>
    <x v="6"/>
    <x v="0"/>
    <x v="1"/>
    <x v="1"/>
    <x v="1"/>
    <n v="0.78603291731450031"/>
  </r>
  <r>
    <x v="6"/>
    <x v="0"/>
    <x v="2"/>
    <x v="2"/>
    <x v="1"/>
    <n v="7.5617449084886046E-2"/>
  </r>
  <r>
    <x v="6"/>
    <x v="0"/>
    <x v="3"/>
    <x v="3"/>
    <x v="1"/>
    <n v="0.24503178422695279"/>
  </r>
  <r>
    <x v="6"/>
    <x v="0"/>
    <x v="4"/>
    <x v="4"/>
    <x v="1"/>
    <n v="0.16925023084754404"/>
  </r>
  <r>
    <x v="6"/>
    <x v="0"/>
    <x v="5"/>
    <x v="5"/>
    <x v="1"/>
    <n v="9.6049208820309123E-2"/>
  </r>
  <r>
    <x v="7"/>
    <x v="0"/>
    <x v="0"/>
    <x v="0"/>
    <x v="1"/>
    <n v="0.19334554600143763"/>
  </r>
  <r>
    <x v="7"/>
    <x v="0"/>
    <x v="1"/>
    <x v="1"/>
    <x v="1"/>
    <n v="3.7042118726324032E-3"/>
  </r>
  <r>
    <x v="7"/>
    <x v="0"/>
    <x v="2"/>
    <x v="2"/>
    <x v="1"/>
    <n v="0.15015765570185899"/>
  </r>
  <r>
    <x v="7"/>
    <x v="0"/>
    <x v="3"/>
    <x v="3"/>
    <x v="1"/>
    <n v="0.24523228696171093"/>
  </r>
  <r>
    <x v="7"/>
    <x v="0"/>
    <x v="4"/>
    <x v="4"/>
    <x v="1"/>
    <n v="4.9688422757716202E-3"/>
  </r>
  <r>
    <x v="7"/>
    <x v="0"/>
    <x v="5"/>
    <x v="5"/>
    <x v="1"/>
    <n v="5.9950867652771474E-3"/>
  </r>
  <r>
    <x v="8"/>
    <x v="0"/>
    <x v="0"/>
    <x v="0"/>
    <x v="1"/>
    <n v="5.8622268121275353E-3"/>
  </r>
  <r>
    <x v="8"/>
    <x v="0"/>
    <x v="1"/>
    <x v="1"/>
    <x v="1"/>
    <n v="1.5184562548149906E-2"/>
  </r>
  <r>
    <x v="8"/>
    <x v="0"/>
    <x v="2"/>
    <x v="2"/>
    <x v="1"/>
    <n v="0.52584448887725721"/>
  </r>
  <r>
    <x v="8"/>
    <x v="0"/>
    <x v="3"/>
    <x v="3"/>
    <x v="1"/>
    <n v="0.11560276701427423"/>
  </r>
  <r>
    <x v="8"/>
    <x v="0"/>
    <x v="4"/>
    <x v="4"/>
    <x v="1"/>
    <n v="0.13958515751941605"/>
  </r>
  <r>
    <x v="8"/>
    <x v="0"/>
    <x v="5"/>
    <x v="5"/>
    <x v="1"/>
    <n v="2.9209475275453943E-2"/>
  </r>
  <r>
    <x v="8"/>
    <x v="0"/>
    <x v="6"/>
    <x v="6"/>
    <x v="1"/>
    <n v="1.3003348687654239E-2"/>
  </r>
  <r>
    <x v="8"/>
    <x v="0"/>
    <x v="7"/>
    <x v="7"/>
    <x v="1"/>
    <n v="2.8853490071401307E-2"/>
  </r>
  <r>
    <x v="8"/>
    <x v="0"/>
    <x v="8"/>
    <x v="8"/>
    <x v="1"/>
    <n v="6.3344536944064361E-2"/>
  </r>
  <r>
    <x v="8"/>
    <x v="0"/>
    <x v="9"/>
    <x v="9"/>
    <x v="1"/>
    <n v="0.14903983196873805"/>
  </r>
  <r>
    <x v="8"/>
    <x v="0"/>
    <x v="10"/>
    <x v="10"/>
    <x v="1"/>
    <m/>
  </r>
  <r>
    <x v="8"/>
    <x v="0"/>
    <x v="11"/>
    <x v="11"/>
    <x v="2"/>
    <m/>
  </r>
  <r>
    <x v="8"/>
    <x v="0"/>
    <x v="12"/>
    <x v="12"/>
    <x v="1"/>
    <n v="0.20314106352534064"/>
  </r>
  <r>
    <x v="9"/>
    <x v="0"/>
    <x v="0"/>
    <x v="0"/>
    <x v="1"/>
    <n v="6.7286033629636961E-3"/>
  </r>
  <r>
    <x v="9"/>
    <x v="0"/>
    <x v="1"/>
    <x v="1"/>
    <x v="1"/>
    <n v="1.7034098755724123E-2"/>
  </r>
  <r>
    <x v="9"/>
    <x v="0"/>
    <x v="2"/>
    <x v="2"/>
    <x v="1"/>
    <n v="0.15637788808116776"/>
  </r>
  <r>
    <x v="10"/>
    <x v="1"/>
    <x v="13"/>
    <x v="3"/>
    <x v="2"/>
    <m/>
  </r>
  <r>
    <x v="9"/>
    <x v="0"/>
    <x v="4"/>
    <x v="4"/>
    <x v="1"/>
    <n v="9.9051799515496211E-2"/>
  </r>
  <r>
    <x v="9"/>
    <x v="0"/>
    <x v="5"/>
    <x v="5"/>
    <x v="1"/>
    <n v="4.8179383564428073E-2"/>
  </r>
  <r>
    <x v="9"/>
    <x v="0"/>
    <x v="6"/>
    <x v="6"/>
    <x v="1"/>
    <n v="4.5520943490250147E-2"/>
  </r>
  <r>
    <x v="9"/>
    <x v="0"/>
    <x v="7"/>
    <x v="7"/>
    <x v="1"/>
    <n v="2.8372660377824623E-2"/>
  </r>
  <r>
    <x v="9"/>
    <x v="0"/>
    <x v="8"/>
    <x v="8"/>
    <x v="1"/>
    <n v="6.6113801044227719E-2"/>
  </r>
  <r>
    <x v="9"/>
    <x v="0"/>
    <x v="9"/>
    <x v="9"/>
    <x v="1"/>
    <n v="0.16313012413424868"/>
  </r>
  <r>
    <x v="9"/>
    <x v="0"/>
    <x v="10"/>
    <x v="10"/>
    <x v="1"/>
    <n v="2.8599368926743285E-3"/>
  </r>
  <r>
    <x v="9"/>
    <x v="0"/>
    <x v="11"/>
    <x v="11"/>
    <x v="1"/>
    <n v="5.1425398840402312E-4"/>
  </r>
  <r>
    <x v="9"/>
    <x v="0"/>
    <x v="12"/>
    <x v="12"/>
    <x v="1"/>
    <n v="3.0157177292140899E-2"/>
  </r>
  <r>
    <x v="11"/>
    <x v="0"/>
    <x v="0"/>
    <x v="0"/>
    <x v="2"/>
    <m/>
  </r>
  <r>
    <x v="11"/>
    <x v="0"/>
    <x v="1"/>
    <x v="1"/>
    <x v="1"/>
    <n v="0.15121700355972029"/>
  </r>
  <r>
    <x v="11"/>
    <x v="0"/>
    <x v="2"/>
    <x v="2"/>
    <x v="1"/>
    <n v="0.44316723881301839"/>
  </r>
  <r>
    <x v="11"/>
    <x v="0"/>
    <x v="3"/>
    <x v="3"/>
    <x v="2"/>
    <m/>
  </r>
  <r>
    <x v="11"/>
    <x v="0"/>
    <x v="4"/>
    <x v="4"/>
    <x v="1"/>
    <n v="8.9396778957507764E-2"/>
  </r>
  <r>
    <x v="11"/>
    <x v="0"/>
    <x v="5"/>
    <x v="5"/>
    <x v="1"/>
    <n v="8.3374207940841369E-2"/>
  </r>
  <r>
    <x v="11"/>
    <x v="0"/>
    <x v="6"/>
    <x v="6"/>
    <x v="1"/>
    <n v="5.6304687703999691E-2"/>
  </r>
  <r>
    <x v="11"/>
    <x v="0"/>
    <x v="7"/>
    <x v="7"/>
    <x v="1"/>
    <n v="3.5582634195367412E-2"/>
  </r>
  <r>
    <x v="11"/>
    <x v="0"/>
    <x v="8"/>
    <x v="8"/>
    <x v="1"/>
    <n v="4.9987708054311325E-2"/>
  </r>
  <r>
    <x v="11"/>
    <x v="0"/>
    <x v="9"/>
    <x v="9"/>
    <x v="1"/>
    <n v="6.7005195365554437E-2"/>
  </r>
  <r>
    <x v="11"/>
    <x v="0"/>
    <x v="10"/>
    <x v="10"/>
    <x v="2"/>
    <m/>
  </r>
  <r>
    <x v="11"/>
    <x v="0"/>
    <x v="11"/>
    <x v="11"/>
    <x v="2"/>
    <m/>
  </r>
  <r>
    <x v="11"/>
    <x v="0"/>
    <x v="12"/>
    <x v="12"/>
    <x v="2"/>
    <m/>
  </r>
  <r>
    <x v="12"/>
    <x v="0"/>
    <x v="0"/>
    <x v="0"/>
    <x v="1"/>
    <n v="4.0619747694862268E-3"/>
  </r>
  <r>
    <x v="12"/>
    <x v="0"/>
    <x v="1"/>
    <x v="1"/>
    <x v="1"/>
    <n v="0.23055732501273593"/>
  </r>
  <r>
    <x v="12"/>
    <x v="0"/>
    <x v="2"/>
    <x v="2"/>
    <x v="1"/>
    <n v="0.48858352211529038"/>
  </r>
  <r>
    <x v="12"/>
    <x v="0"/>
    <x v="3"/>
    <x v="3"/>
    <x v="1"/>
    <n v="0.11522592139256951"/>
  </r>
  <r>
    <x v="12"/>
    <x v="0"/>
    <x v="4"/>
    <x v="4"/>
    <x v="1"/>
    <n v="6.28637965272687E-2"/>
  </r>
  <r>
    <x v="12"/>
    <x v="0"/>
    <x v="5"/>
    <x v="5"/>
    <x v="1"/>
    <n v="0.2296340281408141"/>
  </r>
  <r>
    <x v="12"/>
    <x v="0"/>
    <x v="6"/>
    <x v="6"/>
    <x v="1"/>
    <n v="1.4682866892843404E-2"/>
  </r>
  <r>
    <x v="12"/>
    <x v="0"/>
    <x v="7"/>
    <x v="7"/>
    <x v="1"/>
    <n v="1.286660968187384E-2"/>
  </r>
  <r>
    <x v="12"/>
    <x v="0"/>
    <x v="8"/>
    <x v="8"/>
    <x v="1"/>
    <n v="5.4564304416470193E-2"/>
  </r>
  <r>
    <x v="12"/>
    <x v="0"/>
    <x v="9"/>
    <x v="9"/>
    <x v="1"/>
    <n v="5.9437690542769324E-2"/>
  </r>
  <r>
    <x v="12"/>
    <x v="0"/>
    <x v="10"/>
    <x v="10"/>
    <x v="1"/>
    <n v="9.3607832857788421E-4"/>
  </r>
  <r>
    <x v="12"/>
    <x v="0"/>
    <x v="11"/>
    <x v="11"/>
    <x v="2"/>
    <m/>
  </r>
  <r>
    <x v="12"/>
    <x v="0"/>
    <x v="12"/>
    <x v="12"/>
    <x v="1"/>
    <n v="2.2239278296399597E-2"/>
  </r>
  <r>
    <x v="13"/>
    <x v="0"/>
    <x v="0"/>
    <x v="0"/>
    <x v="1"/>
    <n v="0.15190086662369928"/>
  </r>
  <r>
    <x v="13"/>
    <x v="0"/>
    <x v="1"/>
    <x v="1"/>
    <x v="1"/>
    <n v="1.6637451549716897E-3"/>
  </r>
  <r>
    <x v="13"/>
    <x v="0"/>
    <x v="2"/>
    <x v="2"/>
    <x v="1"/>
    <n v="0.16207951885731939"/>
  </r>
  <r>
    <x v="13"/>
    <x v="0"/>
    <x v="3"/>
    <x v="3"/>
    <x v="1"/>
    <m/>
  </r>
  <r>
    <x v="13"/>
    <x v="0"/>
    <x v="4"/>
    <x v="4"/>
    <x v="1"/>
    <n v="0.18518327848590674"/>
  </r>
  <r>
    <x v="13"/>
    <x v="0"/>
    <x v="5"/>
    <x v="5"/>
    <x v="1"/>
    <n v="0.11291222360936216"/>
  </r>
  <r>
    <x v="13"/>
    <x v="0"/>
    <x v="6"/>
    <x v="6"/>
    <x v="1"/>
    <n v="3.4749660038418215E-2"/>
  </r>
  <r>
    <x v="13"/>
    <x v="0"/>
    <x v="7"/>
    <x v="7"/>
    <x v="1"/>
    <n v="3.7793398987877747E-3"/>
  </r>
  <r>
    <x v="13"/>
    <x v="0"/>
    <x v="8"/>
    <x v="8"/>
    <x v="1"/>
    <n v="0.15209274533152795"/>
  </r>
  <r>
    <x v="13"/>
    <x v="0"/>
    <x v="9"/>
    <x v="9"/>
    <x v="1"/>
    <n v="3.8103023458412488E-2"/>
  </r>
  <r>
    <x v="13"/>
    <x v="0"/>
    <x v="11"/>
    <x v="11"/>
    <x v="1"/>
    <n v="2.2752905997190504E-2"/>
  </r>
  <r>
    <x v="13"/>
    <x v="0"/>
    <x v="12"/>
    <x v="12"/>
    <x v="1"/>
    <n v="8.3963286985296315E-3"/>
  </r>
  <r>
    <x v="14"/>
    <x v="0"/>
    <x v="0"/>
    <x v="0"/>
    <x v="1"/>
    <n v="7.8052971045370165E-2"/>
  </r>
  <r>
    <x v="14"/>
    <x v="0"/>
    <x v="1"/>
    <x v="1"/>
    <x v="1"/>
    <n v="0.61643789225818235"/>
  </r>
  <r>
    <x v="14"/>
    <x v="0"/>
    <x v="2"/>
    <x v="2"/>
    <x v="1"/>
    <n v="0.33087802059523863"/>
  </r>
  <r>
    <x v="14"/>
    <x v="0"/>
    <x v="3"/>
    <x v="3"/>
    <x v="1"/>
    <m/>
  </r>
  <r>
    <x v="14"/>
    <x v="0"/>
    <x v="4"/>
    <x v="4"/>
    <x v="1"/>
    <n v="0.50330761414107461"/>
  </r>
  <r>
    <x v="14"/>
    <x v="0"/>
    <x v="5"/>
    <x v="5"/>
    <x v="1"/>
    <n v="0.64233319478569773"/>
  </r>
  <r>
    <x v="14"/>
    <x v="0"/>
    <x v="6"/>
    <x v="6"/>
    <x v="1"/>
    <n v="1.4204472062771012"/>
  </r>
  <r>
    <x v="14"/>
    <x v="0"/>
    <x v="7"/>
    <x v="7"/>
    <x v="1"/>
    <n v="0.25700896980312882"/>
  </r>
  <r>
    <x v="14"/>
    <x v="0"/>
    <x v="8"/>
    <x v="8"/>
    <x v="1"/>
    <n v="0.26815613819125234"/>
  </r>
  <r>
    <x v="14"/>
    <x v="0"/>
    <x v="9"/>
    <x v="9"/>
    <x v="1"/>
    <n v="0.66065861146768179"/>
  </r>
  <r>
    <x v="14"/>
    <x v="0"/>
    <x v="10"/>
    <x v="10"/>
    <x v="1"/>
    <n v="1.1058633415244061E-2"/>
  </r>
  <r>
    <x v="14"/>
    <x v="0"/>
    <x v="11"/>
    <x v="11"/>
    <x v="1"/>
    <n v="9.9735670551059658E-4"/>
  </r>
  <r>
    <x v="14"/>
    <x v="0"/>
    <x v="12"/>
    <x v="12"/>
    <x v="1"/>
    <n v="0.59070833054405236"/>
  </r>
  <r>
    <x v="15"/>
    <x v="0"/>
    <x v="0"/>
    <x v="0"/>
    <x v="1"/>
    <n v="0.19136102721490633"/>
  </r>
  <r>
    <x v="15"/>
    <x v="0"/>
    <x v="1"/>
    <x v="1"/>
    <x v="1"/>
    <n v="0.46761530615591929"/>
  </r>
  <r>
    <x v="15"/>
    <x v="0"/>
    <x v="2"/>
    <x v="2"/>
    <x v="1"/>
    <n v="0.8354649724626072"/>
  </r>
  <r>
    <x v="15"/>
    <x v="0"/>
    <x v="3"/>
    <x v="3"/>
    <x v="1"/>
    <n v="0.10995052790905452"/>
  </r>
  <r>
    <x v="15"/>
    <x v="0"/>
    <x v="4"/>
    <x v="4"/>
    <x v="1"/>
    <n v="0.1903975953394903"/>
  </r>
  <r>
    <x v="15"/>
    <x v="0"/>
    <x v="5"/>
    <x v="5"/>
    <x v="1"/>
    <n v="0.14320121455690349"/>
  </r>
  <r>
    <x v="15"/>
    <x v="0"/>
    <x v="6"/>
    <x v="6"/>
    <x v="1"/>
    <n v="4.1690264776408012E-2"/>
  </r>
  <r>
    <x v="15"/>
    <x v="0"/>
    <x v="7"/>
    <x v="7"/>
    <x v="1"/>
    <n v="1.0163269862964903"/>
  </r>
  <r>
    <x v="15"/>
    <x v="0"/>
    <x v="8"/>
    <x v="8"/>
    <x v="1"/>
    <n v="9.4950529795357549E-2"/>
  </r>
  <r>
    <x v="15"/>
    <x v="0"/>
    <x v="9"/>
    <x v="9"/>
    <x v="1"/>
    <n v="0.59617764859525579"/>
  </r>
  <r>
    <x v="15"/>
    <x v="0"/>
    <x v="10"/>
    <x v="10"/>
    <x v="1"/>
    <n v="2.019995509742371E-2"/>
  </r>
  <r>
    <x v="15"/>
    <x v="0"/>
    <x v="11"/>
    <x v="11"/>
    <x v="1"/>
    <n v="8.7704842948760617E-2"/>
  </r>
  <r>
    <x v="15"/>
    <x v="0"/>
    <x v="12"/>
    <x v="12"/>
    <x v="1"/>
    <n v="0.26021794328337877"/>
  </r>
  <r>
    <x v="16"/>
    <x v="0"/>
    <x v="0"/>
    <x v="0"/>
    <x v="3"/>
    <n v="0"/>
  </r>
  <r>
    <x v="17"/>
    <x v="0"/>
    <x v="0"/>
    <x v="0"/>
    <x v="3"/>
    <n v="0"/>
  </r>
  <r>
    <x v="18"/>
    <x v="0"/>
    <x v="0"/>
    <x v="0"/>
    <x v="3"/>
    <n v="0"/>
  </r>
  <r>
    <x v="19"/>
    <x v="0"/>
    <x v="0"/>
    <x v="0"/>
    <x v="3"/>
    <n v="0"/>
  </r>
  <r>
    <x v="20"/>
    <x v="0"/>
    <x v="0"/>
    <x v="0"/>
    <x v="3"/>
    <n v="0"/>
  </r>
  <r>
    <x v="21"/>
    <x v="0"/>
    <x v="0"/>
    <x v="0"/>
    <x v="3"/>
    <n v="0"/>
  </r>
  <r>
    <x v="22"/>
    <x v="0"/>
    <x v="0"/>
    <x v="0"/>
    <x v="3"/>
    <n v="0"/>
  </r>
  <r>
    <x v="23"/>
    <x v="0"/>
    <x v="0"/>
    <x v="0"/>
    <x v="3"/>
    <n v="0"/>
  </r>
  <r>
    <x v="24"/>
    <x v="0"/>
    <x v="0"/>
    <x v="0"/>
    <x v="3"/>
    <n v="0"/>
  </r>
  <r>
    <x v="25"/>
    <x v="0"/>
    <x v="0"/>
    <x v="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n v="4.7851578338459015"/>
    <n v="4.6330167804053239"/>
    <n v="1.0367654413100178"/>
    <n v="3.367465968434483"/>
    <n v="6.7992216938128642"/>
    <n v="10715"/>
    <n v="49642.774802043044"/>
    <n v="36082.397851775488"/>
    <n v="72853.660449204835"/>
    <n v="9.3000000000000007"/>
    <n v="461677.80565900035"/>
    <n v="335566.30002151208"/>
    <n v="677539.04217760498"/>
  </r>
  <r>
    <x v="0"/>
    <x v="0"/>
    <x v="1"/>
    <x v="1"/>
    <x v="0"/>
    <n v="10.522562140002746"/>
    <n v="10.474603438377514"/>
    <n v="1.1600013282545238"/>
    <n v="8.7745375428233352"/>
    <n v="12.520905091599918"/>
    <n v="19686"/>
    <n v="206203.04328789975"/>
    <n v="172735.54606802016"/>
    <n v="246486.53763323597"/>
    <n v="8.6"/>
    <n v="1773346.1722759379"/>
    <n v="1485525.6961849735"/>
    <n v="2119784.2236458291"/>
  </r>
  <r>
    <x v="0"/>
    <x v="0"/>
    <x v="2"/>
    <x v="2"/>
    <x v="0"/>
    <n v="3.528224966608434"/>
    <n v="3.4939606176724411"/>
    <n v="0.43191733229179075"/>
    <n v="2.899279664744796"/>
    <n v="4.2615617765212539"/>
    <n v="10897"/>
    <n v="38073.688850776591"/>
    <n v="31593.450506724042"/>
    <n v="46438.238678752103"/>
    <n v="6.9"/>
    <n v="262708.45307035849"/>
    <n v="217994.80849639591"/>
    <n v="320423.84688338952"/>
  </r>
  <r>
    <x v="0"/>
    <x v="0"/>
    <x v="3"/>
    <x v="3"/>
    <x v="0"/>
    <n v="4.1235465161986617"/>
    <n v="4.1139822493410616"/>
    <n v="0.37752921683007507"/>
    <n v="3.5458268441102057"/>
    <n v="4.7468161856361677"/>
    <n v="28029"/>
    <n v="115310.80846678061"/>
    <n v="99385.980613564956"/>
    <n v="133048.51086719614"/>
    <n v="15.5"/>
    <n v="1787317.5312350995"/>
    <n v="1540482.6995102568"/>
    <n v="2062251.9184415401"/>
  </r>
  <r>
    <x v="1"/>
    <x v="0"/>
    <x v="0"/>
    <x v="0"/>
    <x v="0"/>
    <n v="6.2349185765194424"/>
    <n v="6.1884273116601927"/>
    <n v="0.65583690618329515"/>
    <n v="5.2462638056224087"/>
    <n v="7.3420646107079497"/>
    <n v="13135.5"/>
    <n v="81288.086952312457"/>
    <n v="68912.298218753145"/>
    <n v="96441.689693954278"/>
    <n v="9.4"/>
    <n v="764108.01735173713"/>
    <n v="647775.6032562796"/>
    <n v="906551.88312317024"/>
  </r>
  <r>
    <x v="1"/>
    <x v="0"/>
    <x v="1"/>
    <x v="1"/>
    <x v="0"/>
    <n v="6.9797670689089211"/>
    <n v="6.9391606352612092"/>
    <n v="0.58065379581150889"/>
    <n v="6.0920543495446937"/>
    <n v="8.0025095777203834"/>
    <n v="11370"/>
    <n v="78898.256422919949"/>
    <n v="69266.657954323164"/>
    <n v="90988.533898680762"/>
    <n v="7.1"/>
    <n v="560177.62060273159"/>
    <n v="491793.27147569443"/>
    <n v="646018.59068063332"/>
  </r>
  <r>
    <x v="1"/>
    <x v="0"/>
    <x v="2"/>
    <x v="2"/>
    <x v="0"/>
    <n v="7.726507512428852"/>
    <n v="7.648986611525074"/>
    <n v="0.72022782272979557"/>
    <n v="6.6682478051789724"/>
    <n v="9.0304740141648132"/>
    <n v="12873"/>
    <n v="98465.40465016228"/>
    <n v="85840.353996068909"/>
    <n v="116249.29198434364"/>
    <n v="7.7"/>
    <n v="758183.61580624955"/>
    <n v="660970.72576973063"/>
    <n v="895119.54827944608"/>
  </r>
  <r>
    <x v="1"/>
    <x v="0"/>
    <x v="3"/>
    <x v="3"/>
    <x v="0"/>
    <n v="5.6084509523769634"/>
    <n v="5.5357159771350171"/>
    <n v="0.65628729970161603"/>
    <n v="4.6439611902816891"/>
    <n v="6.8278260362846552"/>
    <n v="10896"/>
    <n v="60317.161286863149"/>
    <n v="50600.601129309282"/>
    <n v="74395.992491357611"/>
    <n v="13"/>
    <n v="784123.09672922094"/>
    <n v="657807.81468102068"/>
    <n v="967147.90238764894"/>
  </r>
  <r>
    <x v="1"/>
    <x v="0"/>
    <x v="4"/>
    <x v="4"/>
    <x v="0"/>
    <n v="3.1107315440227272"/>
    <n v="3.0425476467721246"/>
    <n v="0.52464587646635896"/>
    <n v="2.3676539524017914"/>
    <n v="4.0614730805984713"/>
    <n v="9663"/>
    <n v="29400.13791075904"/>
    <n v="22878.64014205851"/>
    <n v="39246.014377823027"/>
    <n v="14.9"/>
    <n v="438062.05487030972"/>
    <n v="340891.7381166718"/>
    <n v="584765.61422956316"/>
  </r>
  <r>
    <x v="1"/>
    <x v="0"/>
    <x v="5"/>
    <x v="5"/>
    <x v="0"/>
    <n v="2.1648245588907327"/>
    <n v="2.1469150111460582"/>
    <n v="0.28489122737231859"/>
    <n v="1.7252656888606053"/>
    <n v="2.6632675000938284"/>
    <n v="8256"/>
    <n v="17724.930332021857"/>
    <n v="14243.793527233158"/>
    <n v="21987.936480774646"/>
    <n v="23"/>
    <n v="407673.39763650269"/>
    <n v="327607.25112636265"/>
    <n v="505722.53905781684"/>
  </r>
  <r>
    <x v="2"/>
    <x v="0"/>
    <x v="0"/>
    <x v="0"/>
    <x v="0"/>
    <n v="7.1222803829661583"/>
    <n v="6.9553094581165755"/>
    <n v="1.251704471897549"/>
    <n v="5.256579750630241"/>
    <n v="9.3733126064719254"/>
    <n v="14322"/>
    <n v="99613.9420591456"/>
    <n v="75284.735188526305"/>
    <n v="134244.58314989091"/>
    <n v="11.3"/>
    <n v="1125637.5452683454"/>
    <n v="850717.50763034727"/>
    <n v="1516963.7895937674"/>
  </r>
  <r>
    <x v="2"/>
    <x v="0"/>
    <x v="1"/>
    <x v="1"/>
    <x v="0"/>
    <n v="9.1278491363788223"/>
    <n v="9.0666813336147705"/>
    <n v="0.98607788640741634"/>
    <n v="7.6034635887739102"/>
    <n v="10.905284498732863"/>
    <n v="13428"/>
    <n v="121747.39694777914"/>
    <n v="102099.30907005607"/>
    <n v="146436.16024898487"/>
    <n v="8.9"/>
    <n v="1083551.8328352345"/>
    <n v="908683.85072349908"/>
    <n v="1303281.8262159654"/>
  </r>
  <r>
    <x v="2"/>
    <x v="0"/>
    <x v="2"/>
    <x v="2"/>
    <x v="0"/>
    <n v="7.363760055012726"/>
    <n v="7.3137927534731126"/>
    <n v="0.93988220996340666"/>
    <n v="5.9408358901408498"/>
    <n v="8.9752602076625454"/>
    <n v="12873"/>
    <n v="94150.454115459375"/>
    <n v="76476.380413783161"/>
    <n v="115538.52465323995"/>
    <n v="12.9"/>
    <n v="1214540.8580894261"/>
    <n v="986545.30733780283"/>
    <n v="1490446.9680267954"/>
  </r>
  <r>
    <x v="2"/>
    <x v="0"/>
    <x v="3"/>
    <x v="3"/>
    <x v="0"/>
    <n v="8.2491414606559008"/>
    <n v="8.2074540649597729"/>
    <n v="1.5293769816865379"/>
    <n v="5.8702588787740622"/>
    <n v="10.845878042681578"/>
    <n v="10896"/>
    <n v="89428.419491801687"/>
    <n v="63962.340743122179"/>
    <n v="118176.68715305848"/>
    <n v="14"/>
    <n v="1251997.8728852237"/>
    <n v="895472.77040371054"/>
    <n v="1654473.6201428187"/>
  </r>
  <r>
    <x v="2"/>
    <x v="0"/>
    <x v="4"/>
    <x v="4"/>
    <x v="0"/>
    <n v="2.9438680165748194"/>
    <n v="2.7873914105325879"/>
    <n v="1.2069023401047758"/>
    <n v="1.340384832193406"/>
    <n v="5.1834167192201006"/>
    <n v="9591"/>
    <n v="26733.871018418049"/>
    <n v="12855.630925566957"/>
    <n v="49714.149754039987"/>
    <n v="18"/>
    <n v="481209.67833152489"/>
    <n v="231401.35666020523"/>
    <n v="894854.69557271979"/>
  </r>
  <r>
    <x v="2"/>
    <x v="0"/>
    <x v="5"/>
    <x v="5"/>
    <x v="0"/>
    <n v="4.547080596185662"/>
    <n v="4.0054929406572226"/>
    <n v="2.4303201765473967"/>
    <n v="1.8928513730283922"/>
    <n v="9.5583044092806944"/>
    <n v="8181"/>
    <n v="32768.937747516735"/>
    <n v="15485.417082745276"/>
    <n v="78196.488372325359"/>
    <n v="19.100000000000001"/>
    <n v="625886.71097756969"/>
    <n v="295771.4662804348"/>
    <n v="1493552.9279114145"/>
  </r>
  <r>
    <x v="3"/>
    <x v="0"/>
    <x v="2"/>
    <x v="2"/>
    <x v="1"/>
    <n v="0.6321602808416692"/>
    <n v="0.61824044122620592"/>
    <n v="0.15023586660100957"/>
    <n v="0.41419621324742484"/>
    <n v="0.90443429909321316"/>
    <n v="16328.999999999998"/>
    <n v="10095.248164782715"/>
    <n v="6763.4099661171995"/>
    <n v="14768.507669893075"/>
    <n v="8.1999999999999993"/>
    <n v="82781.034951218258"/>
    <n v="55459.961722161032"/>
    <n v="121101.7628931232"/>
  </r>
  <r>
    <x v="3"/>
    <x v="0"/>
    <x v="3"/>
    <x v="3"/>
    <x v="1"/>
    <n v="0.2310514994208745"/>
    <n v="0.19473162013196271"/>
    <n v="0.12824844078450631"/>
    <n v="9.8213442651960289E-2"/>
    <n v="0.46095920058996104"/>
    <n v="10896"/>
    <n v="2121.7957329578658"/>
    <n v="1070.1336711357594"/>
    <n v="5022.6114496282153"/>
    <n v="5.5"/>
    <n v="11669.876531268263"/>
    <n v="5885.7351912466765"/>
    <n v="27624.362972955183"/>
  </r>
  <r>
    <x v="3"/>
    <x v="0"/>
    <x v="4"/>
    <x v="4"/>
    <x v="1"/>
    <n v="0.35952420456494727"/>
    <n v="8.2199986578427378E-3"/>
    <n v="0.82481798851170796"/>
    <n v="7.4719711484468303E-4"/>
    <n v="2.3769813368364456"/>
    <n v="9591"/>
    <n v="78.838007127369693"/>
    <n v="7.1663675284753552"/>
    <n v="22797.62800159835"/>
    <n v="0.4"/>
    <n v="31.535202850947879"/>
    <n v="2.8665470113901423"/>
    <n v="9119.0512006393401"/>
  </r>
  <r>
    <x v="3"/>
    <x v="0"/>
    <x v="5"/>
    <x v="5"/>
    <x v="1"/>
    <n v="0.63800654334861795"/>
    <n v="0.46888105055617857"/>
    <n v="0.66785628564323096"/>
    <n v="6.6267772474038747E-4"/>
    <n v="1.9612139799944908"/>
    <n v="8181"/>
    <n v="3835.9158746000967"/>
    <n v="5.4213664661011096"/>
    <n v="16044.69157033493"/>
    <n v="11.3"/>
    <n v="43345.849382981098"/>
    <n v="61.261441066942545"/>
    <n v="181305.01474478471"/>
  </r>
  <r>
    <x v="4"/>
    <x v="0"/>
    <x v="0"/>
    <x v="0"/>
    <x v="1"/>
    <n v="0.58950595067218592"/>
    <n v="0.58447436955095933"/>
    <n v="6.7597886886798783E-2"/>
    <n v="0.49450600628831726"/>
    <n v="0.70586513519269412"/>
    <n v="14308"/>
    <n v="8362.6592795351262"/>
    <n v="7075.3919379732433"/>
    <n v="10099.518354337068"/>
    <n v="8.9"/>
    <n v="74427.667587862627"/>
    <n v="62970.988247961868"/>
    <n v="89885.713353599902"/>
  </r>
  <r>
    <x v="4"/>
    <x v="0"/>
    <x v="1"/>
    <x v="1"/>
    <x v="1"/>
    <n v="0.56673962638140096"/>
    <n v="0.54577695942271953"/>
    <n v="9.84395906556505E-2"/>
    <n v="0.43757745069781651"/>
    <n v="0.75305743220325505"/>
    <n v="13428"/>
    <n v="7328.6930111282782"/>
    <n v="5875.7900079702804"/>
    <n v="10112.055199625309"/>
    <n v="6.5"/>
    <n v="47636.504572333812"/>
    <n v="38192.635051806821"/>
    <n v="65728.358797564506"/>
  </r>
  <r>
    <x v="4"/>
    <x v="0"/>
    <x v="2"/>
    <x v="2"/>
    <x v="1"/>
    <n v="0.12517341111192701"/>
    <n v="0.12371085166534262"/>
    <n v="1.3434479732700009E-2"/>
    <n v="0.10514337235083496"/>
    <n v="0.14949485778400942"/>
    <n v="21855"/>
    <n v="2703.7006631460631"/>
    <n v="2297.908402727498"/>
    <n v="3267.2101168695258"/>
    <n v="4.8"/>
    <n v="12977.763183101102"/>
    <n v="11029.960333091991"/>
    <n v="15682.608560973724"/>
  </r>
  <r>
    <x v="4"/>
    <x v="0"/>
    <x v="3"/>
    <x v="3"/>
    <x v="1"/>
    <n v="4.3008789246470711E-2"/>
    <n v="4.1629685942561064E-2"/>
    <n v="8.016439781770553E-3"/>
    <n v="3.2345031084565365E-2"/>
    <n v="5.7619048914336529E-2"/>
    <n v="22071"/>
    <n v="918.80879843826528"/>
    <n v="713.88718106744216"/>
    <n v="1271.7100285883216"/>
    <n v="3.2"/>
    <n v="2940.1881550024491"/>
    <n v="2284.4389794158151"/>
    <n v="4069.4720914826294"/>
  </r>
  <r>
    <x v="4"/>
    <x v="0"/>
    <x v="4"/>
    <x v="4"/>
    <x v="1"/>
    <n v="1.0552733150240252E-2"/>
    <n v="8.640332196210956E-3"/>
    <n v="7.2178138242125368E-3"/>
    <n v="5.6358146226299748E-3"/>
    <n v="2.2672192604640033E-2"/>
    <n v="9591"/>
    <n v="82.869426093859275"/>
    <n v="54.053098045644091"/>
    <n v="217.44899927110256"/>
    <n v="0.3"/>
    <n v="24.860827828157781"/>
    <n v="16.215929413693228"/>
    <n v="65.234699781330761"/>
  </r>
  <r>
    <x v="4"/>
    <x v="0"/>
    <x v="5"/>
    <x v="5"/>
    <x v="1"/>
    <n v="4.4008517309616028E-3"/>
    <n v="2.9061210616731841E-3"/>
    <n v="5.3899892439404811E-3"/>
    <n v="1.4797903587830232E-3"/>
    <n v="1.1582276949814075E-2"/>
    <n v="790.19999999999993"/>
    <n v="2.2964168629341497"/>
    <n v="1.1693303415103449"/>
    <n v="9.1523152457430808"/>
    <n v="5.2"/>
    <n v="11.941367687257578"/>
    <n v="6.0805177758537932"/>
    <n v="47.592039277864025"/>
  </r>
  <r>
    <x v="5"/>
    <x v="0"/>
    <x v="0"/>
    <x v="0"/>
    <x v="1"/>
    <n v="1.4752945431721744E-3"/>
    <n v="1.4284188263916243E-3"/>
    <n v="3.0512248620824869E-4"/>
    <n v="1.0344989901438749E-3"/>
    <n v="2.0193444332978119E-3"/>
    <n v="88680"/>
    <n v="126.67218152440924"/>
    <n v="91.739370445958826"/>
    <n v="179.07546434484996"/>
    <n v="9.6"/>
    <n v="1216.0529426343287"/>
    <n v="880.69795628120471"/>
    <n v="1719.1244577105597"/>
  </r>
  <r>
    <x v="5"/>
    <x v="0"/>
    <x v="1"/>
    <x v="1"/>
    <x v="1"/>
    <n v="5.0677567418402639E-2"/>
    <n v="4.6581694831384537E-2"/>
    <n v="2.1670550476386632E-2"/>
    <n v="2.5024728092355522E-2"/>
    <n v="9.2749556928472657E-2"/>
    <n v="13908"/>
    <n v="647.85821171489613"/>
    <n v="348.04391830848061"/>
    <n v="1289.9608377611978"/>
    <n v="13.1"/>
    <n v="8486.9425734651395"/>
    <n v="4559.3753298410957"/>
    <n v="16898.48697467169"/>
  </r>
  <r>
    <x v="5"/>
    <x v="0"/>
    <x v="2"/>
    <x v="2"/>
    <x v="1"/>
    <n v="5.4064725466808614E-2"/>
    <n v="5.3074607697576701E-2"/>
    <n v="1.1830929585931411E-2"/>
    <n v="3.6977212151068348E-2"/>
    <n v="7.489890760030328E-2"/>
    <n v="12279"/>
    <n v="651.70310791854433"/>
    <n v="454.04318800296824"/>
    <n v="919.68368642412395"/>
    <n v="9.6999999999999993"/>
    <n v="6321.5201468098794"/>
    <n v="4404.2189236287913"/>
    <n v="8920.9317583140019"/>
  </r>
  <r>
    <x v="5"/>
    <x v="0"/>
    <x v="3"/>
    <x v="3"/>
    <x v="1"/>
    <n v="0.12006004555552052"/>
    <n v="0.11742870783957088"/>
    <n v="2.1692364539652696E-2"/>
    <n v="9.0180225869752662E-2"/>
    <n v="0.15976047729961035"/>
    <n v="11889"/>
    <n v="1396.1099075046582"/>
    <n v="1072.1527053654893"/>
    <n v="1899.3923146150673"/>
    <n v="17.5"/>
    <n v="24431.923381331519"/>
    <n v="18762.672343896062"/>
    <n v="33239.365505763679"/>
  </r>
  <r>
    <x v="5"/>
    <x v="0"/>
    <x v="4"/>
    <x v="4"/>
    <x v="1"/>
    <n v="9.4826595838934755E-2"/>
    <n v="8.6986783693451572E-2"/>
    <n v="3.7659801485658159E-2"/>
    <n v="4.3750948419597785E-2"/>
    <n v="0.1665243633461497"/>
    <n v="6183"/>
    <n v="537.83928357661102"/>
    <n v="270.51211407837309"/>
    <n v="1029.6201385692436"/>
    <n v="13"/>
    <n v="6991.9106864959431"/>
    <n v="3516.6574830188501"/>
    <n v="13385.061801400167"/>
  </r>
  <r>
    <x v="6"/>
    <x v="0"/>
    <x v="0"/>
    <x v="0"/>
    <x v="1"/>
    <n v="0.28622578980733288"/>
    <n v="0.24578255378136216"/>
    <n v="0.17373458705012701"/>
    <n v="8.9360213464391464E-2"/>
    <n v="0.6464996817203944"/>
    <n v="16607.070930057202"/>
    <n v="4081.7283040176803"/>
    <n v="1484.0114033282016"/>
    <n v="10736.466070589995"/>
    <n v="11"/>
    <n v="44899.011344194485"/>
    <n v="16324.125436610218"/>
    <n v="118101.12677648995"/>
  </r>
  <r>
    <x v="6"/>
    <x v="0"/>
    <x v="1"/>
    <x v="1"/>
    <x v="1"/>
    <n v="0.78603291731450031"/>
    <n v="0.75733416794970676"/>
    <n v="0.15410157371228153"/>
    <n v="0.58257063148285804"/>
    <n v="1.0689262800552024"/>
    <n v="10396.801867846863"/>
    <n v="7873.8532919237614"/>
    <n v="6056.8714295537047"/>
    <n v="11113.414745068529"/>
    <n v="13.6"/>
    <n v="107084.40477016315"/>
    <n v="82373.451441930389"/>
    <n v="151142.440532932"/>
  </r>
  <r>
    <x v="6"/>
    <x v="0"/>
    <x v="2"/>
    <x v="2"/>
    <x v="1"/>
    <n v="7.5617449084886046E-2"/>
    <n v="5.5799937247593905E-2"/>
    <n v="5.9761077977453683E-2"/>
    <n v="3.5850518613387825E-2"/>
    <n v="0.23227293121139037"/>
    <n v="11620.532441749217"/>
    <n v="648.42498103323555"/>
    <n v="416.60211460040739"/>
    <n v="2699.1351324821462"/>
    <n v="13.6"/>
    <n v="8818.579742052003"/>
    <n v="5665.7887585655408"/>
    <n v="36708.23780175719"/>
  </r>
  <r>
    <x v="6"/>
    <x v="0"/>
    <x v="3"/>
    <x v="3"/>
    <x v="1"/>
    <n v="0.24503178422695279"/>
    <n v="0.22139826455746445"/>
    <n v="9.3169826467921713E-2"/>
    <n v="0.14027506602982681"/>
    <n v="0.41891002591890503"/>
    <n v="10426.249929785692"/>
    <n v="2308.3536402969376"/>
    <n v="1462.5428973441651"/>
    <n v="4367.660628323506"/>
    <n v="12.6"/>
    <n v="29085.255867741413"/>
    <n v="18428.040506536479"/>
    <n v="55032.523916876176"/>
  </r>
  <r>
    <x v="6"/>
    <x v="0"/>
    <x v="4"/>
    <x v="4"/>
    <x v="1"/>
    <n v="0.16925023084754404"/>
    <n v="0.16673960425285667"/>
    <n v="3.880618477657212E-2"/>
    <n v="0.10825856734274661"/>
    <n v="0.23412628848717038"/>
    <n v="3638.4716528861413"/>
    <n v="606.67732348747245"/>
    <n v="393.89572845864888"/>
    <n v="851.86186385601241"/>
    <n v="12.6"/>
    <n v="7644.1342759421523"/>
    <n v="4963.0861785789757"/>
    <n v="10733.459484585755"/>
  </r>
  <r>
    <x v="6"/>
    <x v="0"/>
    <x v="5"/>
    <x v="5"/>
    <x v="1"/>
    <n v="9.6049208820309123E-2"/>
    <n v="8.063385146771497E-2"/>
    <n v="4.0014341360169514E-2"/>
    <n v="5.6607447230391288E-2"/>
    <n v="0.18333347765720545"/>
    <n v="18478.658866613743"/>
    <n v="1490.0054343731069"/>
    <n v="1046.0297066802395"/>
    <n v="3387.7567924574519"/>
    <n v="12.6"/>
    <n v="18774.068473101146"/>
    <n v="13179.974304171017"/>
    <n v="42685.735584963892"/>
  </r>
  <r>
    <x v="7"/>
    <x v="0"/>
    <x v="0"/>
    <x v="0"/>
    <x v="1"/>
    <n v="0.19334554600143763"/>
    <n v="0.19204153900273002"/>
    <n v="1.5817101305637671E-2"/>
    <n v="0.17015079076981476"/>
    <n v="0.22153952128045462"/>
    <n v="26709.392178515798"/>
    <n v="5129.3127797896541"/>
    <n v="4544.6242001555684"/>
    <n v="5917.1859569203089"/>
    <n v="11.2"/>
    <n v="57448.30313364412"/>
    <n v="50899.791041742363"/>
    <n v="66272.482717507461"/>
  </r>
  <r>
    <x v="7"/>
    <x v="0"/>
    <x v="1"/>
    <x v="1"/>
    <x v="1"/>
    <n v="3.7042118726324032E-3"/>
    <n v="2.0250927152073118E-3"/>
    <n v="3.9118718504905165E-3"/>
    <n v="9.4825543828373055E-4"/>
    <n v="1.3292194265810572E-2"/>
    <n v="6005.7686320795974"/>
    <n v="12.162238306044975"/>
    <n v="5.6950027664433192"/>
    <n v="79.82984337311342"/>
    <n v="19.399999999999999"/>
    <n v="235.94742313727249"/>
    <n v="110.48305366900038"/>
    <n v="1548.6989614384001"/>
  </r>
  <r>
    <x v="7"/>
    <x v="0"/>
    <x v="2"/>
    <x v="2"/>
    <x v="1"/>
    <n v="0.15015765570185899"/>
    <n v="0.14821783220864465"/>
    <n v="3.0366791846684647E-2"/>
    <n v="0.10210558694279045"/>
    <n v="0.20331565098789553"/>
    <n v="17333.456457881595"/>
    <n v="2569.1273408701422"/>
    <n v="1769.842745379302"/>
    <n v="3524.1629836045381"/>
    <n v="11.6"/>
    <n v="29801.87715409365"/>
    <n v="20530.175846399903"/>
    <n v="40880.29060981264"/>
  </r>
  <r>
    <x v="7"/>
    <x v="0"/>
    <x v="3"/>
    <x v="3"/>
    <x v="1"/>
    <n v="0.24523228696171093"/>
    <n v="0.24161978813928242"/>
    <n v="3.8710417496664443E-2"/>
    <n v="0.18816702985155254"/>
    <n v="0.3135800332282338"/>
    <n v="12219.309701172027"/>
    <n v="2952.4270212054635"/>
    <n v="2299.2712133058026"/>
    <n v="3831.731542119604"/>
    <n v="11.6"/>
    <n v="34248.153445983378"/>
    <n v="26671.546074347309"/>
    <n v="44448.085888587404"/>
  </r>
  <r>
    <x v="7"/>
    <x v="0"/>
    <x v="4"/>
    <x v="4"/>
    <x v="1"/>
    <n v="4.9688422757716202E-3"/>
    <n v="4.7215802496159793E-3"/>
    <n v="1.1211075652277096E-3"/>
    <n v="3.579389550658319E-3"/>
    <n v="7.0577272483722166E-3"/>
    <n v="24378.087275025355"/>
    <n v="115.10309540117434"/>
    <n v="87.258670857262288"/>
    <n v="172.05389082414246"/>
    <n v="10.9"/>
    <n v="1254.6237398728003"/>
    <n v="951.11951234415892"/>
    <n v="1875.3874099831528"/>
  </r>
  <r>
    <x v="7"/>
    <x v="0"/>
    <x v="5"/>
    <x v="5"/>
    <x v="1"/>
    <n v="5.9950867652771474E-3"/>
    <n v="5.3922679403238562E-3"/>
    <n v="2.3612762335199506E-3"/>
    <n v="3.2535578149322968E-3"/>
    <n v="1.0694734297099471E-2"/>
    <n v="28396.111726234154"/>
    <n v="153.11944289122675"/>
    <n v="92.388391220579763"/>
    <n v="303.68886998282488"/>
    <n v="11.5"/>
    <n v="1760.8735932491077"/>
    <n v="1062.4664990366673"/>
    <n v="3492.4220048024863"/>
  </r>
  <r>
    <x v="8"/>
    <x v="0"/>
    <x v="0"/>
    <x v="0"/>
    <x v="1"/>
    <n v="5.8622268121275353E-3"/>
    <n v="4.1414639788384579E-3"/>
    <n v="4.8402642693663976E-3"/>
    <n v="3.001791128363439E-3"/>
    <n v="1.9360922113982028E-2"/>
    <n v="20710.167560200389"/>
    <n v="85.770412946278668"/>
    <n v="62.167597249129813"/>
    <n v="400.96794110055691"/>
    <n v="16"/>
    <n v="1372.3266071404587"/>
    <n v="994.681555986077"/>
    <n v="6415.4870576089106"/>
  </r>
  <r>
    <x v="8"/>
    <x v="0"/>
    <x v="1"/>
    <x v="1"/>
    <x v="1"/>
    <n v="1.5184562548149906E-2"/>
    <n v="1.3727788988184492E-2"/>
    <n v="5.6351174589603986E-3"/>
    <n v="9.7238576245295659E-3"/>
    <n v="2.7505621922670032E-2"/>
    <n v="12937.515211791189"/>
    <n v="177.60347885889644"/>
    <n v="125.802555934643"/>
    <n v="355.85440203432074"/>
    <n v="15.2"/>
    <n v="2699.5728786552258"/>
    <n v="1912.1988502065735"/>
    <n v="5408.9869109216752"/>
  </r>
  <r>
    <x v="8"/>
    <x v="0"/>
    <x v="2"/>
    <x v="2"/>
    <x v="1"/>
    <n v="0.52584448887725721"/>
    <n v="0.50443851518591021"/>
    <n v="0.13846954577092449"/>
    <n v="0.3330968502550119"/>
    <n v="0.77475298907341539"/>
    <n v="10953.043037802479"/>
    <n v="5525.1367667564537"/>
    <n v="3648.4241365995931"/>
    <n v="8485.9028329872326"/>
    <n v="12.6"/>
    <n v="69616.723261131308"/>
    <n v="45970.144121154874"/>
    <n v="106922.37569563913"/>
  </r>
  <r>
    <x v="8"/>
    <x v="0"/>
    <x v="3"/>
    <x v="3"/>
    <x v="1"/>
    <n v="0.11560276701427423"/>
    <n v="0.10989677407284135"/>
    <n v="5.1644007595457744E-2"/>
    <n v="4.2922910890592483E-2"/>
    <n v="0.20663823494923067"/>
    <n v="5346.4592453380883"/>
    <n v="587.55862377457379"/>
    <n v="229.48559376783109"/>
    <n v="1104.7829016846583"/>
    <n v="4.0999999999999996"/>
    <n v="2408.9903574757523"/>
    <n v="940.89093444810737"/>
    <n v="4529.609896907099"/>
  </r>
  <r>
    <x v="8"/>
    <x v="0"/>
    <x v="4"/>
    <x v="4"/>
    <x v="1"/>
    <n v="0.13958515751941605"/>
    <n v="6.897964610021419E-2"/>
    <n v="0.28676010803144075"/>
    <n v="5.1237694860886168E-2"/>
    <n v="1.0832897959380876"/>
    <n v="13991.101427824766"/>
    <n v="965.10122504355377"/>
    <n v="716.87178572659411"/>
    <n v="15156.417410697377"/>
    <n v="11.6"/>
    <n v="11195.174210505224"/>
    <n v="8315.7127144284914"/>
    <n v="175814.44196408958"/>
  </r>
  <r>
    <x v="8"/>
    <x v="0"/>
    <x v="5"/>
    <x v="5"/>
    <x v="1"/>
    <n v="2.9209475275453943E-2"/>
    <n v="1.8777124551072704E-2"/>
    <n v="2.3533731247991616E-2"/>
    <n v="8.7977820835280374E-3"/>
    <n v="7.6175973880173373E-2"/>
    <n v="6966.102651973556"/>
    <n v="130.80337713166534"/>
    <n v="61.286253103550102"/>
    <n v="530.64965366334411"/>
    <n v="11.6"/>
    <n v="1517.3191747273179"/>
    <n v="710.92053600118118"/>
    <n v="6155.5359824947918"/>
  </r>
  <r>
    <x v="8"/>
    <x v="0"/>
    <x v="6"/>
    <x v="6"/>
    <x v="1"/>
    <n v="1.3003348687654239E-2"/>
    <n v="1.2755167923229862E-2"/>
    <n v="4.0002115797094619E-3"/>
    <n v="6.7084986470144501E-3"/>
    <n v="2.0726717168338026E-2"/>
    <n v="2532.5333267390947"/>
    <n v="32.302887853733111"/>
    <n v="16.989496395948223"/>
    <n v="52.491101982711413"/>
    <n v="19.100000000000001"/>
    <n v="616.98515800630241"/>
    <n v="324.49938116261109"/>
    <n v="1002.580047869788"/>
  </r>
  <r>
    <x v="8"/>
    <x v="0"/>
    <x v="7"/>
    <x v="7"/>
    <x v="1"/>
    <n v="2.8853490071401307E-2"/>
    <n v="2.8664781476841386E-2"/>
    <n v="8.827453619413379E-3"/>
    <n v="1.5806346434638387E-2"/>
    <n v="4.3623163738825535E-2"/>
    <n v="13775.148973606703"/>
    <n v="394.86163513937208"/>
    <n v="217.73477686558095"/>
    <n v="600.91557920235971"/>
    <n v="13.2"/>
    <n v="5212.1735838397108"/>
    <n v="2874.0990546256685"/>
    <n v="7932.0856454711475"/>
  </r>
  <r>
    <x v="8"/>
    <x v="0"/>
    <x v="8"/>
    <x v="8"/>
    <x v="1"/>
    <n v="6.3344536944064361E-2"/>
    <n v="5.6354871010670382E-2"/>
    <n v="2.3378192723356173E-2"/>
    <n v="3.8597410773730377E-2"/>
    <n v="0.11619566249259854"/>
    <n v="5560.7756961151053"/>
    <n v="313.37679707383757"/>
    <n v="214.6315437635312"/>
    <n v="646.13801598283544"/>
    <n v="15.6"/>
    <n v="4888.6780343518658"/>
    <n v="3348.2520827110866"/>
    <n v="10079.753049332232"/>
  </r>
  <r>
    <x v="8"/>
    <x v="0"/>
    <x v="9"/>
    <x v="9"/>
    <x v="1"/>
    <n v="0.14903983196873805"/>
    <n v="0.14501489539831192"/>
    <n v="2.49727628176463E-2"/>
    <n v="0.11656132496382843"/>
    <n v="0.19746788825331041"/>
    <n v="10828.706776282988"/>
    <n v="1570.323780461669"/>
    <n v="1262.2084094883323"/>
    <n v="2138.3218596269144"/>
    <n v="12.1"/>
    <n v="19000.917743586193"/>
    <n v="15272.721754808821"/>
    <n v="25873.694501485665"/>
  </r>
  <r>
    <x v="8"/>
    <x v="0"/>
    <x v="10"/>
    <x v="10"/>
    <x v="1"/>
    <m/>
    <m/>
    <m/>
    <m/>
    <m/>
    <m/>
    <n v="0"/>
    <n v="0"/>
    <n v="0"/>
    <m/>
    <n v="0"/>
    <n v="0"/>
    <n v="0"/>
  </r>
  <r>
    <x v="8"/>
    <x v="0"/>
    <x v="11"/>
    <x v="11"/>
    <x v="2"/>
    <m/>
    <m/>
    <m/>
    <m/>
    <m/>
    <m/>
    <n v="0"/>
    <n v="0"/>
    <n v="0"/>
    <m/>
    <n v="0"/>
    <n v="0"/>
    <n v="0"/>
  </r>
  <r>
    <x v="8"/>
    <x v="0"/>
    <x v="12"/>
    <x v="12"/>
    <x v="1"/>
    <n v="0.20314106352534064"/>
    <n v="0.17352071700362656"/>
    <n v="0.10790203539542109"/>
    <n v="8.5912145363866696E-2"/>
    <n v="0.40233240647232482"/>
    <n v="5410.2633795388801"/>
    <n v="938.79278079605024"/>
    <n v="464.80733391974894"/>
    <n v="2176.7242851389706"/>
    <n v="11.6"/>
    <n v="10889.996257234183"/>
    <n v="5391.7650734690878"/>
    <n v="25250.001707612057"/>
  </r>
  <r>
    <x v="9"/>
    <x v="0"/>
    <x v="0"/>
    <x v="0"/>
    <x v="1"/>
    <n v="6.7286033629636961E-3"/>
    <n v="5.6372691502914116E-3"/>
    <n v="3.4160077895843783E-3"/>
    <n v="4.1338005370532942E-3"/>
    <n v="1.4877100416514417E-2"/>
    <n v="21727.53118530977"/>
    <n v="122.48394126294136"/>
    <n v="89.817280082675722"/>
    <n v="323.24266324680195"/>
    <n v="11.2"/>
    <n v="1371.820142144943"/>
    <n v="1005.953536925968"/>
    <n v="3620.3178283641814"/>
  </r>
  <r>
    <x v="9"/>
    <x v="0"/>
    <x v="1"/>
    <x v="1"/>
    <x v="1"/>
    <n v="1.7034098755724123E-2"/>
    <n v="1.5732487936215522E-2"/>
    <n v="8.0328251325464829E-3"/>
    <n v="6.8194970043115814E-3"/>
    <n v="3.2371140377338417E-2"/>
    <n v="11555.924996488471"/>
    <n v="181.80345059906628"/>
    <n v="78.805595895602451"/>
    <n v="374.07847025132224"/>
    <n v="6.6"/>
    <n v="1199.9027739538374"/>
    <n v="520.11693291097617"/>
    <n v="2468.9179036587266"/>
  </r>
  <r>
    <x v="9"/>
    <x v="0"/>
    <x v="2"/>
    <x v="2"/>
    <x v="1"/>
    <n v="0.15637788808116776"/>
    <n v="0.15381938708501156"/>
    <n v="1.9567124938122002E-2"/>
    <n v="0.13146775454416593"/>
    <n v="0.19419433287624402"/>
    <n v="8875.6810357629201"/>
    <n v="1365.251816883113"/>
    <n v="1166.8658558219879"/>
    <n v="1723.6069575623108"/>
    <n v="11.1"/>
    <n v="15154.295167402553"/>
    <n v="12952.210999624065"/>
    <n v="19132.037228941648"/>
  </r>
  <r>
    <x v="10"/>
    <x v="1"/>
    <x v="13"/>
    <x v="3"/>
    <x v="2"/>
    <m/>
    <m/>
    <m/>
    <m/>
    <m/>
    <m/>
    <m/>
    <m/>
    <m/>
    <m/>
    <m/>
    <n v="0"/>
    <n v="0"/>
  </r>
  <r>
    <x v="9"/>
    <x v="0"/>
    <x v="4"/>
    <x v="4"/>
    <x v="1"/>
    <n v="9.9051799515496211E-2"/>
    <n v="9.6084769952419602E-2"/>
    <n v="1.1636825983047825E-2"/>
    <n v="8.5277655800826663E-2"/>
    <n v="0.12363299653960805"/>
    <n v="12042.09009683687"/>
    <n v="1157.0614567008809"/>
    <n v="1026.921214400598"/>
    <n v="1488.7996832718811"/>
    <n v="16.899999999999999"/>
    <n v="19554.338618244885"/>
    <n v="17354.968523370106"/>
    <n v="25160.71464729479"/>
  </r>
  <r>
    <x v="9"/>
    <x v="0"/>
    <x v="5"/>
    <x v="5"/>
    <x v="1"/>
    <n v="4.8179383564428073E-2"/>
    <n v="4.7727728264524615E-2"/>
    <n v="4.8009131692554009E-3"/>
    <n v="4.1227945478978581E-2"/>
    <n v="5.6779578671171935E-2"/>
    <n v="7874.607443882147"/>
    <n v="375.83712427140989"/>
    <n v="324.65388636473205"/>
    <n v="447.11689286450252"/>
    <n v="12.7"/>
    <n v="4773.1314782469053"/>
    <n v="4123.1043568320965"/>
    <n v="5678.3845393791817"/>
  </r>
  <r>
    <x v="9"/>
    <x v="0"/>
    <x v="6"/>
    <x v="6"/>
    <x v="1"/>
    <n v="4.5520943490250147E-2"/>
    <n v="4.4888161446463598E-2"/>
    <n v="9.6494612151748812E-3"/>
    <n v="3.0697420165893358E-2"/>
    <n v="6.2323698903622021E-2"/>
    <n v="3143.2289068933196"/>
    <n v="141.09376663581864"/>
    <n v="96.489018432485921"/>
    <n v="195.89765197838022"/>
    <n v="12.7"/>
    <n v="1791.8908362748966"/>
    <n v="1225.4105340925712"/>
    <n v="2487.9001801254285"/>
  </r>
  <r>
    <x v="9"/>
    <x v="0"/>
    <x v="7"/>
    <x v="7"/>
    <x v="1"/>
    <n v="2.8372660377824623E-2"/>
    <n v="2.8201529731948151E-2"/>
    <n v="2.9558489846882498E-3"/>
    <n v="2.400364747173107E-2"/>
    <n v="3.3606246578110399E-2"/>
    <n v="14985.197005970756"/>
    <n v="422.60547890298471"/>
    <n v="359.69938622576194"/>
    <n v="503.59622560421491"/>
    <n v="15.9"/>
    <n v="6719.4271145574567"/>
    <n v="5719.2202409896154"/>
    <n v="8007.179987107017"/>
  </r>
  <r>
    <x v="9"/>
    <x v="0"/>
    <x v="8"/>
    <x v="8"/>
    <x v="1"/>
    <n v="6.6113801044227719E-2"/>
    <n v="6.5565720996550739E-2"/>
    <n v="8.7687298072278361E-3"/>
    <n v="5.252416490334437E-2"/>
    <n v="8.1414682695005042E-2"/>
    <n v="7110.1259590049967"/>
    <n v="466.18053487845435"/>
    <n v="373.45342835432797"/>
    <n v="578.86864887391027"/>
    <n v="10.4"/>
    <n v="4848.2775627359251"/>
    <n v="3883.915654885011"/>
    <n v="6020.2339482886673"/>
  </r>
  <r>
    <x v="9"/>
    <x v="0"/>
    <x v="9"/>
    <x v="9"/>
    <x v="1"/>
    <n v="0.16313012413424868"/>
    <n v="0.16118339617056293"/>
    <n v="1.9872212925697512E-2"/>
    <n v="0.13380260081587092"/>
    <n v="0.2004529893262845"/>
    <n v="11841.968099077438"/>
    <n v="1908.7286355527667"/>
    <n v="1584.4861304351361"/>
    <n v="2373.757904966571"/>
    <n v="13.3"/>
    <n v="25386.090852851798"/>
    <n v="21073.665534787313"/>
    <n v="31570.980136055397"/>
  </r>
  <r>
    <x v="9"/>
    <x v="0"/>
    <x v="10"/>
    <x v="10"/>
    <x v="1"/>
    <n v="2.8599368926743285E-3"/>
    <n v="2.8052675600579767E-3"/>
    <n v="5.8113736890884544E-4"/>
    <n v="1.9830623034390324E-3"/>
    <n v="3.9199913306715512E-3"/>
    <n v="12208.214535131379"/>
    <n v="34.247308201632329"/>
    <n v="24.209650036915509"/>
    <n v="47.856095140693427"/>
    <n v="13.3"/>
    <n v="455.48919908171001"/>
    <n v="321.98834549097626"/>
    <n v="636.48606537122259"/>
  </r>
  <r>
    <x v="9"/>
    <x v="0"/>
    <x v="11"/>
    <x v="11"/>
    <x v="1"/>
    <n v="5.1425398840402312E-4"/>
    <n v="4.9411255569929225E-4"/>
    <n v="1.2944827979247974E-4"/>
    <n v="3.3453465639280246E-4"/>
    <n v="7.6013461464659489E-4"/>
    <n v="23285.2375462481"/>
    <n v="11.505528234041766"/>
    <n v="7.789718941558891"/>
    <n v="17.699915069171723"/>
    <n v="12.9"/>
    <n v="148.42131421913879"/>
    <n v="100.4873743461097"/>
    <n v="228.32890439231522"/>
  </r>
  <r>
    <x v="9"/>
    <x v="0"/>
    <x v="12"/>
    <x v="12"/>
    <x v="1"/>
    <n v="3.0157177292140899E-2"/>
    <n v="2.818948568637809E-2"/>
    <n v="8.9930683635805215E-3"/>
    <n v="2.1601340926576673E-2"/>
    <n v="5.0709921282438342E-2"/>
    <n v="4906.4659682331812"/>
    <n v="138.31075218221048"/>
    <n v="105.98624412445106"/>
    <n v="248.80650302406724"/>
    <n v="17.8"/>
    <n v="2461.9313888433467"/>
    <n v="1886.5551454152289"/>
    <n v="4428.7557538283972"/>
  </r>
  <r>
    <x v="11"/>
    <x v="0"/>
    <x v="0"/>
    <x v="0"/>
    <x v="2"/>
    <m/>
    <m/>
    <m/>
    <m/>
    <m/>
    <m/>
    <m/>
    <m/>
    <m/>
    <m/>
    <m/>
    <n v="0"/>
    <n v="0"/>
  </r>
  <r>
    <x v="11"/>
    <x v="0"/>
    <x v="1"/>
    <x v="1"/>
    <x v="1"/>
    <n v="0.15121700355972029"/>
    <n v="0.14602584407140676"/>
    <n v="3.615106370434177E-2"/>
    <n v="0.10185375546953773"/>
    <n v="0.21696693186434438"/>
    <n v="12937.515211791189"/>
    <n v="1889.2115789884731"/>
    <n v="1317.7345107652045"/>
    <n v="2807.0129814506181"/>
    <n v="14.7"/>
    <n v="27771.410211130555"/>
    <n v="19370.697308248506"/>
    <n v="41263.090827324086"/>
  </r>
  <r>
    <x v="11"/>
    <x v="0"/>
    <x v="2"/>
    <x v="2"/>
    <x v="1"/>
    <n v="0.44316723881301839"/>
    <n v="0.39386443575796543"/>
    <n v="0.15923088351191014"/>
    <n v="0.27816643695364029"/>
    <n v="0.78461339500482041"/>
    <n v="10953.043037802479"/>
    <n v="4314.0141159167852"/>
    <n v="3046.7689556253922"/>
    <n v="8593.9042835241144"/>
    <n v="8.4"/>
    <n v="36237.718573701"/>
    <n v="25592.859227253295"/>
    <n v="72188.795981602569"/>
  </r>
  <r>
    <x v="11"/>
    <x v="0"/>
    <x v="3"/>
    <x v="3"/>
    <x v="2"/>
    <m/>
    <m/>
    <m/>
    <m/>
    <m/>
    <m/>
    <m/>
    <m/>
    <m/>
    <m/>
    <m/>
    <n v="0"/>
    <n v="0"/>
  </r>
  <r>
    <x v="11"/>
    <x v="0"/>
    <x v="4"/>
    <x v="4"/>
    <x v="1"/>
    <n v="8.9396778957507764E-2"/>
    <n v="7.9135672321662215E-2"/>
    <n v="2.5591415321087115E-2"/>
    <n v="6.6592267016809231E-2"/>
    <n v="0.14879322613290324"/>
    <n v="13991.101427824766"/>
    <n v="1107.1952180114811"/>
    <n v="931.6991621409677"/>
    <n v="2081.7811185987157"/>
    <n v="13.2"/>
    <n v="14614.976877751549"/>
    <n v="12298.428940260774"/>
    <n v="27479.510765503044"/>
  </r>
  <r>
    <x v="11"/>
    <x v="0"/>
    <x v="5"/>
    <x v="5"/>
    <x v="1"/>
    <n v="8.3374207940841369E-2"/>
    <n v="7.8671876392375689E-2"/>
    <n v="1.8288481350023356E-2"/>
    <n v="6.3372125342097921E-2"/>
    <n v="0.12209406280070939"/>
    <n v="6966.102651973556"/>
    <n v="548.03636677266411"/>
    <n v="441.45673040678895"/>
    <n v="850.5197746662476"/>
    <n v="13.2"/>
    <n v="7234.0800413991656"/>
    <n v="5827.2288413696142"/>
    <n v="11226.861025594468"/>
  </r>
  <r>
    <x v="11"/>
    <x v="0"/>
    <x v="6"/>
    <x v="6"/>
    <x v="1"/>
    <n v="5.6304687703999691E-2"/>
    <n v="4.2348945751919297E-2"/>
    <n v="6.3903208602128114E-2"/>
    <n v="3.0589445220539468E-2"/>
    <n v="6.429767481686946E-2"/>
    <n v="2532.5333267390947"/>
    <n v="107.25011646900163"/>
    <n v="77.468789467476114"/>
    <n v="162.83600430555492"/>
    <n v="13.2"/>
    <n v="1415.7015373908214"/>
    <n v="1022.5880209706846"/>
    <n v="2149.4352568333247"/>
  </r>
  <r>
    <x v="11"/>
    <x v="0"/>
    <x v="7"/>
    <x v="7"/>
    <x v="1"/>
    <n v="3.5582634195367412E-2"/>
    <n v="2.8140496494571447E-2"/>
    <n v="2.13415495235591E-2"/>
    <n v="1.1644534491726848E-2"/>
    <n v="7.5881900702536115E-2"/>
    <n v="13775.148973606703"/>
    <n v="387.63953140397888"/>
    <n v="160.40519735183895"/>
    <n v="1045.2844865778661"/>
    <n v="15.4"/>
    <n v="5969.6487836212746"/>
    <n v="2470.2400392183199"/>
    <n v="16097.381093299138"/>
  </r>
  <r>
    <x v="11"/>
    <x v="0"/>
    <x v="8"/>
    <x v="8"/>
    <x v="1"/>
    <n v="4.9987708054311325E-2"/>
    <n v="4.9214798438026119E-2"/>
    <n v="8.2486900723307954E-3"/>
    <n v="3.7519817954120072E-2"/>
    <n v="6.4540257020729103E-2"/>
    <n v="5560.7756961151053"/>
    <n v="273.67245504337927"/>
    <n v="208.63929180193406"/>
    <n v="358.89389266189266"/>
    <n v="15.4"/>
    <n v="4214.5558076680409"/>
    <n v="3213.0450937497849"/>
    <n v="5526.9659469931476"/>
  </r>
  <r>
    <x v="11"/>
    <x v="0"/>
    <x v="9"/>
    <x v="9"/>
    <x v="1"/>
    <n v="6.7005195365554437E-2"/>
    <n v="6.4049435342417194E-2"/>
    <n v="1.2955569409946039E-2"/>
    <n v="5.1226832586902686E-2"/>
    <n v="9.2798517535789993E-2"/>
    <n v="10828.706776282988"/>
    <n v="693.57255450953221"/>
    <n v="554.72034916130735"/>
    <n v="1004.8879356688249"/>
    <n v="15.4"/>
    <n v="10681.017339446797"/>
    <n v="8542.6933770841333"/>
    <n v="15475.274209299903"/>
  </r>
  <r>
    <x v="11"/>
    <x v="0"/>
    <x v="10"/>
    <x v="10"/>
    <x v="2"/>
    <m/>
    <m/>
    <m/>
    <m/>
    <m/>
    <m/>
    <m/>
    <m/>
    <m/>
    <m/>
    <m/>
    <n v="0"/>
    <n v="0"/>
  </r>
  <r>
    <x v="11"/>
    <x v="0"/>
    <x v="11"/>
    <x v="11"/>
    <x v="2"/>
    <m/>
    <m/>
    <m/>
    <m/>
    <m/>
    <m/>
    <m/>
    <m/>
    <m/>
    <m/>
    <m/>
    <n v="0"/>
    <n v="0"/>
  </r>
  <r>
    <x v="11"/>
    <x v="0"/>
    <x v="12"/>
    <x v="12"/>
    <x v="2"/>
    <m/>
    <n v="0"/>
    <n v="0"/>
    <n v="0"/>
    <n v="0"/>
    <m/>
    <n v="0"/>
    <n v="0"/>
    <n v="0"/>
    <n v="15.9"/>
    <n v="0"/>
    <n v="0"/>
    <n v="0"/>
  </r>
  <r>
    <x v="12"/>
    <x v="0"/>
    <x v="0"/>
    <x v="0"/>
    <x v="1"/>
    <n v="4.0619747694862268E-3"/>
    <n v="3.851761924480199E-3"/>
    <n v="9.9553345124334157E-4"/>
    <n v="2.8273931803865235E-3"/>
    <n v="6.0205762492076187E-3"/>
    <n v="20710.167560200389"/>
    <n v="79.770634857984831"/>
    <n v="58.555786524372785"/>
    <n v="124.68714293005256"/>
    <n v="9.8000000000000007"/>
    <n v="781.75222160825138"/>
    <n v="573.84670793885334"/>
    <n v="1221.9340007145152"/>
  </r>
  <r>
    <x v="12"/>
    <x v="0"/>
    <x v="1"/>
    <x v="1"/>
    <x v="1"/>
    <n v="0.23055732501273593"/>
    <n v="0.17451064979952424"/>
    <n v="0.15751662542512318"/>
    <n v="0.12420085984730847"/>
    <n v="0.62583761641580848"/>
    <n v="12937.515211791189"/>
    <n v="2257.7341864009099"/>
    <n v="1606.8505135920989"/>
    <n v="8096.7836824906617"/>
    <n v="8.5"/>
    <n v="19190.740584407733"/>
    <n v="13658.229365532841"/>
    <n v="68822.661301170621"/>
  </r>
  <r>
    <x v="12"/>
    <x v="0"/>
    <x v="2"/>
    <x v="2"/>
    <x v="1"/>
    <n v="0.48858352211529038"/>
    <n v="0.48203284556356152"/>
    <n v="5.9483274677867119E-2"/>
    <n v="0.40789695545643145"/>
    <n v="0.59416292051892727"/>
    <n v="10953.043037802479"/>
    <n v="5279.7265030920853"/>
    <n v="4467.7129081028943"/>
    <n v="6507.8920399102244"/>
    <n v="10.4"/>
    <n v="54909.155632157686"/>
    <n v="46464.214244270101"/>
    <n v="67682.07721506634"/>
  </r>
  <r>
    <x v="12"/>
    <x v="0"/>
    <x v="3"/>
    <x v="3"/>
    <x v="1"/>
    <n v="0.11522592139256951"/>
    <n v="9.0539877571639615E-2"/>
    <n v="9.1971975919180007E-2"/>
    <n v="4.0517867938527533E-2"/>
    <n v="0.27110477842326797"/>
    <n v="5346.4592453380883"/>
    <n v="484.06776551467124"/>
    <n v="216.62712964132822"/>
    <n v="1449.4506490564149"/>
    <n v="8.3000000000000007"/>
    <n v="4017.7624537717716"/>
    <n v="1798.0051760230244"/>
    <n v="12030.440387168244"/>
  </r>
  <r>
    <x v="12"/>
    <x v="0"/>
    <x v="4"/>
    <x v="4"/>
    <x v="1"/>
    <n v="6.28637965272687E-2"/>
    <n v="6.2704856298808523E-2"/>
    <n v="4.6544421588200985E-3"/>
    <n v="5.5438389152064685E-2"/>
    <n v="7.0854420671602331E-2"/>
    <n v="13991.101427824766"/>
    <n v="877.31000449380667"/>
    <n v="775.64412562175721"/>
    <n v="991.33138622615195"/>
    <n v="13.8"/>
    <n v="12106.878062014533"/>
    <n v="10703.888933580251"/>
    <n v="13680.373129920898"/>
  </r>
  <r>
    <x v="12"/>
    <x v="0"/>
    <x v="5"/>
    <x v="5"/>
    <x v="1"/>
    <n v="0.2296340281408141"/>
    <n v="0.22626198056104302"/>
    <n v="3.0002222075404161E-2"/>
    <n v="0.18675858687811736"/>
    <n v="0.28377610565455036"/>
    <n v="6966.102651973556"/>
    <n v="1576.164182827071"/>
    <n v="1300.979487330487"/>
    <n v="1976.8134821668914"/>
    <n v="12.7"/>
    <n v="20017.285121903802"/>
    <n v="16522.439489097185"/>
    <n v="25105.53122351952"/>
  </r>
  <r>
    <x v="12"/>
    <x v="0"/>
    <x v="6"/>
    <x v="6"/>
    <x v="1"/>
    <n v="1.4682866892843404E-2"/>
    <n v="1.4687873022295619E-2"/>
    <n v="3.3269910523013842E-3"/>
    <n v="9.0049228522342713E-3"/>
    <n v="2.0349780594243437E-2"/>
    <n v="2532.5333267390947"/>
    <n v="37.197527927875726"/>
    <n v="22.805267227997756"/>
    <n v="51.536497546750006"/>
    <n v="12.7"/>
    <n v="472.40860468402167"/>
    <n v="289.6268937955715"/>
    <n v="654.51351884372502"/>
  </r>
  <r>
    <x v="12"/>
    <x v="0"/>
    <x v="7"/>
    <x v="7"/>
    <x v="1"/>
    <n v="1.286660968187384E-2"/>
    <n v="1.0067769792160536E-2"/>
    <n v="7.5746213845690235E-3"/>
    <n v="8.2694468631924131E-3"/>
    <n v="3.1600840798144875E-2"/>
    <n v="13775.148973606703"/>
    <n v="138.68502871898878"/>
    <n v="113.91286246980015"/>
    <n v="435.30628968567419"/>
    <n v="14.7"/>
    <n v="2038.6699221691349"/>
    <n v="1674.5190783060621"/>
    <n v="6399.0024583794102"/>
  </r>
  <r>
    <x v="12"/>
    <x v="0"/>
    <x v="8"/>
    <x v="8"/>
    <x v="1"/>
    <n v="5.4564304416470193E-2"/>
    <n v="5.0515392740935798E-2"/>
    <n v="1.6723013317748031E-2"/>
    <n v="3.5151921503239217E-2"/>
    <n v="8.7733582685122852E-2"/>
    <n v="5560.7756961151053"/>
    <n v="280.90476823350519"/>
    <n v="195.4719507669586"/>
    <n v="487.86677432853617"/>
    <n v="11.4"/>
    <n v="3202.3143578619593"/>
    <n v="2228.3802387433279"/>
    <n v="5561.6812273453124"/>
  </r>
  <r>
    <x v="12"/>
    <x v="0"/>
    <x v="9"/>
    <x v="9"/>
    <x v="1"/>
    <n v="5.9437690542769324E-2"/>
    <n v="5.682282491735819E-2"/>
    <n v="1.2258617696142194E-2"/>
    <n v="4.4157643351643287E-2"/>
    <n v="8.3246466472479075E-2"/>
    <n v="10828.706776282988"/>
    <n v="615.31770923013846"/>
    <n v="478.17017178662712"/>
    <n v="901.45157559214874"/>
    <n v="11.8"/>
    <n v="7260.7489689156346"/>
    <n v="5642.4080270822005"/>
    <n v="10637.128591987355"/>
  </r>
  <r>
    <x v="12"/>
    <x v="0"/>
    <x v="10"/>
    <x v="10"/>
    <x v="1"/>
    <n v="9.3607832857788421E-4"/>
    <n v="7.1337551774562679E-4"/>
    <n v="7.9608036959775725E-4"/>
    <n v="4.4575820180093749E-4"/>
    <n v="3.0211629878421709E-3"/>
    <n v="11753.048720473937"/>
    <n v="8.3843372160576717"/>
    <n v="5.2390178633172715"/>
    <n v="35.507875788601645"/>
    <n v="11.8"/>
    <n v="98.935179149480533"/>
    <n v="61.820410787143807"/>
    <n v="418.99293430549943"/>
  </r>
  <r>
    <x v="12"/>
    <x v="0"/>
    <x v="11"/>
    <x v="11"/>
    <x v="2"/>
    <m/>
    <n v="0"/>
    <n v="0"/>
    <n v="0"/>
    <n v="0"/>
    <m/>
    <n v="0"/>
    <n v="0"/>
    <n v="0"/>
    <n v="11.8"/>
    <n v="0"/>
    <n v="0"/>
    <n v="0"/>
  </r>
  <r>
    <x v="12"/>
    <x v="0"/>
    <x v="12"/>
    <x v="12"/>
    <x v="1"/>
    <n v="2.2239278296399597E-2"/>
    <n v="1.4237372838306818E-2"/>
    <n v="2.7820924983605364E-2"/>
    <n v="1.0387984741762904E-2"/>
    <n v="5.4302856931748994E-2"/>
    <n v="5410.2633795388801"/>
    <n v="77.02793688793291"/>
    <n v="56.201733435568492"/>
    <n v="293.7927582621806"/>
    <n v="13.8"/>
    <n v="1062.9855290534742"/>
    <n v="775.58392141084528"/>
    <n v="4054.3400640180926"/>
  </r>
  <r>
    <x v="13"/>
    <x v="0"/>
    <x v="0"/>
    <x v="0"/>
    <x v="1"/>
    <n v="0.15190086662369928"/>
    <n v="6.7815304342814242E-2"/>
    <n v="0.17893322196306857"/>
    <n v="2.8897304995747428E-2"/>
    <n v="0.57356208537069731"/>
    <n v="20710.167560200389"/>
    <n v="1404.466316085668"/>
    <n v="598.46802850014501"/>
    <n v="11878.566894205102"/>
    <n v="9"/>
    <n v="12640.196844771013"/>
    <n v="5386.2122565013051"/>
    <n v="106907.10204784591"/>
  </r>
  <r>
    <x v="13"/>
    <x v="0"/>
    <x v="1"/>
    <x v="1"/>
    <x v="1"/>
    <n v="1.6637451549716897E-3"/>
    <n v="1.4043292710140436E-3"/>
    <n v="9.8992662137440952E-4"/>
    <n v="7.7177495096714523E-4"/>
    <n v="3.9494556900343423E-3"/>
    <n v="12937.515211791189"/>
    <n v="18.16853130610782"/>
    <n v="9.9848501682168411"/>
    <n v="51.096143068114571"/>
    <n v="18.399999999999999"/>
    <n v="334.30097603238386"/>
    <n v="183.72124309518986"/>
    <n v="940.16903245330809"/>
  </r>
  <r>
    <x v="13"/>
    <x v="0"/>
    <x v="2"/>
    <x v="2"/>
    <x v="1"/>
    <n v="0.16207951885731939"/>
    <n v="0.15611859948174694"/>
    <n v="3.6468339370682112E-2"/>
    <n v="0.11275433159679221"/>
    <n v="0.22986030143001504"/>
    <n v="10953.043037802479"/>
    <n v="1709.9737391250221"/>
    <n v="1235.0030466783171"/>
    <n v="2517.6697742452056"/>
    <n v="16.899999999999999"/>
    <n v="28898.556191212872"/>
    <n v="20871.551488863559"/>
    <n v="42548.61918474397"/>
  </r>
  <r>
    <x v="13"/>
    <x v="0"/>
    <x v="3"/>
    <x v="3"/>
    <x v="1"/>
    <m/>
    <m/>
    <m/>
    <m/>
    <m/>
    <m/>
    <m/>
    <m/>
    <m/>
    <n v="16.899999999999999"/>
    <m/>
    <n v="0"/>
    <n v="0"/>
  </r>
  <r>
    <x v="13"/>
    <x v="0"/>
    <x v="4"/>
    <x v="4"/>
    <x v="1"/>
    <n v="0.18518327848590674"/>
    <n v="0.17583443371159627"/>
    <n v="4.8389549377127174E-2"/>
    <n v="0.11779041751961183"/>
    <n v="0.27450415558087377"/>
    <n v="13991.101427824766"/>
    <n v="2460.1173965630737"/>
    <n v="1648.0176787427165"/>
    <n v="3840.6154830913947"/>
    <n v="18.7"/>
    <n v="46004.195315729477"/>
    <n v="30817.930592488796"/>
    <n v="71819.509533809076"/>
  </r>
  <r>
    <x v="13"/>
    <x v="0"/>
    <x v="5"/>
    <x v="5"/>
    <x v="1"/>
    <n v="0.11291222360936216"/>
    <n v="6.0956250888259692E-2"/>
    <n v="0.20432008573819302"/>
    <n v="3.7226436585998168E-2"/>
    <n v="0.76104226614136516"/>
    <n v="6966.102651973556"/>
    <n v="424.62750096707128"/>
    <n v="259.32317862524724"/>
    <n v="5301.4985484313283"/>
    <n v="19.399999999999999"/>
    <n v="8237.7735187611815"/>
    <n v="5030.8696653297957"/>
    <n v="102849.07183956777"/>
  </r>
  <r>
    <x v="13"/>
    <x v="0"/>
    <x v="6"/>
    <x v="6"/>
    <x v="1"/>
    <n v="3.4749660038418215E-2"/>
    <n v="2.7413726897774278E-2"/>
    <n v="2.694118740599747E-2"/>
    <n v="1.3553654669626013E-2"/>
    <n v="0.10336599009170613"/>
    <n v="2532.5333267390947"/>
    <n v="69.426176978737288"/>
    <n v="34.325082149940833"/>
    <n v="261.77781475862884"/>
    <n v="19.3"/>
    <n v="1339.9252156896298"/>
    <n v="662.47408549385807"/>
    <n v="5052.3118248415367"/>
  </r>
  <r>
    <x v="13"/>
    <x v="0"/>
    <x v="7"/>
    <x v="7"/>
    <x v="1"/>
    <n v="3.7793398987877747E-3"/>
    <n v="2.8807735837156952E-3"/>
    <n v="3.5579333604329202E-3"/>
    <n v="1.9456424441637052E-3"/>
    <n v="6.9958560047846431E-3"/>
    <n v="14985.197005970756"/>
    <n v="43.168959681576084"/>
    <n v="29.15583532897158"/>
    <n v="104.83428045710137"/>
    <n v="8.1"/>
    <n v="349.66857342076628"/>
    <n v="236.1622661646698"/>
    <n v="849.15767170252104"/>
  </r>
  <r>
    <x v="13"/>
    <x v="0"/>
    <x v="8"/>
    <x v="8"/>
    <x v="1"/>
    <n v="0.15209274533152795"/>
    <n v="0.13204541164217226"/>
    <n v="8.5206642381216932E-2"/>
    <n v="5.32646406921546E-2"/>
    <n v="0.3144385195170244"/>
    <m/>
    <n v="0"/>
    <n v="0"/>
    <n v="0"/>
    <n v="11.7"/>
    <n v="0"/>
    <n v="0"/>
    <n v="0"/>
  </r>
  <r>
    <x v="13"/>
    <x v="0"/>
    <x v="9"/>
    <x v="9"/>
    <x v="1"/>
    <n v="3.8103023458412488E-2"/>
    <n v="2.506600207213561E-2"/>
    <n v="3.6087656839493588E-2"/>
    <n v="1.8283308691732273E-3"/>
    <n v="0.10904895990614599"/>
    <m/>
    <n v="0"/>
    <n v="0"/>
    <n v="0"/>
    <n v="15.3"/>
    <n v="0"/>
    <n v="0"/>
    <n v="0"/>
  </r>
  <r>
    <x v="13"/>
    <x v="0"/>
    <x v="11"/>
    <x v="11"/>
    <x v="1"/>
    <n v="2.2752905997190504E-2"/>
    <n v="8.8420489147217826E-3"/>
    <n v="3.1062405110355708E-2"/>
    <n v="1.7924398893633569E-3"/>
    <n v="9.6476957491973145E-2"/>
    <m/>
    <n v="0"/>
    <n v="0"/>
    <n v="0"/>
    <n v="13.3"/>
    <n v="0"/>
    <n v="0"/>
    <n v="0"/>
  </r>
  <r>
    <x v="13"/>
    <x v="0"/>
    <x v="12"/>
    <x v="12"/>
    <x v="1"/>
    <n v="8.3963286985296315E-3"/>
    <n v="3.517049889217836E-3"/>
    <n v="1.050224439167775E-2"/>
    <n v="8.551560766384646E-4"/>
    <n v="3.3451488195958452E-2"/>
    <n v="4906.4659682331812"/>
    <n v="17.256285590025591"/>
    <n v="4.1957941875544327"/>
    <n v="164.12858842022413"/>
    <n v="15.6"/>
    <n v="269.19805520439922"/>
    <n v="65.454389325849149"/>
    <n v="2560.4059793554966"/>
  </r>
  <r>
    <x v="14"/>
    <x v="0"/>
    <x v="0"/>
    <x v="0"/>
    <x v="1"/>
    <n v="7.8052971045370165E-2"/>
    <n v="5.4734117779048616E-2"/>
    <n v="7.7940561247372336E-2"/>
    <n v="2.5887002464015506E-2"/>
    <n v="0.29205955065665812"/>
    <n v="20710.167560200389"/>
    <n v="1133.5527504638401"/>
    <n v="536.12415866108142"/>
    <n v="6048.602231656223"/>
    <n v="7.6"/>
    <n v="8615.0009035251842"/>
    <n v="4074.5436058242185"/>
    <n v="45969.376960587295"/>
  </r>
  <r>
    <x v="14"/>
    <x v="0"/>
    <x v="1"/>
    <x v="1"/>
    <x v="1"/>
    <n v="0.61643789225818235"/>
    <n v="0.61160054380813467"/>
    <n v="7.2773414922742974E-2"/>
    <n v="0.50807518584888223"/>
    <n v="0.74428130000558801"/>
    <n v="12937.515211791189"/>
    <n v="7912.591339057506"/>
    <n v="6573.2304456535494"/>
    <n v="9629.1506406740173"/>
    <n v="10.1"/>
    <n v="79917.172524480804"/>
    <n v="66389.62750110084"/>
    <n v="97254.421470807574"/>
  </r>
  <r>
    <x v="14"/>
    <x v="0"/>
    <x v="2"/>
    <x v="2"/>
    <x v="1"/>
    <n v="0.33087802059523863"/>
    <n v="0.32399449854260542"/>
    <n v="6.2883219881779265E-2"/>
    <n v="0.2331425868770903"/>
    <n v="0.44659245050955743"/>
    <m/>
    <s v="not covered"/>
    <m/>
    <m/>
    <m/>
    <m/>
    <n v="0"/>
    <n v="0"/>
  </r>
  <r>
    <x v="14"/>
    <x v="0"/>
    <x v="3"/>
    <x v="3"/>
    <x v="1"/>
    <m/>
    <m/>
    <m/>
    <m/>
    <m/>
    <m/>
    <n v="0"/>
    <n v="0"/>
    <n v="0"/>
    <n v="16.899999999999999"/>
    <n v="0"/>
    <n v="0"/>
    <n v="0"/>
  </r>
  <r>
    <x v="14"/>
    <x v="0"/>
    <x v="4"/>
    <x v="4"/>
    <x v="1"/>
    <n v="0.50330761414107461"/>
    <n v="0.45757116232642414"/>
    <n v="0.22634533663910894"/>
    <n v="0.23845850668267865"/>
    <n v="0.92841661441141721"/>
    <m/>
    <s v="not covered"/>
    <m/>
    <m/>
    <m/>
    <m/>
    <n v="0"/>
    <n v="0"/>
  </r>
  <r>
    <x v="14"/>
    <x v="0"/>
    <x v="5"/>
    <x v="5"/>
    <x v="1"/>
    <n v="0.64233319478569773"/>
    <n v="0.62653491476976497"/>
    <n v="8.8009894964745747E-2"/>
    <n v="0.5314689527078611"/>
    <n v="0.80845090337987213"/>
    <n v="5721.1040333376059"/>
    <n v="3584.4714279161353"/>
    <n v="3040.5891689306573"/>
    <n v="4625.2317240820175"/>
    <n v="10"/>
    <n v="35844.714279161351"/>
    <n v="30405.891689306573"/>
    <n v="46252.317240820179"/>
  </r>
  <r>
    <x v="14"/>
    <x v="0"/>
    <x v="6"/>
    <x v="6"/>
    <x v="1"/>
    <n v="1.4204472062771012"/>
    <n v="1.3644362840767497"/>
    <n v="0.43560426912932571"/>
    <n v="0.77304353081691946"/>
    <n v="2.1981417154107623"/>
    <n v="1865.0439227923566"/>
    <n v="2544.7335996547276"/>
    <n v="1441.7601392040415"/>
    <n v="4099.6308477632083"/>
    <n v="10"/>
    <n v="25447.335996547277"/>
    <n v="14417.601392040415"/>
    <n v="40996.308477632083"/>
  </r>
  <r>
    <x v="14"/>
    <x v="0"/>
    <x v="7"/>
    <x v="7"/>
    <x v="1"/>
    <n v="0.25700896980312882"/>
    <n v="0.25334776507820245"/>
    <n v="3.4069569441200979E-2"/>
    <n v="0.20711274279886366"/>
    <n v="0.32183373222174716"/>
    <n v="13775.148973606703"/>
    <n v="3489.9032060825525"/>
    <n v="2853.0088863866358"/>
    <n v="4433.307606086415"/>
    <n v="8.1999999999999993"/>
    <n v="28617.206289876929"/>
    <n v="23394.672868370413"/>
    <n v="36353.122369908597"/>
  </r>
  <r>
    <x v="14"/>
    <x v="0"/>
    <x v="8"/>
    <x v="8"/>
    <x v="1"/>
    <n v="0.26815613819125234"/>
    <n v="0.22335431728257549"/>
    <n v="0.15190099412141489"/>
    <n v="0.10401925864275657"/>
    <n v="0.58359837722517416"/>
    <n v="5560.7756961151053"/>
    <n v="1242.0232591673278"/>
    <n v="578.42776538855185"/>
    <n v="3245.2596723659635"/>
    <n v="16"/>
    <n v="19872.372146677244"/>
    <n v="9254.8442462168296"/>
    <n v="51924.154757855416"/>
  </r>
  <r>
    <x v="14"/>
    <x v="0"/>
    <x v="9"/>
    <x v="9"/>
    <x v="1"/>
    <n v="0.66065861146768179"/>
    <n v="0.65699568117765206"/>
    <n v="6.2653371080200707E-2"/>
    <n v="0.57009902403040935"/>
    <n v="0.76714923339617647"/>
    <n v="10828.706776282988"/>
    <n v="7114.4135847570988"/>
    <n v="6173.4351646704117"/>
    <n v="8307.2341020974764"/>
    <n v="12.2"/>
    <n v="86795.8457340366"/>
    <n v="75315.909008979012"/>
    <n v="101348.25604558921"/>
  </r>
  <r>
    <x v="14"/>
    <x v="0"/>
    <x v="10"/>
    <x v="10"/>
    <x v="1"/>
    <n v="1.1058633415244061E-2"/>
    <n v="1.0089150013820941E-2"/>
    <n v="4.0394906867196748E-3"/>
    <n v="5.9414231999055413E-3"/>
    <n v="1.8776153416307329E-2"/>
    <n v="11753.048720473937"/>
    <n v="118.57827166060781"/>
    <n v="69.829836337443979"/>
    <n v="220.6770458849532"/>
    <n v="12.2"/>
    <n v="1446.6549142594151"/>
    <n v="851.92400331681654"/>
    <n v="2692.259959796429"/>
  </r>
  <r>
    <x v="14"/>
    <x v="0"/>
    <x v="11"/>
    <x v="11"/>
    <x v="1"/>
    <n v="9.9735670551059658E-4"/>
    <n v="1.506782965876074E-4"/>
    <n v="3.6706435924937874E-3"/>
    <n v="4.536376147980752E-5"/>
    <n v="7.6717408190341528E-4"/>
    <n v="30959.729118353116"/>
    <n v="4.6649592463671956"/>
    <n v="1.4044497672044223"/>
    <n v="23.751501762350983"/>
    <n v="0.3"/>
    <n v="1.3994877739101586"/>
    <n v="0.42133493016132667"/>
    <n v="7.1254505287052945"/>
  </r>
  <r>
    <x v="14"/>
    <x v="0"/>
    <x v="12"/>
    <x v="12"/>
    <x v="1"/>
    <n v="0.59070833054405236"/>
    <n v="0.40313778605675915"/>
    <n v="0.40235301393043288"/>
    <n v="0.26776685819854962"/>
    <n v="1.4584280650197226"/>
    <n v="2740.3057637519273"/>
    <n v="1104.7207987175284"/>
    <n v="733.76306486323051"/>
    <n v="3996.5388325911163"/>
    <n v="12.6"/>
    <n v="13919.482063840858"/>
    <n v="9245.414617276705"/>
    <n v="50356.389290648061"/>
  </r>
  <r>
    <x v="15"/>
    <x v="0"/>
    <x v="0"/>
    <x v="0"/>
    <x v="1"/>
    <n v="9.8169614223109464E-2"/>
    <n v="8.0895664412278204E-2"/>
    <n v="4.5240614563140651E-2"/>
    <n v="5.5891792827067063E-2"/>
    <n v="0.18553011461753038"/>
    <n v="20710.167560200389"/>
    <n v="1675.3627648720212"/>
    <n v="1157.5283946885652"/>
    <n v="3842.3597611922378"/>
    <n v="11.5"/>
    <n v="19266.671796028244"/>
    <n v="13311.5765389185"/>
    <n v="44187.137253710738"/>
  </r>
  <r>
    <x v="15"/>
    <x v="0"/>
    <x v="1"/>
    <x v="1"/>
    <x v="1"/>
    <n v="0.23725408312536297"/>
    <n v="0.23115596741464767"/>
    <n v="4.0483279208877489E-2"/>
    <n v="0.18161105115951012"/>
    <n v="0.30667398833357229"/>
    <n v="12937.515211791189"/>
    <n v="2990.5838447233127"/>
    <n v="2349.5957370055503"/>
    <n v="3967.5993891262651"/>
    <n v="6.1"/>
    <n v="18242.561452812206"/>
    <n v="14332.533995733857"/>
    <n v="24202.356273670215"/>
  </r>
  <r>
    <x v="15"/>
    <x v="0"/>
    <x v="2"/>
    <x v="2"/>
    <x v="1"/>
    <n v="0.43314178190084235"/>
    <n v="0.34427708108629662"/>
    <n v="0.3389344223530677"/>
    <n v="0.28250042241738371"/>
    <n v="0.78944755198219352"/>
    <n v="10953.043037802479"/>
    <n v="3770.8816860672209"/>
    <n v="3094.239284934984"/>
    <n v="8646.8530129487754"/>
    <n v="18.100000000000001"/>
    <n v="68252.958517816704"/>
    <n v="56005.731057323217"/>
    <n v="156508.03953437286"/>
  </r>
  <r>
    <x v="15"/>
    <x v="0"/>
    <x v="3"/>
    <x v="3"/>
    <x v="1"/>
    <n v="5.5954044773754943E-2"/>
    <n v="5.3474475035545727E-2"/>
    <n v="2.0952070239472178E-2"/>
    <n v="2.5355228563642439E-2"/>
    <n v="9.5650590722886078E-2"/>
    <n v="5346.4592453380883"/>
    <n v="285.89910144339427"/>
    <n v="135.56069617174649"/>
    <n v="511.39198509242385"/>
    <n v="16.899999999999999"/>
    <n v="4831.6948143933632"/>
    <n v="2290.9757653025154"/>
    <n v="8642.5245480619615"/>
  </r>
  <r>
    <x v="15"/>
    <x v="0"/>
    <x v="4"/>
    <x v="4"/>
    <x v="1"/>
    <n v="9.5983448500616519E-2"/>
    <n v="9.2086651683794929E-2"/>
    <n v="2.1333564329890479E-2"/>
    <n v="6.921413766147308E-2"/>
    <n v="0.1367799535605338"/>
    <n v="13991.101427824766"/>
    <n v="1288.3936838567452"/>
    <n v="968.38202026109593"/>
    <n v="1913.7022035585896"/>
    <n v="17.899999999999999"/>
    <n v="23062.246941035737"/>
    <n v="17334.038162673616"/>
    <n v="34255.269443698751"/>
  </r>
  <r>
    <x v="15"/>
    <x v="0"/>
    <x v="5"/>
    <x v="5"/>
    <x v="1"/>
    <n v="7.1066347696270543E-2"/>
    <n v="6.9407952801289668E-2"/>
    <n v="1.7602632018096274E-2"/>
    <n v="4.6124491362227481E-2"/>
    <n v="0.10385672041427169"/>
    <n v="6966.102651973556"/>
    <n v="483.50292407711936"/>
    <n v="321.30794159934425"/>
    <n v="723.4765755031342"/>
    <n v="21.1"/>
    <n v="10201.911698027219"/>
    <n v="6779.5975677461638"/>
    <n v="15265.355743116133"/>
  </r>
  <r>
    <x v="15"/>
    <x v="0"/>
    <x v="6"/>
    <x v="6"/>
    <x v="1"/>
    <n v="2.0386575018138838E-2"/>
    <n v="1.103126197095125E-2"/>
    <n v="2.0684147885088225E-2"/>
    <n v="6.4061257951752663E-3"/>
    <n v="6.6571748585614612E-2"/>
    <n v="2532.5333267390947"/>
    <n v="27.937038577423632"/>
    <n v="16.223727071564344"/>
    <n v="168.5951719123652"/>
    <n v="21.1"/>
    <n v="589.47151398363872"/>
    <n v="342.32064121000769"/>
    <n v="3557.3581273509062"/>
  </r>
  <r>
    <x v="15"/>
    <x v="0"/>
    <x v="7"/>
    <x v="7"/>
    <x v="1"/>
    <n v="0.52115089626055811"/>
    <n v="0.51616549165616099"/>
    <n v="5.3336562667907032E-2"/>
    <n v="0.43966551685559407"/>
    <n v="0.61534913076891962"/>
    <n v="13775.148973606703"/>
    <n v="7110.2565425985658"/>
    <n v="6056.4579932435972"/>
    <n v="8476.5259471212594"/>
    <n v="9.4"/>
    <n v="66836.411500426519"/>
    <n v="56930.705136489814"/>
    <n v="79679.343902939843"/>
  </r>
  <r>
    <x v="15"/>
    <x v="0"/>
    <x v="8"/>
    <x v="8"/>
    <x v="1"/>
    <n v="4.6204018653746258E-2"/>
    <n v="3.9920147701256029E-2"/>
    <n v="1.6589977025389252E-2"/>
    <n v="3.0333490969965536E-2"/>
    <n v="7.9095819971722769E-2"/>
    <n v="5560.7756961151053"/>
    <n v="221.98698712246983"/>
    <n v="168.67773936411137"/>
    <n v="439.83411336305176"/>
    <n v="9.9"/>
    <n v="2197.6711725124514"/>
    <n v="1669.9096197047027"/>
    <n v="4354.3577222942122"/>
  </r>
  <r>
    <x v="15"/>
    <x v="0"/>
    <x v="9"/>
    <x v="9"/>
    <x v="1"/>
    <n v="0.2963053452912679"/>
    <n v="0.29183233750508686"/>
    <n v="3.896808981280532E-2"/>
    <n v="0.23825845255893124"/>
    <n v="0.36688562279252568"/>
    <n v="10828.706776282988"/>
    <n v="3160.1668106798384"/>
    <n v="2580.0309197315978"/>
    <n v="3972.8968296542271"/>
    <n v="10.8"/>
    <n v="34129.801555342259"/>
    <n v="27864.333933101258"/>
    <n v="42907.285760265659"/>
  </r>
  <r>
    <x v="15"/>
    <x v="0"/>
    <x v="10"/>
    <x v="10"/>
    <x v="1"/>
    <n v="1.008527878254678E-2"/>
    <n v="5.5128391217213399E-3"/>
    <n v="1.5643163543285619E-2"/>
    <n v="3.7126961963427209E-3"/>
    <n v="3.0142541779590987E-2"/>
    <n v="11753.048720473937"/>
    <n v="64.792666785725658"/>
    <n v="43.635499279934265"/>
    <n v="354.26676209445401"/>
    <n v="11.9"/>
    <n v="771.03273475013532"/>
    <n v="519.26244143121778"/>
    <n v="4215.7744689240026"/>
  </r>
  <r>
    <x v="15"/>
    <x v="0"/>
    <x v="11"/>
    <x v="11"/>
    <x v="1"/>
    <n v="4.8696956339408522E-2"/>
    <n v="1.7073354314131435E-2"/>
    <n v="0.10310506495449334"/>
    <n v="5.8433403317908576E-3"/>
    <n v="0.32998372960706834"/>
    <n v="30959.729118353116"/>
    <n v="528.58642470717473"/>
    <n v="180.90823381859258"/>
    <n v="10216.206882098715"/>
    <n v="6.1"/>
    <n v="3224.3771907137657"/>
    <n v="1103.5402262934147"/>
    <n v="62318.861980802161"/>
  </r>
  <r>
    <x v="15"/>
    <x v="0"/>
    <x v="12"/>
    <x v="12"/>
    <x v="1"/>
    <n v="0.13170394614741132"/>
    <n v="0.12600284076290486"/>
    <n v="2.5869306436000973E-2"/>
    <n v="9.851794199440278E-2"/>
    <n v="0.18267836887245731"/>
    <n v="5410.2633795388801"/>
    <n v="681.70855509741295"/>
    <n v="533.00801379985296"/>
    <n v="988.33808934455101"/>
    <n v="16.5"/>
    <n v="11248.191159107313"/>
    <n v="8794.6322276975734"/>
    <n v="16307.578474185091"/>
  </r>
  <r>
    <x v="16"/>
    <x v="0"/>
    <x v="0"/>
    <x v="0"/>
    <x v="1"/>
    <n v="8.0712263756367475E-2"/>
    <n v="7.7266122201321147E-2"/>
    <n v="1.4930801756688155E-2"/>
    <n v="6.26105268519834E-2"/>
    <n v="0.11032648196022596"/>
    <n v="20710.167560200389"/>
    <n v="1600.1943375162803"/>
    <n v="1296.674502137002"/>
    <n v="2284.8799277237049"/>
    <n v="8.6999999999999993"/>
    <n v="13921.690736391638"/>
    <n v="11281.068168591917"/>
    <n v="19878.455371196233"/>
  </r>
  <r>
    <x v="16"/>
    <x v="0"/>
    <x v="1"/>
    <x v="1"/>
    <x v="1"/>
    <n v="0.44107083456456525"/>
    <n v="0.42165396776453457"/>
    <n v="6.0374027049629929E-2"/>
    <n v="0.38079335564299088"/>
    <n v="0.56549681074769853"/>
    <n v="12937.515211791189"/>
    <n v="5455.1546220657774"/>
    <n v="4926.5198311802069"/>
    <n v="7316.123591267753"/>
    <n v="8.5226369047619048"/>
    <n v="46492.302103200273"/>
    <n v="41986.93972525782"/>
    <n v="62352.664918737755"/>
  </r>
  <r>
    <x v="16"/>
    <x v="0"/>
    <x v="2"/>
    <x v="2"/>
    <x v="1"/>
    <n v="0.54207355326819628"/>
    <n v="0.53934087582124368"/>
    <n v="4.0390540580175494E-2"/>
    <n v="0.48228724468656425"/>
    <n v="0.61559011574175204"/>
    <n v="10953.043037802479"/>
    <n v="5907.4238249161644"/>
    <n v="5282.5129476351131"/>
    <n v="6742.5850313652199"/>
    <n v="6.4"/>
    <n v="37807.512479463454"/>
    <n v="33808.082864864722"/>
    <n v="43152.544200737408"/>
  </r>
  <r>
    <x v="16"/>
    <x v="0"/>
    <x v="4"/>
    <x v="4"/>
    <x v="1"/>
    <n v="0.23606874925233595"/>
    <n v="0.22926583952002749"/>
    <n v="3.425828054014865E-2"/>
    <n v="0.19611564034491841"/>
    <n v="0.300911835246507"/>
    <n v="13991.101427824766"/>
    <n v="3207.6816146601004"/>
    <n v="2743.873815648556"/>
    <n v="4210.0880077667744"/>
    <n v="13.3"/>
    <n v="42662.165474979338"/>
    <n v="36493.521748125801"/>
    <n v="55994.170503298104"/>
  </r>
  <r>
    <x v="16"/>
    <x v="0"/>
    <x v="5"/>
    <x v="5"/>
    <x v="1"/>
    <n v="0.23818835292553184"/>
    <n v="0.20647252205651356"/>
    <n v="0.14021273696494077"/>
    <n v="0.18251581732274358"/>
    <n v="0.28351644936645681"/>
    <n v="6966.102651973556"/>
    <n v="1438.3087834575476"/>
    <n v="1271.4239190790852"/>
    <n v="1975.0046898098012"/>
    <n v="7.9"/>
    <n v="11362.639389314627"/>
    <n v="10044.248960724773"/>
    <n v="15602.53704949743"/>
  </r>
  <r>
    <x v="16"/>
    <x v="0"/>
    <x v="6"/>
    <x v="6"/>
    <x v="1"/>
    <n v="8.4762254293597447E-2"/>
    <n v="6.791164357601151E-2"/>
    <n v="4.2316414101981295E-2"/>
    <n v="4.4574338030455449E-2"/>
    <n v="0.17430470173859286"/>
    <n v="2532.5333267390947"/>
    <n v="171.98850062987611"/>
    <n v="112.88599657946229"/>
    <n v="441.43246616030422"/>
    <n v="7.2119391025641022"/>
    <n v="1240.3705928839743"/>
    <n v="814.12693286334161"/>
    <n v="3183.5840638428026"/>
  </r>
  <r>
    <x v="16"/>
    <x v="0"/>
    <x v="7"/>
    <x v="7"/>
    <x v="1"/>
    <n v="0.27907323242506665"/>
    <n v="0.20644269980569491"/>
    <n v="0.29409793770997739"/>
    <n v="0.17988535185578663"/>
    <n v="0.35621407831750107"/>
    <n v="13775.148973606703"/>
    <n v="2843.7789443370148"/>
    <n v="2477.9475199831199"/>
    <n v="4906.901995319583"/>
    <n v="9.3000000000000007"/>
    <n v="26447.144182334239"/>
    <n v="23044.911935843018"/>
    <n v="45634.188556472123"/>
  </r>
  <r>
    <x v="16"/>
    <x v="0"/>
    <x v="8"/>
    <x v="8"/>
    <x v="1"/>
    <n v="0.23973330793528069"/>
    <n v="0.22470672772532113"/>
    <n v="5.1095646830777657E-2"/>
    <n v="0.17854565195354424"/>
    <n v="0.33695223067280289"/>
    <n v="5560.7756961151053"/>
    <n v="1249.5437102885201"/>
    <n v="992.85232203029534"/>
    <n v="1873.715775077093"/>
    <n v="8.1"/>
    <n v="10121.304053337011"/>
    <n v="8042.1038084453921"/>
    <n v="15177.097778124453"/>
  </r>
  <r>
    <x v="16"/>
    <x v="0"/>
    <x v="9"/>
    <x v="9"/>
    <x v="1"/>
    <n v="0.59523256198494268"/>
    <n v="0.59175701610170206"/>
    <n v="4.5235743184627704E-2"/>
    <n v="0.52938021654409217"/>
    <n v="0.6783087059958427"/>
    <n v="10828.706776282988"/>
    <n v="6407.9632101735024"/>
    <n v="5732.5031381211666"/>
    <n v="7345.2060810289267"/>
    <n v="9"/>
    <n v="57671.668891561523"/>
    <n v="51592.528243090499"/>
    <n v="66106.854729260347"/>
  </r>
  <r>
    <x v="16"/>
    <x v="0"/>
    <x v="10"/>
    <x v="10"/>
    <x v="1"/>
    <n v="8.9026891637604688E-2"/>
    <n v="8.4232761227651776E-2"/>
    <n v="2.4445988872302593E-2"/>
    <n v="5.8534936637368612E-2"/>
    <n v="0.13447770784181112"/>
    <n v="11753.048720473937"/>
    <n v="989.99174656863931"/>
    <n v="687.96396214884817"/>
    <n v="1580.5230520824662"/>
    <n v="12.8"/>
    <n v="12671.894356078585"/>
    <n v="8805.9387155052573"/>
    <n v="20230.695066655568"/>
  </r>
  <r>
    <x v="16"/>
    <x v="0"/>
    <x v="11"/>
    <x v="11"/>
    <x v="1"/>
    <n v="2.7095916463256543E-4"/>
    <n v="8.8484923298333773E-5"/>
    <n v="4.6123988464158184E-4"/>
    <n v="3.5625423228108699E-5"/>
    <n v="1.4679883789042599E-3"/>
    <n v="30959.729118353116"/>
    <n v="2.7394692563746661"/>
    <n v="1.1029534528689304"/>
    <n v="45.448522559766204"/>
    <n v="10.7"/>
    <n v="29.312321043208925"/>
    <n v="11.801601945697556"/>
    <n v="486.29919138949833"/>
  </r>
  <r>
    <x v="16"/>
    <x v="0"/>
    <x v="12"/>
    <x v="12"/>
    <x v="1"/>
    <n v="2.7096771843589149E-2"/>
    <n v="2.3453432306726849E-2"/>
    <n v="1.202385171467665E-2"/>
    <n v="1.5756156007543209E-2"/>
    <n v="5.0404207267938324E-2"/>
    <n v="5410.2633795388801"/>
    <n v="126.88924593357835"/>
    <n v="85.244953849912548"/>
    <n v="272.70003675641419"/>
    <n v="13.7"/>
    <n v="1738.3826692900234"/>
    <n v="1167.8558677438018"/>
    <n v="3735.9905035628744"/>
  </r>
  <r>
    <x v="17"/>
    <x v="0"/>
    <x v="0"/>
    <x v="0"/>
    <x v="1"/>
    <n v="6.2013716553751862E-3"/>
    <n v="4.7677963964617301E-3"/>
    <n v="4.1338262254734144E-3"/>
    <n v="3.0446877943615283E-3"/>
    <n v="1.57805615671677E-2"/>
    <n v="20710.167560200389"/>
    <n v="98.741862263642034"/>
    <n v="63.055994389724198"/>
    <n v="326.81807425010152"/>
    <n v="11.7"/>
    <n v="1155.2797884846118"/>
    <n v="737.75513435977302"/>
    <n v="3823.7714687261873"/>
  </r>
  <r>
    <x v="17"/>
    <x v="0"/>
    <x v="1"/>
    <x v="1"/>
    <x v="1"/>
    <n v="7.0508745564551237E-2"/>
    <n v="6.3939524798633129E-2"/>
    <n v="3.5848697139545679E-2"/>
    <n v="3.2279848629493998E-2"/>
    <n v="0.13580695173212778"/>
    <n v="12937.515211791189"/>
    <n v="827.21857471701605"/>
    <n v="417.62103267839558"/>
    <n v="1757.0045039013951"/>
    <n v="9"/>
    <n v="7444.9671724531445"/>
    <n v="3758.5892941055604"/>
    <n v="15813.040535112556"/>
  </r>
  <r>
    <x v="17"/>
    <x v="0"/>
    <x v="2"/>
    <x v="2"/>
    <x v="1"/>
    <n v="1.2190427341400361E-3"/>
    <n v="1.0601868884178001E-3"/>
    <n v="5.7502366518210539E-4"/>
    <n v="5.773902846916175E-4"/>
    <n v="2.3422860362305562E-3"/>
    <n v="10953.043037802479"/>
    <n v="11.61227261695406"/>
    <n v="6.3241806378363128"/>
    <n v="25.655159761677059"/>
    <n v="11.6"/>
    <n v="134.70236235666709"/>
    <n v="73.360495398901222"/>
    <n v="297.59985323545385"/>
  </r>
  <r>
    <x v="17"/>
    <x v="0"/>
    <x v="4"/>
    <x v="4"/>
    <x v="1"/>
    <n v="2.4994797386674626E-2"/>
    <n v="1.8919473817002205E-2"/>
    <n v="1.9290333514906197E-2"/>
    <n v="1.1861980653102113E-2"/>
    <n v="6.9589886983465479E-2"/>
    <n v="13991.101427824766"/>
    <n v="264.70427713475283"/>
    <n v="165.96217445244673"/>
    <n v="973.63916713652793"/>
    <n v="15.4"/>
    <n v="4076.4458678751935"/>
    <n v="2555.8174865676797"/>
    <n v="14994.04317390253"/>
  </r>
  <r>
    <x v="17"/>
    <x v="0"/>
    <x v="5"/>
    <x v="5"/>
    <x v="1"/>
    <n v="2.9133612996892329E-2"/>
    <n v="2.3435554357661689E-2"/>
    <n v="1.9084264371745891E-2"/>
    <n v="1.6990096365550583E-2"/>
    <n v="8.5622522533229356E-2"/>
    <n v="6966.102651973556"/>
    <n v="163.25447736137752"/>
    <n v="118.3547553493482"/>
    <n v="596.45528128739454"/>
    <n v="11.5"/>
    <n v="1877.4264896558416"/>
    <n v="1361.0796865175043"/>
    <n v="6859.2357348050373"/>
  </r>
  <r>
    <x v="17"/>
    <x v="0"/>
    <x v="6"/>
    <x v="6"/>
    <x v="1"/>
    <n v="9.517743698655487E-2"/>
    <n v="7.4891248110850919E-2"/>
    <n v="7.8910283551862762E-2"/>
    <n v="1.9408926597585478E-2"/>
    <n v="0.25267300107112056"/>
    <n v="2532.5333267390947"/>
    <n v="189.66458172181623"/>
    <n v="49.153753444618047"/>
    <n v="639.90279597979577"/>
    <n v="14"/>
    <n v="2655.3041441054274"/>
    <n v="688.15254822465272"/>
    <n v="8958.6391437171405"/>
  </r>
  <r>
    <x v="17"/>
    <x v="0"/>
    <x v="7"/>
    <x v="7"/>
    <x v="1"/>
    <n v="5.0863580364841647E-3"/>
    <n v="4.2472263879635447E-3"/>
    <n v="2.4569966930470376E-3"/>
    <n v="2.575132998739365E-3"/>
    <n v="1.0096757383846282E-2"/>
    <n v="13775.148973606703"/>
    <n v="58.506176218831328"/>
    <n v="35.472840684485313"/>
    <n v="139.08433711284601"/>
    <n v="11.5"/>
    <n v="672.82102651656032"/>
    <n v="407.93766787158108"/>
    <n v="1599.4698767977293"/>
  </r>
  <r>
    <x v="17"/>
    <x v="0"/>
    <x v="8"/>
    <x v="8"/>
    <x v="1"/>
    <n v="6.5238531183317655E-2"/>
    <n v="6.2781063556778358E-2"/>
    <n v="1.1091939426796529E-2"/>
    <n v="5.1393600785127995E-2"/>
    <n v="8.731445107720115E-2"/>
    <n v="5560.7756961151053"/>
    <n v="349.11141240279085"/>
    <n v="285.78828618178193"/>
    <n v="485.53607746973154"/>
    <n v="12.3"/>
    <n v="4294.0703725543281"/>
    <n v="3515.1959200359179"/>
    <n v="5972.0937528776985"/>
  </r>
  <r>
    <x v="17"/>
    <x v="0"/>
    <x v="9"/>
    <x v="9"/>
    <x v="1"/>
    <n v="2.4811723614394978E-4"/>
    <n v="2.2299320151056312E-4"/>
    <n v="1.1099558968472942E-4"/>
    <n v="1.9018651544880542E-4"/>
    <n v="5.9343644839396511E-4"/>
    <n v="10828.706776282988"/>
    <n v="2.4147279922624727"/>
    <n v="2.0594740085981287"/>
    <n v="6.4261492900170403"/>
    <n v="13.1"/>
    <n v="31.632936698638392"/>
    <n v="26.979109512635485"/>
    <n v="84.182555699223229"/>
  </r>
  <r>
    <x v="17"/>
    <x v="0"/>
    <x v="10"/>
    <x v="10"/>
    <x v="1"/>
    <n v="5.3334011667527277E-3"/>
    <n v="4.5965552737374862E-3"/>
    <n v="2.3339736498522502E-3"/>
    <n v="2.7484314562645669E-3"/>
    <n v="1.0318613262608927E-2"/>
    <n v="11753.048720473937"/>
    <n v="54.023538078588089"/>
    <n v="32.302448810360588"/>
    <n v="121.27516440317123"/>
    <n v="13.1"/>
    <n v="707.70834882950396"/>
    <n v="423.16207941572367"/>
    <n v="1588.704653681543"/>
  </r>
  <r>
    <x v="17"/>
    <x v="0"/>
    <x v="11"/>
    <x v="11"/>
    <x v="1"/>
    <n v="2.5934626500886593E-5"/>
    <n v="2.366662561892236E-5"/>
    <n v="1.2466495758797699E-5"/>
    <n v="9.2672779535517557E-6"/>
    <n v="4.9442010942556166E-5"/>
    <n v="30959.729118353116"/>
    <n v="0.73271231830731243"/>
    <n v="0.28691241510644816"/>
    <n v="1.5307112658481896"/>
    <n v="19.2"/>
    <n v="14.068076511500399"/>
    <n v="5.5087183700438045"/>
    <n v="29.389656304285239"/>
  </r>
  <r>
    <x v="17"/>
    <x v="0"/>
    <x v="12"/>
    <x v="12"/>
    <x v="1"/>
    <n v="3.6048119412144903E-3"/>
    <n v="2.1837283185450005E-3"/>
    <n v="4.8823473196731608E-3"/>
    <n v="8.9117196820479516E-4"/>
    <n v="9.431847849761317E-3"/>
    <n v="5410.2633795388801"/>
    <n v="11.81454535268603"/>
    <n v="4.8214750644499906"/>
    <n v="51.028781022946184"/>
    <n v="14"/>
    <n v="165.40363493760444"/>
    <n v="67.500650902299867"/>
    <n v="714.40293432124656"/>
  </r>
  <r>
    <x v="10"/>
    <x v="1"/>
    <x v="13"/>
    <x v="13"/>
    <x v="3"/>
    <m/>
    <m/>
    <m/>
    <m/>
    <m/>
    <m/>
    <m/>
    <m/>
    <m/>
    <m/>
    <m/>
    <m/>
    <m/>
  </r>
  <r>
    <x v="18"/>
    <x v="0"/>
    <x v="0"/>
    <x v="0"/>
    <x v="1"/>
    <n v="0.34016128073877006"/>
    <n v="0.34008136362857155"/>
    <n v="7.702552758476354E-2"/>
    <n v="0.21789890916634858"/>
    <n v="0.47000228290160295"/>
    <n v="20710.167560200389"/>
    <n v="7043.142024849155"/>
    <n v="4512.7229200199636"/>
    <n v="9733.8260325689025"/>
    <n v="7.6"/>
    <n v="53527.879388853573"/>
    <n v="34296.694192151721"/>
    <n v="73977.077847523658"/>
  </r>
  <r>
    <x v="18"/>
    <x v="0"/>
    <x v="1"/>
    <x v="1"/>
    <x v="1"/>
    <n v="0.4110036352245432"/>
    <n v="0.38252963389108074"/>
    <n v="0.10493951054533167"/>
    <n v="0.29432409795506831"/>
    <n v="0.64058410740921612"/>
    <n v="12937.515211791189"/>
    <n v="4948.9829574267715"/>
    <n v="3807.8224944904164"/>
    <n v="8287.5666340384141"/>
    <n v="12.2"/>
    <n v="60377.592080606606"/>
    <n v="46455.434432783077"/>
    <n v="101108.31293526865"/>
  </r>
  <r>
    <x v="18"/>
    <x v="0"/>
    <x v="2"/>
    <x v="2"/>
    <x v="1"/>
    <n v="0.24420757387674649"/>
    <n v="0.22507444978579111"/>
    <n v="6.2117516802318716E-2"/>
    <n v="0.17847643579971942"/>
    <n v="0.37203189537829118"/>
    <n v="10953.043037802479"/>
    <n v="2465.2501352134832"/>
    <n v="1954.860082547918"/>
    <n v="4074.8813615136528"/>
    <n v="12.5"/>
    <n v="30815.626690168541"/>
    <n v="24435.751031848973"/>
    <n v="50936.017018920662"/>
  </r>
  <r>
    <x v="18"/>
    <x v="0"/>
    <x v="4"/>
    <x v="4"/>
    <x v="1"/>
    <n v="1.7992901419842076E-2"/>
    <n v="5.4820829439543063E-3"/>
    <n v="3.8735117103407893E-2"/>
    <n v="3.5541916817714882E-3"/>
    <n v="0.11979688952483794"/>
    <n v="13991.101427824766"/>
    <n v="76.700378504612885"/>
    <n v="49.727056313595973"/>
    <n v="1676.0904320799259"/>
    <n v="6"/>
    <n v="460.20227102767728"/>
    <n v="298.36233788157585"/>
    <n v="10056.542592479556"/>
  </r>
  <r>
    <x v="18"/>
    <x v="0"/>
    <x v="5"/>
    <x v="5"/>
    <x v="1"/>
    <n v="0.16042386048758894"/>
    <n v="0.15066276876196982"/>
    <n v="3.6800162649119554E-2"/>
    <n v="0.12121456919999798"/>
    <n v="0.24316112807045617"/>
    <n v="6966.102651973556"/>
    <n v="1049.5323130264367"/>
    <n v="844.39313196193814"/>
    <n v="1693.8853791084862"/>
    <n v="14.3"/>
    <n v="15008.312076278045"/>
    <n v="12074.821787055716"/>
    <n v="24222.560921251352"/>
  </r>
  <r>
    <x v="18"/>
    <x v="0"/>
    <x v="6"/>
    <x v="6"/>
    <x v="1"/>
    <n v="6.5004353040116914E-3"/>
    <n v="6.1529587185756279E-3"/>
    <n v="2.8855167947869063E-3"/>
    <n v="2.0765888039405763E-3"/>
    <n v="1.1862696189793048E-2"/>
    <n v="2532.5333267390947"/>
    <n v="15.582573012842651"/>
    <n v="5.2590303519127852"/>
    <n v="30.04267344563177"/>
    <n v="14.3"/>
    <n v="222.83079408364992"/>
    <n v="75.204134032352826"/>
    <n v="429.61023027253435"/>
  </r>
  <r>
    <x v="18"/>
    <x v="0"/>
    <x v="7"/>
    <x v="7"/>
    <x v="1"/>
    <n v="6.2490408370241973E-2"/>
    <n v="6.1277867651886267E-2"/>
    <n v="7.974533326250588E-3"/>
    <n v="5.2283262413146139E-2"/>
    <n v="7.826136927634296E-2"/>
    <n v="13775.148973606703"/>
    <n v="844.11175568968849"/>
    <n v="720.20972856725996"/>
    <n v="1078.0620206600709"/>
    <n v="13.1"/>
    <n v="11057.863999534919"/>
    <n v="9434.747444231105"/>
    <n v="14122.612470646927"/>
  </r>
  <r>
    <x v="18"/>
    <x v="0"/>
    <x v="8"/>
    <x v="8"/>
    <x v="1"/>
    <n v="9.6865287110698695E-3"/>
    <n v="8.4196936569694864E-3"/>
    <n v="4.3579326607662266E-3"/>
    <n v="6.5256100824614372E-3"/>
    <n v="1.9305349884333273E-2"/>
    <n v="5560.7756961151053"/>
    <n v="46.820027856410434"/>
    <n v="36.287453948875246"/>
    <n v="107.35272044179902"/>
    <n v="13.3"/>
    <n v="622.70637049025879"/>
    <n v="482.62313752004081"/>
    <n v="1427.7911818759271"/>
  </r>
  <r>
    <x v="18"/>
    <x v="0"/>
    <x v="9"/>
    <x v="9"/>
    <x v="1"/>
    <n v="0.26080438348506996"/>
    <n v="0.25945633795618855"/>
    <n v="1.6829511027281287E-2"/>
    <n v="0.23537136648272941"/>
    <n v="0.28999300445573256"/>
    <n v="10828.706776282988"/>
    <n v="2809.5766049757481"/>
    <n v="2548.7675111745184"/>
    <n v="3140.2492124244541"/>
    <n v="13.3"/>
    <n v="37367.368846177451"/>
    <n v="33898.6078986211"/>
    <n v="41765.314525245245"/>
  </r>
  <r>
    <x v="18"/>
    <x v="0"/>
    <x v="10"/>
    <x v="10"/>
    <x v="1"/>
    <n v="9.5784866801201969E-3"/>
    <n v="4.3799418097355824E-3"/>
    <n v="1.8858770911703196E-2"/>
    <n v="2.5344283268670864E-3"/>
    <n v="2.1184048881675119E-2"/>
    <n v="11753.048720473937"/>
    <n v="51.477669482663089"/>
    <n v="29.787259604218111"/>
    <n v="248.97715860322907"/>
    <n v="3.6"/>
    <n v="185.31961013758712"/>
    <n v="107.23413457518519"/>
    <n v="896.31777097162467"/>
  </r>
  <r>
    <x v="19"/>
    <x v="0"/>
    <x v="0"/>
    <x v="0"/>
    <x v="1"/>
    <n v="0.30257654125447253"/>
    <n v="0.30225632262377816"/>
    <n v="2.7777568372730821E-2"/>
    <n v="0.2568137952455623"/>
    <n v="0.34990313624074976"/>
    <n v="20710.167560200389"/>
    <n v="6259.779087668433"/>
    <n v="5318.6567313065889"/>
    <n v="7246.5525813855529"/>
    <n v="11.1"/>
    <n v="69483.547873119605"/>
    <n v="59037.089717503135"/>
    <n v="80436.733653379633"/>
  </r>
  <r>
    <x v="19"/>
    <x v="0"/>
    <x v="1"/>
    <x v="1"/>
    <x v="1"/>
    <n v="0.27631375979479711"/>
    <n v="0.27158712760390391"/>
    <n v="4.4000224630091456E-2"/>
    <n v="0.21229822936692555"/>
    <n v="0.35549343785474913"/>
    <n v="12937.515211791189"/>
    <n v="3513.6625947021817"/>
    <n v="2746.6115718709343"/>
    <n v="4599.2017599377623"/>
    <n v="8.1"/>
    <n v="28460.667017087671"/>
    <n v="22247.553732154567"/>
    <n v="37253.53425549587"/>
  </r>
  <r>
    <x v="19"/>
    <x v="0"/>
    <x v="2"/>
    <x v="2"/>
    <x v="1"/>
    <n v="0.30662286656597726"/>
    <n v="0.3038129145833367"/>
    <n v="3.5950268297861965E-2"/>
    <n v="0.25063277339385059"/>
    <n v="0.36573310488703525"/>
    <n v="10953.043037802479"/>
    <n v="3327.6759288714952"/>
    <n v="2745.1915536666415"/>
    <n v="4005.8904381768252"/>
    <n v="7.9"/>
    <n v="26288.639838084815"/>
    <n v="21687.01327396647"/>
    <n v="31646.534461596922"/>
  </r>
  <r>
    <x v="19"/>
    <x v="0"/>
    <x v="4"/>
    <x v="4"/>
    <x v="1"/>
    <n v="5.0952971514431997E-2"/>
    <n v="4.8927270084750736E-2"/>
    <n v="1.197893491569472E-2"/>
    <n v="3.5460119739882986E-2"/>
    <n v="7.3900135308240578E-2"/>
    <n v="13991.101427824766"/>
    <n v="684.54639834232398"/>
    <n v="496.12613192351404"/>
    <n v="1033.9442886275681"/>
    <n v="12.4"/>
    <n v="8488.3753394448177"/>
    <n v="6151.9640358515744"/>
    <n v="12820.909178981845"/>
  </r>
  <r>
    <x v="19"/>
    <x v="0"/>
    <x v="5"/>
    <x v="5"/>
    <x v="1"/>
    <n v="0.2676949509886915"/>
    <n v="0.26515953666008441"/>
    <n v="2.9847562506541414E-2"/>
    <n v="0.22262368177277114"/>
    <n v="0.32207588829506612"/>
    <n v="6966.102651973556"/>
    <n v="1847.1285515238933"/>
    <n v="1550.8194199894181"/>
    <n v="2243.6136995889988"/>
    <n v="8"/>
    <n v="14777.028412191146"/>
    <n v="12406.555359915345"/>
    <n v="17948.90959671199"/>
  </r>
  <r>
    <x v="19"/>
    <x v="0"/>
    <x v="6"/>
    <x v="6"/>
    <x v="1"/>
    <n v="3.2932797945663325E-3"/>
    <n v="3.0644577891557152E-3"/>
    <n v="1.2467978262807793E-3"/>
    <n v="1.6613010787463311E-3"/>
    <n v="5.8048068549017597E-3"/>
    <n v="2532.5333267390947"/>
    <n v="7.760841479422055"/>
    <n v="4.2073003476726925"/>
    <n v="14.700866815322255"/>
    <n v="8"/>
    <n v="62.08673183537644"/>
    <n v="33.65840278138154"/>
    <n v="117.60693452257804"/>
  </r>
  <r>
    <x v="19"/>
    <x v="0"/>
    <x v="7"/>
    <x v="7"/>
    <x v="1"/>
    <n v="0.35437421691777271"/>
    <n v="0.20586040264964345"/>
    <n v="0.52689115602389347"/>
    <n v="0.14148959512505299"/>
    <n v="1.1846605500344742"/>
    <n v="13775.148973606703"/>
    <n v="2835.7577142654986"/>
    <n v="1949.0402510629017"/>
    <n v="16318.87555987974"/>
    <n v="7.6"/>
    <n v="21551.758628417789"/>
    <n v="14812.705908078053"/>
    <n v="124023.45425508602"/>
  </r>
  <r>
    <x v="19"/>
    <x v="0"/>
    <x v="8"/>
    <x v="8"/>
    <x v="1"/>
    <n v="5.085697243178601E-2"/>
    <n v="4.6228383909130991E-2"/>
    <n v="1.9035222811023197E-2"/>
    <n v="2.6876823585928585E-2"/>
    <n v="8.8467558485497116E-2"/>
    <n v="5560.7756961151099"/>
    <n v="257.06567371257444"/>
    <n v="149.45598738540502"/>
    <n v="491.9482491207944"/>
    <n v="11.4"/>
    <n v="2930.5486803233489"/>
    <n v="1703.7982561936174"/>
    <n v="5608.2100399770561"/>
  </r>
  <r>
    <x v="19"/>
    <x v="0"/>
    <x v="9"/>
    <x v="9"/>
    <x v="1"/>
    <n v="5.5318874268432128E-2"/>
    <n v="5.1309938115973924E-2"/>
    <n v="1.6138985982305058E-2"/>
    <n v="4.2269582645969368E-2"/>
    <n v="9.8241557122426035E-2"/>
    <n v="10828.706776282988"/>
    <n v="555.62027456710757"/>
    <n v="457.72491602906229"/>
    <n v="1063.8290153242071"/>
    <n v="10.199999999999999"/>
    <n v="5667.3268005844966"/>
    <n v="4668.794143496435"/>
    <n v="10851.055956306913"/>
  </r>
  <r>
    <x v="19"/>
    <x v="0"/>
    <x v="10"/>
    <x v="10"/>
    <x v="1"/>
    <n v="4.8325104859943584E-3"/>
    <n v="4.5895848016538178E-3"/>
    <n v="1.1465012172417952E-3"/>
    <n v="3.4167997652760043E-3"/>
    <n v="7.2136855250910506E-3"/>
    <n v="11753.048720473937"/>
    <n v="53.941613780584028"/>
    <n v="40.157814109392788"/>
    <n v="84.782797430572728"/>
    <n v="7.1"/>
    <n v="382.98545784214656"/>
    <n v="285.12048017668877"/>
    <n v="601.95786175706633"/>
  </r>
  <r>
    <x v="19"/>
    <x v="0"/>
    <x v="11"/>
    <x v="11"/>
    <x v="1"/>
    <n v="0.12015020857235807"/>
    <n v="0.11906790953226354"/>
    <n v="1.4210417113677544E-2"/>
    <n v="9.8997180468383128E-2"/>
    <n v="0.1445534902149031"/>
    <n v="30959.729118353116"/>
    <n v="3686.3102258074541"/>
    <n v="3064.9258907818594"/>
    <n v="4475.3369001659075"/>
    <n v="7.4"/>
    <n v="27278.695670975161"/>
    <n v="22680.451591785761"/>
    <n v="33117.493061227717"/>
  </r>
  <r>
    <x v="19"/>
    <x v="0"/>
    <x v="12"/>
    <x v="12"/>
    <x v="1"/>
    <n v="8.6709201529769579E-3"/>
    <n v="8.1836222080943453E-3"/>
    <n v="3.3116514880641703E-3"/>
    <n v="4.0250372092439698E-3"/>
    <n v="1.4770643031368796E-2"/>
    <n v="5410.2633795388801"/>
    <n v="44.275551544433945"/>
    <n v="21.776511414454024"/>
    <n v="79.913069084855749"/>
    <n v="8.8000000000000007"/>
    <n v="389.62485359101873"/>
    <n v="191.63330044719544"/>
    <n v="703.23500794673066"/>
  </r>
  <r>
    <x v="10"/>
    <x v="1"/>
    <x v="13"/>
    <x v="13"/>
    <x v="3"/>
    <m/>
    <m/>
    <m/>
    <m/>
    <m/>
    <m/>
    <m/>
    <m/>
    <m/>
    <m/>
    <m/>
    <m/>
    <m/>
  </r>
  <r>
    <x v="10"/>
    <x v="1"/>
    <x v="13"/>
    <x v="13"/>
    <x v="3"/>
    <m/>
    <m/>
    <m/>
    <m/>
    <m/>
    <m/>
    <m/>
    <m/>
    <m/>
    <m/>
    <m/>
    <m/>
    <m/>
  </r>
  <r>
    <x v="20"/>
    <x v="0"/>
    <x v="0"/>
    <x v="0"/>
    <x v="4"/>
    <m/>
    <m/>
    <m/>
    <m/>
    <m/>
    <m/>
    <m/>
    <m/>
    <m/>
    <m/>
    <n v="0"/>
    <m/>
    <m/>
  </r>
  <r>
    <x v="21"/>
    <x v="0"/>
    <x v="0"/>
    <x v="0"/>
    <x v="4"/>
    <m/>
    <m/>
    <m/>
    <m/>
    <m/>
    <m/>
    <m/>
    <m/>
    <m/>
    <m/>
    <n v="0"/>
    <m/>
    <m/>
  </r>
  <r>
    <x v="22"/>
    <x v="0"/>
    <x v="0"/>
    <x v="0"/>
    <x v="4"/>
    <m/>
    <m/>
    <m/>
    <m/>
    <m/>
    <m/>
    <m/>
    <m/>
    <m/>
    <m/>
    <n v="0"/>
    <m/>
    <m/>
  </r>
  <r>
    <x v="23"/>
    <x v="0"/>
    <x v="0"/>
    <x v="0"/>
    <x v="4"/>
    <m/>
    <m/>
    <m/>
    <m/>
    <m/>
    <m/>
    <m/>
    <m/>
    <m/>
    <m/>
    <n v="0"/>
    <m/>
    <m/>
  </r>
  <r>
    <x v="24"/>
    <x v="0"/>
    <x v="0"/>
    <x v="0"/>
    <x v="4"/>
    <m/>
    <m/>
    <m/>
    <m/>
    <m/>
    <m/>
    <m/>
    <m/>
    <m/>
    <m/>
    <n v="0"/>
    <m/>
    <m/>
  </r>
  <r>
    <x v="25"/>
    <x v="0"/>
    <x v="0"/>
    <x v="0"/>
    <x v="4"/>
    <m/>
    <m/>
    <m/>
    <m/>
    <m/>
    <m/>
    <m/>
    <m/>
    <m/>
    <m/>
    <n v="0"/>
    <m/>
    <m/>
  </r>
  <r>
    <x v="26"/>
    <x v="0"/>
    <x v="0"/>
    <x v="0"/>
    <x v="4"/>
    <m/>
    <m/>
    <m/>
    <m/>
    <m/>
    <m/>
    <m/>
    <m/>
    <m/>
    <m/>
    <n v="0"/>
    <m/>
    <m/>
  </r>
  <r>
    <x v="27"/>
    <x v="0"/>
    <x v="0"/>
    <x v="0"/>
    <x v="4"/>
    <m/>
    <m/>
    <m/>
    <m/>
    <m/>
    <m/>
    <m/>
    <m/>
    <m/>
    <m/>
    <n v="0"/>
    <m/>
    <m/>
  </r>
  <r>
    <x v="28"/>
    <x v="0"/>
    <x v="0"/>
    <x v="0"/>
    <x v="4"/>
    <m/>
    <m/>
    <m/>
    <m/>
    <m/>
    <m/>
    <m/>
    <m/>
    <m/>
    <m/>
    <m/>
    <m/>
    <m/>
  </r>
  <r>
    <x v="29"/>
    <x v="0"/>
    <x v="0"/>
    <x v="0"/>
    <x v="4"/>
    <m/>
    <m/>
    <m/>
    <m/>
    <m/>
    <m/>
    <m/>
    <m/>
    <m/>
    <m/>
    <m/>
    <m/>
    <m/>
  </r>
  <r>
    <x v="30"/>
    <x v="0"/>
    <x v="0"/>
    <x v="0"/>
    <x v="4"/>
    <m/>
    <m/>
    <m/>
    <m/>
    <m/>
    <m/>
    <m/>
    <m/>
    <m/>
    <m/>
    <m/>
    <m/>
    <m/>
  </r>
  <r>
    <x v="31"/>
    <x v="0"/>
    <x v="0"/>
    <x v="0"/>
    <x v="4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3">
  <r>
    <n v="38"/>
    <s v="TEL 303"/>
    <x v="0"/>
    <s v="May"/>
    <n v="1"/>
    <x v="0"/>
    <n v="1000"/>
    <n v="0.19334554600143763"/>
    <n v="0.19204153900273002"/>
    <n v="1.5817101305637671E-2"/>
    <n v="0.17015079076981476"/>
    <n v="0.22153952128045462"/>
    <n v="26709.392178515798"/>
    <n v="5129.3127797896541"/>
    <n v="4544.6242001555684"/>
    <n v="5917.1859569203089"/>
    <n v="11.2"/>
    <n v="57448.30313364412"/>
  </r>
  <r>
    <n v="39"/>
    <s v="TEL 303"/>
    <x v="0"/>
    <s v="May"/>
    <n v="2"/>
    <x v="1"/>
    <n v="1000"/>
    <n v="3.7042118726324032E-3"/>
    <n v="2.0250927152073118E-3"/>
    <n v="3.9118718504905165E-3"/>
    <n v="9.4825543828373055E-4"/>
    <n v="1.3292194265810572E-2"/>
    <n v="6005.7686320795974"/>
    <n v="12.162238306044975"/>
    <n v="5.6950027664433192"/>
    <n v="79.82984337311342"/>
    <n v="19.399999999999999"/>
    <n v="235.94742313727249"/>
  </r>
  <r>
    <n v="40"/>
    <s v="TEL 303"/>
    <x v="0"/>
    <s v="May"/>
    <n v="3"/>
    <x v="2"/>
    <n v="1000"/>
    <n v="0.15015765570185899"/>
    <n v="0.14821783220864465"/>
    <n v="3.0366791846684647E-2"/>
    <n v="0.10210558694279045"/>
    <n v="0.20331565098789553"/>
    <n v="17333.456457881595"/>
    <n v="2569.1273408701422"/>
    <n v="1769.842745379302"/>
    <n v="3524.1629836045381"/>
    <n v="11.6"/>
    <n v="29801.87715409365"/>
  </r>
  <r>
    <n v="42"/>
    <s v="TEL 303"/>
    <x v="0"/>
    <s v="May"/>
    <n v="5"/>
    <x v="3"/>
    <n v="1000"/>
    <n v="4.9688422757716202E-3"/>
    <n v="4.7215802496159793E-3"/>
    <n v="1.1211075652277096E-3"/>
    <n v="3.579389550658319E-3"/>
    <n v="7.0577272483722166E-3"/>
    <n v="24378.087275025355"/>
    <n v="115.10309540117434"/>
    <n v="87.258670857262288"/>
    <n v="172.05389082414246"/>
    <n v="10.9"/>
    <n v="1254.6237398728003"/>
  </r>
  <r>
    <n v="43"/>
    <s v="TEL 303"/>
    <x v="0"/>
    <s v="May"/>
    <n v="6"/>
    <x v="4"/>
    <n v="1000"/>
    <n v="5.9950867652771474E-3"/>
    <n v="5.3922679403238562E-3"/>
    <n v="2.3612762335199506E-3"/>
    <n v="3.2535578149322968E-3"/>
    <n v="1.0694734297099471E-2"/>
    <n v="28396.111726234154"/>
    <n v="153.11944289122675"/>
    <n v="92.388391220579763"/>
    <n v="303.68886998282488"/>
    <n v="11.5"/>
    <n v="1760.8735932491077"/>
  </r>
  <r>
    <n v="44"/>
    <s v="TEL 353"/>
    <x v="1"/>
    <s v="May"/>
    <n v="1"/>
    <x v="0"/>
    <n v="1000"/>
    <n v="5.8622268121275353E-3"/>
    <n v="4.1414639788384579E-3"/>
    <n v="4.8402642693663976E-3"/>
    <n v="3.001791128363439E-3"/>
    <n v="1.9360922113982028E-2"/>
    <n v="20710.167560200389"/>
    <n v="85.770412946278668"/>
    <n v="62.167597249129813"/>
    <n v="400.96794110055691"/>
    <n v="16"/>
    <n v="1372.3266071404587"/>
  </r>
  <r>
    <n v="45"/>
    <s v="TEL 353"/>
    <x v="1"/>
    <s v="May"/>
    <n v="2"/>
    <x v="1"/>
    <n v="1000"/>
    <n v="1.5184562548149906E-2"/>
    <n v="1.3727788988184492E-2"/>
    <n v="5.6351174589603986E-3"/>
    <n v="9.7238576245295659E-3"/>
    <n v="2.7505621922670032E-2"/>
    <n v="12937.515211791189"/>
    <n v="177.60347885889644"/>
    <n v="125.802555934643"/>
    <n v="355.85440203432074"/>
    <n v="15.2"/>
    <n v="2699.5728786552258"/>
  </r>
  <r>
    <n v="46"/>
    <s v="TEL 353"/>
    <x v="1"/>
    <s v="May"/>
    <n v="3"/>
    <x v="2"/>
    <n v="1000"/>
    <n v="0.52584448887725721"/>
    <n v="0.50443851518591021"/>
    <n v="0.13846954577092449"/>
    <n v="0.3330968502550119"/>
    <n v="0.77475298907341539"/>
    <n v="10953.043037802479"/>
    <n v="5525.1367667564537"/>
    <n v="3648.4241365995931"/>
    <n v="8485.9028329872326"/>
    <n v="12.6"/>
    <n v="69616.723261131308"/>
  </r>
  <r>
    <n v="48"/>
    <s v="TEL 353"/>
    <x v="1"/>
    <s v="May"/>
    <n v="5"/>
    <x v="3"/>
    <n v="1000"/>
    <n v="0.13958515751941605"/>
    <n v="6.897964610021419E-2"/>
    <n v="0.28676010803144075"/>
    <n v="5.1237694860886168E-2"/>
    <n v="1.0832897959380876"/>
    <n v="13991.101427824766"/>
    <n v="965.10122504355377"/>
    <n v="716.87178572659411"/>
    <n v="15156.417410697377"/>
    <n v="11.6"/>
    <n v="11195.174210505224"/>
  </r>
  <r>
    <n v="49"/>
    <s v="TEL 353"/>
    <x v="1"/>
    <s v="May"/>
    <n v="6"/>
    <x v="4"/>
    <n v="1000"/>
    <n v="2.9209475275453943E-2"/>
    <n v="1.8777124551072704E-2"/>
    <n v="2.3533731247991616E-2"/>
    <n v="8.7977820835280374E-3"/>
    <n v="7.6175973880173373E-2"/>
    <n v="6966.102651973556"/>
    <n v="130.80337713166534"/>
    <n v="61.286253103550102"/>
    <n v="530.64965366334411"/>
    <n v="11.6"/>
    <n v="1517.3191747273179"/>
  </r>
  <r>
    <n v="50"/>
    <s v="TEL 353"/>
    <x v="1"/>
    <s v="May"/>
    <n v="7"/>
    <x v="5"/>
    <n v="1000"/>
    <n v="1.3003348687654239E-2"/>
    <n v="1.2755167923229862E-2"/>
    <n v="4.0002115797094619E-3"/>
    <n v="6.7084986470144501E-3"/>
    <n v="2.0726717168338026E-2"/>
    <n v="2532.5333267390947"/>
    <n v="32.302887853733111"/>
    <n v="16.989496395948223"/>
    <n v="52.491101982711413"/>
    <n v="19.100000000000001"/>
    <n v="616.98515800630241"/>
  </r>
  <r>
    <n v="51"/>
    <s v="TEL 353"/>
    <x v="1"/>
    <s v="May"/>
    <n v="8"/>
    <x v="6"/>
    <n v="1000"/>
    <n v="2.8853490071401307E-2"/>
    <n v="2.8664781476841386E-2"/>
    <n v="8.827453619413379E-3"/>
    <n v="1.5806346434638387E-2"/>
    <n v="4.3623163738825535E-2"/>
    <n v="13775.148973606703"/>
    <n v="394.86163513937208"/>
    <n v="217.73477686558095"/>
    <n v="600.91557920235971"/>
    <n v="13.2"/>
    <n v="5212.1735838397108"/>
  </r>
  <r>
    <n v="52"/>
    <s v="TEL 353"/>
    <x v="1"/>
    <s v="May"/>
    <n v="9"/>
    <x v="7"/>
    <n v="1000"/>
    <n v="6.3344536944064361E-2"/>
    <n v="5.6354871010670382E-2"/>
    <n v="2.3378192723356173E-2"/>
    <n v="3.8597410773730377E-2"/>
    <n v="0.11619566249259854"/>
    <n v="5560.7756961151053"/>
    <n v="313.37679707383757"/>
    <n v="214.6315437635312"/>
    <n v="646.13801598283544"/>
    <n v="15.6"/>
    <n v="4888.6780343518658"/>
  </r>
  <r>
    <n v="53"/>
    <s v="TEL 353"/>
    <x v="1"/>
    <s v="May"/>
    <n v="10"/>
    <x v="8"/>
    <n v="1000"/>
    <n v="0.14903983196873805"/>
    <n v="0.14501489539831192"/>
    <n v="2.49727628176463E-2"/>
    <n v="0.11656132496382843"/>
    <n v="0.19746788825331041"/>
    <n v="10828.706776282988"/>
    <n v="1570.323780461669"/>
    <n v="1262.2084094883323"/>
    <n v="2138.3218596269144"/>
    <n v="12.1"/>
    <n v="19000.917743586193"/>
  </r>
  <r>
    <n v="56"/>
    <s v="TEL 353"/>
    <x v="1"/>
    <s v="May"/>
    <n v="13"/>
    <x v="9"/>
    <n v="1000"/>
    <n v="0.20314106352534064"/>
    <n v="0.17352071700362656"/>
    <n v="0.10790203539542109"/>
    <n v="8.5912145363866696E-2"/>
    <n v="0.40233240647232482"/>
    <n v="5410.2633795388801"/>
    <n v="938.79278079605024"/>
    <n v="464.80733391974894"/>
    <n v="2176.7242851389706"/>
    <n v="11.6"/>
    <n v="10889.996257234183"/>
  </r>
  <r>
    <n v="57"/>
    <s v="TEL 404"/>
    <x v="2"/>
    <s v="May"/>
    <n v="1"/>
    <x v="0"/>
    <n v="1000"/>
    <n v="6.7286033629636961E-3"/>
    <n v="5.6372691502914116E-3"/>
    <n v="3.4160077895843783E-3"/>
    <n v="4.1338005370532942E-3"/>
    <n v="1.4877100416514417E-2"/>
    <n v="21727.53118530977"/>
    <n v="122.48394126294136"/>
    <n v="89.817280082675722"/>
    <n v="323.24266324680195"/>
    <n v="11.2"/>
    <n v="1371.820142144943"/>
  </r>
  <r>
    <n v="58"/>
    <s v="TEL 404"/>
    <x v="2"/>
    <s v="May"/>
    <n v="2"/>
    <x v="1"/>
    <n v="1000"/>
    <n v="1.7034098755724123E-2"/>
    <n v="1.5732487936215522E-2"/>
    <n v="8.0328251325464829E-3"/>
    <n v="6.8194970043115814E-3"/>
    <n v="3.2371140377338417E-2"/>
    <n v="11555.924996488471"/>
    <n v="181.80345059906628"/>
    <n v="78.805595895602451"/>
    <n v="374.07847025132224"/>
    <n v="6.6"/>
    <n v="1199.9027739538374"/>
  </r>
  <r>
    <n v="59"/>
    <s v="TEL 404"/>
    <x v="2"/>
    <s v="May"/>
    <n v="3"/>
    <x v="2"/>
    <n v="1000"/>
    <n v="0.15637788808116776"/>
    <n v="0.15381938708501156"/>
    <n v="1.9567124938122002E-2"/>
    <n v="0.13146775454416593"/>
    <n v="0.19419433287624402"/>
    <n v="8875.6810357629201"/>
    <n v="1365.251816883113"/>
    <n v="1166.8658558219879"/>
    <n v="1723.6069575623108"/>
    <n v="11.1"/>
    <n v="15154.295167402553"/>
  </r>
  <r>
    <n v="61"/>
    <s v="TEL 404"/>
    <x v="2"/>
    <s v="May"/>
    <n v="5"/>
    <x v="3"/>
    <n v="1000"/>
    <n v="9.9051799515496211E-2"/>
    <n v="9.6084769952419602E-2"/>
    <n v="1.1636825983047825E-2"/>
    <n v="8.5277655800826663E-2"/>
    <n v="0.12363299653960805"/>
    <n v="12042.09009683687"/>
    <n v="1157.0614567008809"/>
    <n v="1026.921214400598"/>
    <n v="1488.7996832718811"/>
    <n v="16.899999999999999"/>
    <n v="19554.338618244885"/>
  </r>
  <r>
    <n v="62"/>
    <s v="TEL 404"/>
    <x v="2"/>
    <s v="May"/>
    <n v="6"/>
    <x v="4"/>
    <n v="1000"/>
    <n v="4.8179383564428073E-2"/>
    <n v="4.7727728264524615E-2"/>
    <n v="4.8009131692554009E-3"/>
    <n v="4.1227945478978581E-2"/>
    <n v="5.6779578671171935E-2"/>
    <n v="7874.607443882147"/>
    <n v="375.83712427140989"/>
    <n v="324.65388636473205"/>
    <n v="447.11689286450252"/>
    <n v="12.7"/>
    <n v="4773.1314782469053"/>
  </r>
  <r>
    <n v="63"/>
    <s v="TEL 404"/>
    <x v="2"/>
    <s v="May"/>
    <n v="7"/>
    <x v="5"/>
    <n v="1000"/>
    <n v="4.5520943490250147E-2"/>
    <n v="4.4888161446463598E-2"/>
    <n v="9.6494612151748812E-3"/>
    <n v="3.0697420165893358E-2"/>
    <n v="6.2323698903622021E-2"/>
    <n v="3143.2289068933196"/>
    <n v="141.09376663581864"/>
    <n v="96.489018432485921"/>
    <n v="195.89765197838022"/>
    <n v="12.7"/>
    <n v="1791.8908362748966"/>
  </r>
  <r>
    <n v="64"/>
    <s v="TEL 404"/>
    <x v="2"/>
    <s v="May"/>
    <n v="8"/>
    <x v="6"/>
    <n v="1000"/>
    <n v="2.8372660377824623E-2"/>
    <n v="2.8201529731948151E-2"/>
    <n v="2.9558489846882498E-3"/>
    <n v="2.400364747173107E-2"/>
    <n v="3.3606246578110399E-2"/>
    <n v="14985.197005970756"/>
    <n v="422.60547890298471"/>
    <n v="359.69938622576194"/>
    <n v="503.59622560421491"/>
    <n v="15.9"/>
    <n v="6719.4271145574567"/>
  </r>
  <r>
    <n v="65"/>
    <s v="TEL 404"/>
    <x v="2"/>
    <s v="May"/>
    <n v="9"/>
    <x v="7"/>
    <n v="1000"/>
    <n v="6.6113801044227719E-2"/>
    <n v="6.5565720996550739E-2"/>
    <n v="8.7687298072278361E-3"/>
    <n v="5.252416490334437E-2"/>
    <n v="8.1414682695005042E-2"/>
    <n v="7110.1259590049967"/>
    <n v="466.18053487845435"/>
    <n v="373.45342835432797"/>
    <n v="578.86864887391027"/>
    <n v="10.4"/>
    <n v="4848.2775627359251"/>
  </r>
  <r>
    <n v="66"/>
    <s v="TEL 404"/>
    <x v="2"/>
    <s v="May"/>
    <n v="10"/>
    <x v="8"/>
    <n v="1000"/>
    <n v="0.16313012413424868"/>
    <n v="0.16118339617056293"/>
    <n v="1.9872212925697512E-2"/>
    <n v="0.13380260081587092"/>
    <n v="0.2004529893262845"/>
    <n v="11841.968099077438"/>
    <n v="1908.7286355527667"/>
    <n v="1584.4861304351361"/>
    <n v="2373.757904966571"/>
    <n v="13.3"/>
    <n v="25386.090852851798"/>
  </r>
  <r>
    <n v="69"/>
    <s v="TEL 404"/>
    <x v="2"/>
    <s v="May"/>
    <n v="13"/>
    <x v="9"/>
    <n v="1000"/>
    <n v="3.0157177292140899E-2"/>
    <n v="2.818948568637809E-2"/>
    <n v="8.9930683635805215E-3"/>
    <n v="2.1601340926576673E-2"/>
    <n v="5.0709921282438342E-2"/>
    <n v="4906.4659682331812"/>
    <n v="138.31075218221048"/>
    <n v="105.98624412445106"/>
    <n v="248.80650302406724"/>
    <n v="17.8"/>
    <n v="2461.9313888433467"/>
  </r>
  <r>
    <n v="70"/>
    <s v="TEL 463"/>
    <x v="3"/>
    <s v="May"/>
    <n v="1"/>
    <x v="0"/>
    <s v="not covered"/>
    <m/>
    <m/>
    <m/>
    <m/>
    <m/>
    <m/>
    <m/>
    <m/>
    <m/>
    <m/>
    <m/>
  </r>
  <r>
    <n v="71"/>
    <s v="TEL 463"/>
    <x v="3"/>
    <s v="May"/>
    <n v="2"/>
    <x v="1"/>
    <n v="1000"/>
    <n v="0.15121700355972029"/>
    <n v="0.14602584407140676"/>
    <n v="3.615106370434177E-2"/>
    <n v="0.10185375546953773"/>
    <n v="0.21696693186434438"/>
    <n v="12937.515211791189"/>
    <n v="1889.2115789884731"/>
    <n v="1317.7345107652045"/>
    <n v="2807.0129814506181"/>
    <n v="14.7"/>
    <n v="27771.410211130555"/>
  </r>
  <r>
    <n v="72"/>
    <s v="TEL 463"/>
    <x v="3"/>
    <s v="May"/>
    <n v="3"/>
    <x v="2"/>
    <n v="1000"/>
    <n v="0.44316723881301839"/>
    <n v="0.39386443575796543"/>
    <n v="0.15923088351191014"/>
    <n v="0.27816643695364029"/>
    <n v="0.78461339500482041"/>
    <n v="10953.043037802479"/>
    <n v="4314.0141159167852"/>
    <n v="3046.7689556253922"/>
    <n v="8593.9042835241144"/>
    <n v="8.4"/>
    <n v="36237.718573701"/>
  </r>
  <r>
    <n v="74"/>
    <s v="TEL 463"/>
    <x v="3"/>
    <s v="May"/>
    <n v="5"/>
    <x v="3"/>
    <n v="1000"/>
    <n v="8.9396778957507764E-2"/>
    <n v="7.9135672321662215E-2"/>
    <n v="2.5591415321087115E-2"/>
    <n v="6.6592267016809231E-2"/>
    <n v="0.14879322613290324"/>
    <n v="13991.101427824766"/>
    <n v="1107.1952180114811"/>
    <n v="931.6991621409677"/>
    <n v="2081.7811185987157"/>
    <n v="13.2"/>
    <n v="14614.976877751549"/>
  </r>
  <r>
    <n v="75"/>
    <s v="TEL 463"/>
    <x v="3"/>
    <s v="May"/>
    <n v="6"/>
    <x v="4"/>
    <n v="1000"/>
    <n v="8.3374207940841369E-2"/>
    <n v="7.8671876392375689E-2"/>
    <n v="1.8288481350023356E-2"/>
    <n v="6.3372125342097921E-2"/>
    <n v="0.12209406280070939"/>
    <n v="6966.102651973556"/>
    <n v="548.03636677266411"/>
    <n v="441.45673040678895"/>
    <n v="850.5197746662476"/>
    <n v="13.2"/>
    <n v="7234.0800413991656"/>
  </r>
  <r>
    <n v="76"/>
    <s v="TEL 463"/>
    <x v="3"/>
    <s v="May"/>
    <n v="7"/>
    <x v="5"/>
    <n v="1000"/>
    <n v="5.6304687703999691E-2"/>
    <n v="4.2348945751919297E-2"/>
    <n v="6.3903208602128114E-2"/>
    <n v="3.0589445220539468E-2"/>
    <n v="6.429767481686946E-2"/>
    <n v="2532.5333267390947"/>
    <n v="107.25011646900163"/>
    <n v="77.468789467476114"/>
    <n v="162.83600430555492"/>
    <n v="13.2"/>
    <n v="1415.7015373908214"/>
  </r>
  <r>
    <n v="77"/>
    <s v="TEL 463"/>
    <x v="3"/>
    <s v="May"/>
    <n v="8"/>
    <x v="6"/>
    <n v="1000"/>
    <n v="3.5582634195367412E-2"/>
    <n v="2.8140496494571447E-2"/>
    <n v="2.13415495235591E-2"/>
    <n v="1.1644534491726848E-2"/>
    <n v="7.5881900702536115E-2"/>
    <n v="13775.148973606703"/>
    <n v="387.63953140397888"/>
    <n v="160.40519735183895"/>
    <n v="1045.2844865778661"/>
    <n v="15.4"/>
    <n v="5969.6487836212746"/>
  </r>
  <r>
    <n v="78"/>
    <s v="TEL 463"/>
    <x v="3"/>
    <s v="May"/>
    <n v="9"/>
    <x v="7"/>
    <n v="1000"/>
    <n v="4.9987708054311325E-2"/>
    <n v="4.9214798438026119E-2"/>
    <n v="8.2486900723307954E-3"/>
    <n v="3.7519817954120072E-2"/>
    <n v="6.4540257020729103E-2"/>
    <n v="5560.7756961151053"/>
    <n v="273.67245504337927"/>
    <n v="208.63929180193406"/>
    <n v="358.89389266189266"/>
    <n v="15.4"/>
    <n v="4214.5558076680409"/>
  </r>
  <r>
    <n v="79"/>
    <s v="TEL 463"/>
    <x v="3"/>
    <s v="May"/>
    <n v="10"/>
    <x v="8"/>
    <n v="1000"/>
    <n v="6.7005195365554437E-2"/>
    <n v="6.4049435342417194E-2"/>
    <n v="1.2955569409946039E-2"/>
    <n v="5.1226832586902686E-2"/>
    <n v="9.2798517535789993E-2"/>
    <n v="10828.706776282988"/>
    <n v="693.57255450953221"/>
    <n v="554.72034916130735"/>
    <n v="1004.8879356688249"/>
    <n v="15.4"/>
    <n v="10681.017339446797"/>
  </r>
  <r>
    <n v="82"/>
    <s v="TEL 463"/>
    <x v="3"/>
    <s v="May"/>
    <n v="13"/>
    <x v="9"/>
    <s v="not covered"/>
    <m/>
    <n v="0"/>
    <n v="0"/>
    <n v="0"/>
    <n v="0"/>
    <m/>
    <n v="0"/>
    <n v="0"/>
    <n v="0"/>
    <n v="15.9"/>
    <n v="0"/>
  </r>
  <r>
    <n v="83"/>
    <s v="TEL 526"/>
    <x v="4"/>
    <s v="May"/>
    <n v="1"/>
    <x v="0"/>
    <n v="1000"/>
    <n v="4.0619747694862268E-3"/>
    <n v="3.851761924480199E-3"/>
    <n v="9.9553345124334157E-4"/>
    <n v="2.8273931803865235E-3"/>
    <n v="6.0205762492076187E-3"/>
    <n v="20710.167560200389"/>
    <n v="79.770634857984831"/>
    <n v="58.555786524372785"/>
    <n v="124.68714293005256"/>
    <n v="9.8000000000000007"/>
    <n v="781.75222160825138"/>
  </r>
  <r>
    <n v="84"/>
    <s v="TEL 526"/>
    <x v="4"/>
    <s v="May"/>
    <n v="2"/>
    <x v="1"/>
    <n v="1000"/>
    <n v="0.23055732501273593"/>
    <n v="0.17451064979952424"/>
    <n v="0.15751662542512318"/>
    <n v="0.12420085984730847"/>
    <n v="0.62583761641580848"/>
    <n v="12937.515211791189"/>
    <n v="2257.7341864009099"/>
    <n v="1606.8505135920989"/>
    <n v="8096.7836824906617"/>
    <n v="8.5"/>
    <n v="19190.740584407733"/>
  </r>
  <r>
    <n v="85"/>
    <s v="TEL 526"/>
    <x v="4"/>
    <s v="May"/>
    <n v="3"/>
    <x v="2"/>
    <n v="1000"/>
    <n v="0.48858352211529038"/>
    <n v="0.48203284556356152"/>
    <n v="5.9483274677867119E-2"/>
    <n v="0.40789695545643145"/>
    <n v="0.59416292051892727"/>
    <n v="10953.043037802479"/>
    <n v="5279.7265030920853"/>
    <n v="4467.7129081028943"/>
    <n v="6507.8920399102244"/>
    <n v="10.4"/>
    <n v="54909.155632157686"/>
  </r>
  <r>
    <n v="87"/>
    <s v="TEL 526"/>
    <x v="4"/>
    <s v="May"/>
    <n v="5"/>
    <x v="3"/>
    <n v="1000"/>
    <n v="6.28637965272687E-2"/>
    <n v="6.2704856298808523E-2"/>
    <n v="4.6544421588200985E-3"/>
    <n v="5.5438389152064685E-2"/>
    <n v="7.0854420671602331E-2"/>
    <n v="13991.101427824766"/>
    <n v="877.31000449380667"/>
    <n v="775.64412562175721"/>
    <n v="991.33138622615195"/>
    <n v="13.8"/>
    <n v="12106.878062014533"/>
  </r>
  <r>
    <n v="88"/>
    <s v="TEL 526"/>
    <x v="4"/>
    <s v="May"/>
    <n v="6"/>
    <x v="4"/>
    <n v="1000"/>
    <n v="0.2296340281408141"/>
    <n v="0.22626198056104302"/>
    <n v="3.0002222075404161E-2"/>
    <n v="0.18675858687811736"/>
    <n v="0.28377610565455036"/>
    <n v="6966.102651973556"/>
    <n v="1576.164182827071"/>
    <n v="1300.979487330487"/>
    <n v="1976.8134821668914"/>
    <n v="12.7"/>
    <n v="20017.285121903802"/>
  </r>
  <r>
    <n v="89"/>
    <s v="TEL 526"/>
    <x v="4"/>
    <s v="May"/>
    <n v="7"/>
    <x v="5"/>
    <n v="1000"/>
    <n v="1.4682866892843404E-2"/>
    <n v="1.4687873022295619E-2"/>
    <n v="3.3269910523013842E-3"/>
    <n v="9.0049228522342713E-3"/>
    <n v="2.0349780594243437E-2"/>
    <n v="2532.5333267390947"/>
    <n v="37.197527927875726"/>
    <n v="22.805267227997756"/>
    <n v="51.536497546750006"/>
    <n v="12.7"/>
    <n v="472.40860468402167"/>
  </r>
  <r>
    <n v="90"/>
    <s v="TEL 526"/>
    <x v="4"/>
    <s v="May"/>
    <n v="8"/>
    <x v="6"/>
    <n v="1000"/>
    <n v="1.286660968187384E-2"/>
    <n v="1.0067769792160536E-2"/>
    <n v="7.5746213845690235E-3"/>
    <n v="8.2694468631924131E-3"/>
    <n v="3.1600840798144875E-2"/>
    <n v="13775.148973606703"/>
    <n v="138.68502871898878"/>
    <n v="113.91286246980015"/>
    <n v="435.30628968567419"/>
    <n v="14.7"/>
    <n v="2038.6699221691349"/>
  </r>
  <r>
    <n v="91"/>
    <s v="TEL 526"/>
    <x v="4"/>
    <s v="May"/>
    <n v="9"/>
    <x v="7"/>
    <n v="1000"/>
    <n v="5.4564304416470193E-2"/>
    <n v="5.0515392740935798E-2"/>
    <n v="1.6723013317748031E-2"/>
    <n v="3.5151921503239217E-2"/>
    <n v="8.7733582685122852E-2"/>
    <n v="5560.7756961151053"/>
    <n v="280.90476823350519"/>
    <n v="195.4719507669586"/>
    <n v="487.86677432853617"/>
    <n v="11.4"/>
    <n v="3202.3143578619593"/>
  </r>
  <r>
    <n v="92"/>
    <s v="TEL 526"/>
    <x v="4"/>
    <s v="May"/>
    <n v="10"/>
    <x v="8"/>
    <n v="1000"/>
    <n v="5.9437690542769324E-2"/>
    <n v="5.682282491735819E-2"/>
    <n v="1.2258617696142194E-2"/>
    <n v="4.4157643351643287E-2"/>
    <n v="8.3246466472479075E-2"/>
    <n v="10828.706776282988"/>
    <n v="615.31770923013846"/>
    <n v="478.17017178662712"/>
    <n v="901.45157559214874"/>
    <n v="11.8"/>
    <n v="7260.7489689156346"/>
  </r>
  <r>
    <n v="95"/>
    <s v="TEL 526"/>
    <x v="4"/>
    <s v="May"/>
    <n v="13"/>
    <x v="9"/>
    <n v="1000"/>
    <n v="2.2239278296399597E-2"/>
    <n v="1.4237372838306818E-2"/>
    <n v="2.7820924983605364E-2"/>
    <n v="1.0387984741762904E-2"/>
    <n v="5.4302856931748994E-2"/>
    <n v="5410.2633795388801"/>
    <n v="77.02793688793291"/>
    <n v="56.201733435568492"/>
    <n v="293.7927582621806"/>
    <n v="13.8"/>
    <n v="1062.9855290534742"/>
  </r>
  <r>
    <n v="96"/>
    <s v="TEL 603"/>
    <x v="5"/>
    <s v="May"/>
    <n v="1"/>
    <x v="0"/>
    <n v="1000"/>
    <n v="0.15190086662369928"/>
    <n v="6.7815304342814242E-2"/>
    <n v="0.17893322196306857"/>
    <n v="2.8897304995747428E-2"/>
    <n v="0.57356208537069731"/>
    <n v="20710.167560200389"/>
    <n v="1404.466316085668"/>
    <n v="598.46802850014501"/>
    <n v="11878.566894205102"/>
    <n v="9"/>
    <n v="12640.196844771013"/>
  </r>
  <r>
    <n v="97"/>
    <s v="TEL 603"/>
    <x v="5"/>
    <s v="May"/>
    <n v="2"/>
    <x v="1"/>
    <n v="1000"/>
    <n v="1.6637451549716897E-3"/>
    <n v="1.4043292710140436E-3"/>
    <n v="9.8992662137440952E-4"/>
    <n v="7.7177495096714523E-4"/>
    <n v="3.9494556900343423E-3"/>
    <n v="12937.515211791189"/>
    <n v="18.16853130610782"/>
    <n v="9.9848501682168411"/>
    <n v="51.096143068114571"/>
    <n v="18.399999999999999"/>
    <n v="334.30097603238386"/>
  </r>
  <r>
    <n v="98"/>
    <s v="TEL 603"/>
    <x v="5"/>
    <s v="May"/>
    <n v="3"/>
    <x v="2"/>
    <n v="1000"/>
    <n v="0.16207951885731939"/>
    <n v="0.15611859948174694"/>
    <n v="3.6468339370682112E-2"/>
    <n v="0.11275433159679221"/>
    <n v="0.22986030143001504"/>
    <n v="10953.043037802479"/>
    <n v="1709.9737391250221"/>
    <n v="1235.0030466783171"/>
    <n v="2517.6697742452056"/>
    <n v="16.899999999999999"/>
    <n v="28898.556191212872"/>
  </r>
  <r>
    <n v="100"/>
    <s v="TEL 603"/>
    <x v="5"/>
    <s v="May"/>
    <n v="5"/>
    <x v="3"/>
    <n v="1000"/>
    <n v="0.18518327848590674"/>
    <n v="0.17583443371159627"/>
    <n v="4.8389549377127174E-2"/>
    <n v="0.11779041751961183"/>
    <n v="0.27450415558087377"/>
    <n v="13991.101427824766"/>
    <n v="2460.1173965630737"/>
    <n v="1648.0176787427165"/>
    <n v="3840.6154830913947"/>
    <n v="18.7"/>
    <n v="46004.195315729477"/>
  </r>
  <r>
    <n v="101"/>
    <s v="TEL 603"/>
    <x v="5"/>
    <s v="May"/>
    <n v="6"/>
    <x v="4"/>
    <n v="1000"/>
    <n v="0.11291222360936216"/>
    <n v="6.0956250888259692E-2"/>
    <n v="0.20432008573819302"/>
    <n v="3.7226436585998168E-2"/>
    <n v="0.76104226614136516"/>
    <n v="6966.102651973556"/>
    <n v="424.62750096707128"/>
    <n v="259.32317862524724"/>
    <n v="5301.4985484313283"/>
    <n v="19.399999999999999"/>
    <n v="8237.7735187611815"/>
  </r>
  <r>
    <n v="102"/>
    <s v="TEL 603"/>
    <x v="5"/>
    <s v="May"/>
    <n v="7"/>
    <x v="5"/>
    <n v="1000"/>
    <n v="3.4749660038418215E-2"/>
    <n v="2.7413726897774278E-2"/>
    <n v="2.694118740599747E-2"/>
    <n v="1.3553654669626013E-2"/>
    <n v="0.10336599009170613"/>
    <n v="2532.5333267390947"/>
    <n v="69.426176978737288"/>
    <n v="34.325082149940833"/>
    <n v="261.77781475862884"/>
    <n v="19.3"/>
    <n v="1339.9252156896298"/>
  </r>
  <r>
    <n v="103"/>
    <s v="TEL 603"/>
    <x v="5"/>
    <s v="May"/>
    <n v="8"/>
    <x v="6"/>
    <n v="1000"/>
    <n v="3.7793398987877747E-3"/>
    <n v="2.8807735837156952E-3"/>
    <n v="3.5579333604329202E-3"/>
    <n v="1.9456424441637052E-3"/>
    <n v="6.9958560047846431E-3"/>
    <n v="14985.197005970756"/>
    <n v="43.168959681576084"/>
    <n v="29.15583532897158"/>
    <n v="104.83428045710137"/>
    <n v="8.1"/>
    <n v="349.66857342076628"/>
  </r>
  <r>
    <n v="104"/>
    <s v="TEL 603"/>
    <x v="5"/>
    <s v="May"/>
    <n v="9"/>
    <x v="7"/>
    <n v="1000"/>
    <n v="0.15209274533152795"/>
    <n v="0.13204541164217226"/>
    <n v="8.5206642381216932E-2"/>
    <n v="5.32646406921546E-2"/>
    <n v="0.3144385195170244"/>
    <m/>
    <n v="0"/>
    <n v="0"/>
    <n v="0"/>
    <n v="11.7"/>
    <n v="0"/>
  </r>
  <r>
    <n v="105"/>
    <s v="TEL 603"/>
    <x v="5"/>
    <s v="May"/>
    <n v="10"/>
    <x v="8"/>
    <n v="1000"/>
    <n v="3.8103023458412488E-2"/>
    <n v="2.506600207213561E-2"/>
    <n v="3.6087656839493588E-2"/>
    <n v="1.8283308691732273E-3"/>
    <n v="0.10904895990614599"/>
    <m/>
    <n v="0"/>
    <n v="0"/>
    <n v="0"/>
    <n v="15.3"/>
    <n v="0"/>
  </r>
  <r>
    <n v="107"/>
    <s v="TEL 603"/>
    <x v="5"/>
    <s v="May"/>
    <n v="13"/>
    <x v="9"/>
    <n v="1000"/>
    <n v="8.3963286985296315E-3"/>
    <n v="3.517049889217836E-3"/>
    <n v="1.050224439167775E-2"/>
    <n v="8.551560766384646E-4"/>
    <n v="3.3451488195958452E-2"/>
    <n v="4906.4659682331812"/>
    <n v="17.256285590025591"/>
    <n v="4.1957941875544327"/>
    <n v="164.12858842022413"/>
    <n v="15.6"/>
    <n v="269.19805520439922"/>
  </r>
  <r>
    <n v="108"/>
    <s v="T742"/>
    <x v="6"/>
    <s v="May"/>
    <n v="1"/>
    <x v="0"/>
    <n v="1000"/>
    <n v="7.8052971045370165E-2"/>
    <n v="5.4734117779048616E-2"/>
    <n v="7.7940561247372336E-2"/>
    <n v="2.5887002464015506E-2"/>
    <n v="0.29205955065665812"/>
    <n v="20710.167560200389"/>
    <n v="1133.5527504638401"/>
    <n v="536.12415866108142"/>
    <n v="6048.602231656223"/>
    <n v="7.6"/>
    <n v="8615.0009035251842"/>
  </r>
  <r>
    <n v="109"/>
    <s v="T742"/>
    <x v="6"/>
    <s v="May"/>
    <n v="2"/>
    <x v="1"/>
    <n v="1000"/>
    <n v="0.61643789225818235"/>
    <n v="0.61160054380813467"/>
    <n v="7.2773414922742974E-2"/>
    <n v="0.50807518584888223"/>
    <n v="0.74428130000558801"/>
    <n v="12937.515211791189"/>
    <n v="7912.591339057506"/>
    <n v="6573.2304456535494"/>
    <n v="9629.1506406740173"/>
    <n v="10.1"/>
    <n v="79917.172524480804"/>
  </r>
  <r>
    <n v="110"/>
    <s v="T742"/>
    <x v="6"/>
    <s v="May"/>
    <n v="3"/>
    <x v="2"/>
    <n v="1000"/>
    <n v="0.33087802059523863"/>
    <n v="0.32399449854260542"/>
    <n v="6.2883219881779265E-2"/>
    <n v="0.2331425868770903"/>
    <n v="0.44659245050955743"/>
    <m/>
    <s v="not covered"/>
    <m/>
    <m/>
    <m/>
    <m/>
  </r>
  <r>
    <n v="112"/>
    <s v="T742"/>
    <x v="6"/>
    <s v="May"/>
    <n v="5"/>
    <x v="3"/>
    <n v="1000"/>
    <n v="0.50330761414107461"/>
    <n v="0.45757116232642414"/>
    <n v="0.22634533663910894"/>
    <n v="0.23845850668267865"/>
    <n v="0.92841661441141721"/>
    <m/>
    <s v="not covered"/>
    <m/>
    <m/>
    <m/>
    <m/>
  </r>
  <r>
    <n v="113"/>
    <s v="T742"/>
    <x v="6"/>
    <s v="May"/>
    <n v="6"/>
    <x v="4"/>
    <n v="1000"/>
    <n v="0.64233319478569773"/>
    <n v="0.62653491476976497"/>
    <n v="8.8009894964745747E-2"/>
    <n v="0.5314689527078611"/>
    <n v="0.80845090337987213"/>
    <n v="5721.1040333376059"/>
    <n v="3584.4714279161353"/>
    <n v="3040.5891689306573"/>
    <n v="4625.2317240820175"/>
    <n v="10"/>
    <n v="35844.714279161351"/>
  </r>
  <r>
    <n v="114"/>
    <s v="T742"/>
    <x v="6"/>
    <s v="May"/>
    <n v="7"/>
    <x v="5"/>
    <n v="1000"/>
    <n v="1.4204472062771012"/>
    <n v="1.3644362840767497"/>
    <n v="0.43560426912932571"/>
    <n v="0.77304353081691946"/>
    <n v="2.1981417154107623"/>
    <n v="1865.0439227923566"/>
    <n v="2544.7335996547276"/>
    <n v="1441.7601392040415"/>
    <n v="4099.6308477632083"/>
    <n v="10"/>
    <n v="25447.335996547277"/>
  </r>
  <r>
    <n v="115"/>
    <s v="T742"/>
    <x v="6"/>
    <s v="May"/>
    <n v="8"/>
    <x v="6"/>
    <n v="1000"/>
    <n v="0.25700896980312882"/>
    <n v="0.25334776507820245"/>
    <n v="3.4069569441200979E-2"/>
    <n v="0.20711274279886366"/>
    <n v="0.32183373222174716"/>
    <n v="13775.148973606703"/>
    <n v="3489.9032060825525"/>
    <n v="2853.0088863866358"/>
    <n v="4433.307606086415"/>
    <n v="8.1999999999999993"/>
    <n v="28617.206289876929"/>
  </r>
  <r>
    <n v="116"/>
    <s v="T742"/>
    <x v="6"/>
    <s v="May"/>
    <n v="9"/>
    <x v="7"/>
    <n v="1000"/>
    <n v="0.26815613819125234"/>
    <n v="0.22335431728257549"/>
    <n v="0.15190099412141489"/>
    <n v="0.10401925864275657"/>
    <n v="0.58359837722517416"/>
    <n v="5560.7756961151053"/>
    <n v="1242.0232591673278"/>
    <n v="578.42776538855185"/>
    <n v="3245.2596723659635"/>
    <n v="16"/>
    <n v="19872.372146677244"/>
  </r>
  <r>
    <n v="117"/>
    <s v="T742"/>
    <x v="6"/>
    <s v="May"/>
    <n v="10"/>
    <x v="8"/>
    <n v="1000"/>
    <n v="0.66065861146768179"/>
    <n v="0.65699568117765206"/>
    <n v="6.2653371080200707E-2"/>
    <n v="0.57009902403040935"/>
    <n v="0.76714923339617647"/>
    <n v="10828.706776282988"/>
    <n v="7114.4135847570988"/>
    <n v="6173.4351646704117"/>
    <n v="8307.2341020974764"/>
    <n v="12.2"/>
    <n v="86795.8457340366"/>
  </r>
  <r>
    <n v="120"/>
    <s v="T742"/>
    <x v="6"/>
    <s v="May"/>
    <n v="13"/>
    <x v="9"/>
    <n v="1000"/>
    <n v="0.59070833054405236"/>
    <n v="0.40313778605675915"/>
    <n v="0.40235301393043288"/>
    <n v="0.26776685819854962"/>
    <n v="1.4584280650197226"/>
    <n v="2740.3057637519273"/>
    <n v="1104.7207987175284"/>
    <n v="733.76306486323051"/>
    <n v="3996.5388325911163"/>
    <n v="12.6"/>
    <n v="13919.482063840858"/>
  </r>
  <r>
    <n v="121"/>
    <s v="T808"/>
    <x v="7"/>
    <s v="May"/>
    <n v="1"/>
    <x v="0"/>
    <n v="1000"/>
    <n v="9.8169614223109464E-2"/>
    <n v="8.0895664412278204E-2"/>
    <n v="4.5240614563140651E-2"/>
    <n v="5.5891792827067063E-2"/>
    <n v="0.18553011461753038"/>
    <n v="20710.167560200389"/>
    <n v="1675.3627648720212"/>
    <n v="1157.5283946885652"/>
    <n v="3842.3597611922378"/>
    <n v="11.5"/>
    <n v="19266.671796028244"/>
  </r>
  <r>
    <n v="122"/>
    <s v="T808"/>
    <x v="7"/>
    <s v="May"/>
    <n v="2"/>
    <x v="1"/>
    <n v="1000"/>
    <n v="0.23725408312536297"/>
    <n v="0.23115596741464767"/>
    <n v="4.0483279208877489E-2"/>
    <n v="0.18161105115951012"/>
    <n v="0.30667398833357229"/>
    <n v="12937.515211791189"/>
    <n v="2990.5838447233127"/>
    <n v="2349.5957370055503"/>
    <n v="3967.5993891262651"/>
    <n v="6.1"/>
    <n v="18242.561452812206"/>
  </r>
  <r>
    <n v="123"/>
    <s v="T808"/>
    <x v="7"/>
    <s v="May"/>
    <n v="3"/>
    <x v="2"/>
    <n v="1000"/>
    <n v="0.43314178190084235"/>
    <n v="0.34427708108629662"/>
    <n v="0.3389344223530677"/>
    <n v="0.28250042241738371"/>
    <n v="0.78944755198219352"/>
    <n v="10953.043037802479"/>
    <n v="3770.8816860672209"/>
    <n v="3094.239284934984"/>
    <n v="8646.8530129487754"/>
    <n v="18.100000000000001"/>
    <n v="68252.958517816704"/>
  </r>
  <r>
    <n v="125"/>
    <s v="T808"/>
    <x v="7"/>
    <s v="May"/>
    <n v="5"/>
    <x v="3"/>
    <n v="1000"/>
    <n v="9.5983448500616519E-2"/>
    <n v="9.2086651683794929E-2"/>
    <n v="2.1333564329890479E-2"/>
    <n v="6.921413766147308E-2"/>
    <n v="0.1367799535605338"/>
    <n v="13991.101427824766"/>
    <n v="1288.3936838567452"/>
    <n v="968.38202026109593"/>
    <n v="1913.7022035585896"/>
    <n v="17.899999999999999"/>
    <n v="23062.246941035737"/>
  </r>
  <r>
    <n v="126"/>
    <s v="T808"/>
    <x v="7"/>
    <s v="May"/>
    <n v="6"/>
    <x v="4"/>
    <n v="1000"/>
    <n v="7.1066347696270543E-2"/>
    <n v="6.9407952801289668E-2"/>
    <n v="1.7602632018096274E-2"/>
    <n v="4.6124491362227481E-2"/>
    <n v="0.10385672041427169"/>
    <n v="6966.102651973556"/>
    <n v="483.50292407711936"/>
    <n v="321.30794159934425"/>
    <n v="723.4765755031342"/>
    <n v="21.1"/>
    <n v="10201.911698027219"/>
  </r>
  <r>
    <n v="127"/>
    <s v="T808"/>
    <x v="7"/>
    <s v="May"/>
    <n v="7"/>
    <x v="5"/>
    <n v="1000"/>
    <n v="2.0386575018138838E-2"/>
    <n v="1.103126197095125E-2"/>
    <n v="2.0684147885088225E-2"/>
    <n v="6.4061257951752663E-3"/>
    <n v="6.6571748585614612E-2"/>
    <n v="2532.5333267390947"/>
    <n v="27.937038577423632"/>
    <n v="16.223727071564344"/>
    <n v="168.5951719123652"/>
    <n v="21.1"/>
    <n v="589.47151398363872"/>
  </r>
  <r>
    <n v="128"/>
    <s v="T808"/>
    <x v="7"/>
    <s v="May"/>
    <n v="8"/>
    <x v="6"/>
    <n v="1000"/>
    <n v="0.52115089626055811"/>
    <n v="0.51616549165616099"/>
    <n v="5.3336562667907032E-2"/>
    <n v="0.43966551685559407"/>
    <n v="0.61534913076891962"/>
    <n v="13775.148973606703"/>
    <n v="7110.2565425985658"/>
    <n v="6056.4579932435972"/>
    <n v="8476.5259471212594"/>
    <n v="9.4"/>
    <n v="66836.411500426519"/>
  </r>
  <r>
    <n v="129"/>
    <s v="T808"/>
    <x v="7"/>
    <s v="May"/>
    <n v="9"/>
    <x v="7"/>
    <n v="1000"/>
    <n v="4.6204018653746258E-2"/>
    <n v="3.9920147701256029E-2"/>
    <n v="1.6589977025389252E-2"/>
    <n v="3.0333490969965536E-2"/>
    <n v="7.9095819971722769E-2"/>
    <n v="5560.7756961151053"/>
    <n v="221.98698712246983"/>
    <n v="168.67773936411137"/>
    <n v="439.83411336305176"/>
    <n v="9.9"/>
    <n v="2197.6711725124514"/>
  </r>
  <r>
    <n v="130"/>
    <s v="T808"/>
    <x v="7"/>
    <s v="May"/>
    <n v="10"/>
    <x v="8"/>
    <n v="1000"/>
    <n v="0.2963053452912679"/>
    <n v="0.29183233750508686"/>
    <n v="3.896808981280532E-2"/>
    <n v="0.23825845255893124"/>
    <n v="0.36688562279252568"/>
    <n v="10828.706776282988"/>
    <n v="3160.1668106798384"/>
    <n v="2580.0309197315978"/>
    <n v="3972.8968296542271"/>
    <n v="10.8"/>
    <n v="34129.801555342259"/>
  </r>
  <r>
    <n v="133"/>
    <s v="T808"/>
    <x v="7"/>
    <s v="May"/>
    <n v="13"/>
    <x v="9"/>
    <n v="1000"/>
    <n v="0.13170394614741132"/>
    <n v="0.12600284076290486"/>
    <n v="2.5869306436000973E-2"/>
    <n v="9.851794199440278E-2"/>
    <n v="0.18267836887245731"/>
    <n v="5410.2633795388801"/>
    <n v="681.70855509741295"/>
    <n v="533.00801379985296"/>
    <n v="988.33808934455101"/>
    <n v="16.5"/>
    <n v="11248.191159107313"/>
  </r>
  <r>
    <n v="134"/>
    <s v="WT887"/>
    <x v="8"/>
    <s v="May"/>
    <n v="1"/>
    <x v="0"/>
    <n v="1000"/>
    <n v="8.0712263756367475E-2"/>
    <n v="7.7266122201321147E-2"/>
    <n v="1.4930801756688155E-2"/>
    <n v="6.26105268519834E-2"/>
    <n v="0.11032648196022596"/>
    <n v="20710.167560200389"/>
    <n v="1600.1943375162803"/>
    <n v="1296.674502137002"/>
    <n v="2284.8799277237049"/>
    <n v="8.6999999999999993"/>
    <n v="13921.690736391638"/>
  </r>
  <r>
    <n v="135"/>
    <s v="WT887"/>
    <x v="8"/>
    <s v="May"/>
    <n v="2"/>
    <x v="1"/>
    <n v="1000"/>
    <n v="0.44107083456456525"/>
    <n v="0.42165396776453457"/>
    <n v="6.0374027049629929E-2"/>
    <n v="0.38079335564299088"/>
    <n v="0.56549681074769853"/>
    <n v="12937.515211791189"/>
    <n v="5455.1546220657774"/>
    <n v="4926.5198311802069"/>
    <n v="7316.123591267753"/>
    <n v="8.5226369047619048"/>
    <n v="46492.302103200273"/>
  </r>
  <r>
    <n v="136"/>
    <s v="WT887"/>
    <x v="8"/>
    <s v="May"/>
    <n v="3"/>
    <x v="2"/>
    <n v="1000"/>
    <n v="0.54207355326819628"/>
    <n v="0.53934087582124368"/>
    <n v="4.0390540580175494E-2"/>
    <n v="0.48228724468656425"/>
    <n v="0.61559011574175204"/>
    <n v="10953.043037802479"/>
    <n v="5907.4238249161644"/>
    <n v="5282.5129476351131"/>
    <n v="6742.5850313652199"/>
    <n v="6.4"/>
    <n v="37807.512479463454"/>
  </r>
  <r>
    <n v="137"/>
    <s v="WT887"/>
    <x v="8"/>
    <s v="May"/>
    <n v="5"/>
    <x v="3"/>
    <n v="1000"/>
    <n v="0.23606874925233595"/>
    <n v="0.22926583952002749"/>
    <n v="3.425828054014865E-2"/>
    <n v="0.19611564034491841"/>
    <n v="0.300911835246507"/>
    <n v="13991.101427824766"/>
    <n v="3207.6816146601004"/>
    <n v="2743.873815648556"/>
    <n v="4210.0880077667744"/>
    <n v="13.3"/>
    <n v="42662.165474979338"/>
  </r>
  <r>
    <n v="138"/>
    <s v="WT887"/>
    <x v="8"/>
    <s v="May"/>
    <n v="6"/>
    <x v="4"/>
    <n v="1000"/>
    <n v="0.23818835292553184"/>
    <n v="0.20647252205651356"/>
    <n v="0.14021273696494077"/>
    <n v="0.18251581732274358"/>
    <n v="0.28351644936645681"/>
    <n v="6966.102651973556"/>
    <n v="1438.3087834575476"/>
    <n v="1271.4239190790852"/>
    <n v="1975.0046898098012"/>
    <n v="7.9"/>
    <n v="11362.639389314627"/>
  </r>
  <r>
    <n v="139"/>
    <s v="WT887"/>
    <x v="8"/>
    <s v="May"/>
    <n v="7"/>
    <x v="5"/>
    <n v="1000"/>
    <n v="8.4762254293597447E-2"/>
    <n v="6.791164357601151E-2"/>
    <n v="4.2316414101981295E-2"/>
    <n v="4.4574338030455449E-2"/>
    <n v="0.17430470173859286"/>
    <n v="2532.5333267390947"/>
    <n v="171.98850062987611"/>
    <n v="112.88599657946229"/>
    <n v="441.43246616030422"/>
    <n v="7.2119391025641022"/>
    <n v="1240.3705928839743"/>
  </r>
  <r>
    <n v="140"/>
    <s v="WT887"/>
    <x v="8"/>
    <s v="May"/>
    <n v="8"/>
    <x v="6"/>
    <n v="1000"/>
    <n v="0.27907323242506665"/>
    <n v="0.20644269980569491"/>
    <n v="0.29409793770997739"/>
    <n v="0.17988535185578663"/>
    <n v="0.35621407831750107"/>
    <n v="13775.148973606703"/>
    <n v="2843.7789443370148"/>
    <n v="2477.9475199831199"/>
    <n v="4906.901995319583"/>
    <n v="9.3000000000000007"/>
    <n v="26447.144182334239"/>
  </r>
  <r>
    <n v="141"/>
    <s v="WT887"/>
    <x v="8"/>
    <s v="May"/>
    <n v="9"/>
    <x v="7"/>
    <n v="1000"/>
    <n v="0.23973330793528069"/>
    <n v="0.22470672772532113"/>
    <n v="5.1095646830777657E-2"/>
    <n v="0.17854565195354424"/>
    <n v="0.33695223067280289"/>
    <n v="5560.7756961151053"/>
    <n v="1249.5437102885201"/>
    <n v="992.85232203029534"/>
    <n v="1873.715775077093"/>
    <n v="8.1"/>
    <n v="10121.304053337011"/>
  </r>
  <r>
    <n v="142"/>
    <s v="WT887"/>
    <x v="8"/>
    <s v="May"/>
    <n v="10"/>
    <x v="8"/>
    <n v="1000"/>
    <n v="0.59523256198494268"/>
    <n v="0.59175701610170206"/>
    <n v="4.5235743184627704E-2"/>
    <n v="0.52938021654409217"/>
    <n v="0.6783087059958427"/>
    <n v="10828.706776282988"/>
    <n v="6407.9632101735024"/>
    <n v="5732.5031381211666"/>
    <n v="7345.2060810289267"/>
    <n v="9"/>
    <n v="57671.668891561523"/>
  </r>
  <r>
    <n v="145"/>
    <s v="WT887"/>
    <x v="8"/>
    <s v="May"/>
    <n v="13"/>
    <x v="9"/>
    <n v="1000"/>
    <n v="2.7096771843589149E-2"/>
    <n v="2.3453432306726849E-2"/>
    <n v="1.202385171467665E-2"/>
    <n v="1.5756156007543209E-2"/>
    <n v="5.0404207267938324E-2"/>
    <n v="5410.2633795388801"/>
    <n v="126.88924593357835"/>
    <n v="85.244953849912548"/>
    <n v="272.70003675641419"/>
    <n v="13.7"/>
    <n v="1738.3826692900234"/>
  </r>
  <r>
    <n v="146"/>
    <s v="TL972"/>
    <x v="9"/>
    <s v="June"/>
    <n v="1"/>
    <x v="0"/>
    <n v="1000"/>
    <n v="6.2013716553751862E-3"/>
    <n v="4.7677963964617301E-3"/>
    <n v="4.1338262254734144E-3"/>
    <n v="3.0446877943615283E-3"/>
    <n v="1.57805615671677E-2"/>
    <n v="20710.167560200389"/>
    <n v="98.741862263642034"/>
    <n v="63.055994389724198"/>
    <n v="326.81807425010152"/>
    <n v="11.7"/>
    <n v="1155.2797884846118"/>
  </r>
  <r>
    <n v="147"/>
    <s v="TL972"/>
    <x v="9"/>
    <s v="July"/>
    <n v="2"/>
    <x v="1"/>
    <n v="1000"/>
    <n v="7.0508745564551237E-2"/>
    <n v="6.3939524798633129E-2"/>
    <n v="3.5848697139545679E-2"/>
    <n v="3.2279848629493998E-2"/>
    <n v="0.13580695173212778"/>
    <n v="12937.515211791189"/>
    <n v="827.21857471701605"/>
    <n v="417.62103267839558"/>
    <n v="1757.0045039013951"/>
    <n v="9"/>
    <n v="7444.9671724531445"/>
  </r>
  <r>
    <n v="148"/>
    <s v="TL972"/>
    <x v="9"/>
    <s v="August"/>
    <n v="3"/>
    <x v="2"/>
    <n v="1000"/>
    <n v="1.2190427341400361E-3"/>
    <n v="1.0601868884178001E-3"/>
    <n v="5.7502366518210539E-4"/>
    <n v="5.773902846916175E-4"/>
    <n v="2.3422860362305562E-3"/>
    <n v="10953.043037802479"/>
    <n v="11.61227261695406"/>
    <n v="6.3241806378363128"/>
    <n v="25.655159761677059"/>
    <n v="11.6"/>
    <n v="134.70236235666709"/>
  </r>
  <r>
    <n v="149"/>
    <s v="TL972"/>
    <x v="9"/>
    <s v="September"/>
    <n v="5"/>
    <x v="3"/>
    <n v="1000"/>
    <n v="2.4994797386674626E-2"/>
    <n v="1.8919473817002205E-2"/>
    <n v="1.9290333514906197E-2"/>
    <n v="1.1861980653102113E-2"/>
    <n v="6.9589886983465479E-2"/>
    <n v="13991.101427824766"/>
    <n v="264.70427713475283"/>
    <n v="165.96217445244673"/>
    <n v="973.63916713652793"/>
    <n v="15.4"/>
    <n v="4076.4458678751935"/>
  </r>
  <r>
    <n v="150"/>
    <s v="TL972"/>
    <x v="9"/>
    <s v="October"/>
    <n v="6"/>
    <x v="4"/>
    <n v="1000"/>
    <n v="2.9133612996892329E-2"/>
    <n v="2.3435554357661689E-2"/>
    <n v="1.9084264371745891E-2"/>
    <n v="1.6990096365550583E-2"/>
    <n v="8.5622522533229356E-2"/>
    <n v="6966.102651973556"/>
    <n v="163.25447736137752"/>
    <n v="118.3547553493482"/>
    <n v="596.45528128739454"/>
    <n v="11.5"/>
    <n v="1877.4264896558416"/>
  </r>
  <r>
    <n v="151"/>
    <s v="TL972"/>
    <x v="9"/>
    <s v="November"/>
    <n v="7"/>
    <x v="5"/>
    <n v="1000"/>
    <n v="9.517743698655487E-2"/>
    <n v="7.4891248110850919E-2"/>
    <n v="7.8910283551862762E-2"/>
    <n v="1.9408926597585478E-2"/>
    <n v="0.25267300107112056"/>
    <n v="2532.5333267390947"/>
    <n v="189.66458172181623"/>
    <n v="49.153753444618047"/>
    <n v="639.90279597979577"/>
    <n v="14"/>
    <n v="2655.3041441054274"/>
  </r>
  <r>
    <n v="152"/>
    <s v="TL972"/>
    <x v="9"/>
    <s v="December"/>
    <n v="8"/>
    <x v="6"/>
    <n v="1000"/>
    <n v="5.0863580364841647E-3"/>
    <n v="4.2472263879635447E-3"/>
    <n v="2.4569966930470376E-3"/>
    <n v="2.575132998739365E-3"/>
    <n v="1.0096757383846282E-2"/>
    <n v="13775.148973606703"/>
    <n v="58.506176218831328"/>
    <n v="35.472840684485313"/>
    <n v="139.08433711284601"/>
    <n v="11.5"/>
    <n v="672.82102651656032"/>
  </r>
  <r>
    <n v="153"/>
    <s v="TL972"/>
    <x v="9"/>
    <s v="January"/>
    <n v="9"/>
    <x v="7"/>
    <n v="1000"/>
    <n v="6.5238531183317655E-2"/>
    <n v="6.2781063556778358E-2"/>
    <n v="1.1091939426796529E-2"/>
    <n v="5.1393600785127995E-2"/>
    <n v="8.731445107720115E-2"/>
    <n v="5560.7756961151053"/>
    <n v="349.11141240279085"/>
    <n v="285.78828618178193"/>
    <n v="485.53607746973154"/>
    <n v="12.3"/>
    <n v="4294.0703725543281"/>
  </r>
  <r>
    <n v="154"/>
    <s v="TL972"/>
    <x v="9"/>
    <s v="February"/>
    <n v="10"/>
    <x v="8"/>
    <n v="1000"/>
    <n v="2.4811723614394978E-4"/>
    <n v="2.2299320151056312E-4"/>
    <n v="1.1099558968472942E-4"/>
    <n v="1.9018651544880542E-4"/>
    <n v="5.9343644839396511E-4"/>
    <n v="10828.706776282988"/>
    <n v="2.4147279922624727"/>
    <n v="2.0594740085981287"/>
    <n v="6.4261492900170403"/>
    <n v="13.1"/>
    <n v="31.632936698638392"/>
  </r>
  <r>
    <n v="157"/>
    <s v="TL972"/>
    <x v="9"/>
    <s v="May"/>
    <n v="13"/>
    <x v="9"/>
    <n v="1000"/>
    <n v="3.6048119412144903E-3"/>
    <n v="2.1837283185450005E-3"/>
    <n v="4.8823473196731608E-3"/>
    <n v="8.9117196820479516E-4"/>
    <n v="9.431847849761317E-3"/>
    <n v="5410.2633795388801"/>
    <n v="11.81454535268603"/>
    <n v="4.8214750644499906"/>
    <n v="51.028781022946184"/>
    <n v="14"/>
    <n v="165.40363493760444"/>
  </r>
  <r>
    <n v="159"/>
    <s v="none"/>
    <x v="10"/>
    <s v="May"/>
    <n v="1"/>
    <x v="0"/>
    <n v="0"/>
    <m/>
    <m/>
    <m/>
    <m/>
    <m/>
    <m/>
    <m/>
    <m/>
    <m/>
    <m/>
    <m/>
  </r>
  <r>
    <n v="160"/>
    <s v="none"/>
    <x v="11"/>
    <s v="May"/>
    <n v="1"/>
    <x v="0"/>
    <n v="0"/>
    <m/>
    <m/>
    <m/>
    <m/>
    <m/>
    <m/>
    <m/>
    <m/>
    <m/>
    <m/>
    <m/>
  </r>
  <r>
    <n v="161"/>
    <s v="none"/>
    <x v="12"/>
    <s v="May"/>
    <n v="1"/>
    <x v="0"/>
    <n v="0"/>
    <m/>
    <m/>
    <m/>
    <m/>
    <m/>
    <m/>
    <m/>
    <m/>
    <m/>
    <m/>
    <m/>
  </r>
  <r>
    <n v="162"/>
    <s v="none"/>
    <x v="13"/>
    <s v="May"/>
    <n v="1"/>
    <x v="0"/>
    <n v="0"/>
    <m/>
    <m/>
    <m/>
    <m/>
    <m/>
    <m/>
    <m/>
    <m/>
    <m/>
    <m/>
    <m/>
  </r>
  <r>
    <n v="163"/>
    <s v="none"/>
    <x v="14"/>
    <s v="May"/>
    <n v="1"/>
    <x v="0"/>
    <n v="0"/>
    <m/>
    <m/>
    <m/>
    <m/>
    <m/>
    <m/>
    <m/>
    <m/>
    <m/>
    <m/>
    <m/>
  </r>
  <r>
    <n v="164"/>
    <s v="none"/>
    <x v="15"/>
    <s v="May"/>
    <n v="1"/>
    <x v="0"/>
    <n v="0"/>
    <m/>
    <m/>
    <m/>
    <m/>
    <m/>
    <m/>
    <m/>
    <m/>
    <m/>
    <m/>
    <m/>
  </r>
  <r>
    <n v="165"/>
    <s v="none"/>
    <x v="16"/>
    <s v="May"/>
    <n v="1"/>
    <x v="0"/>
    <n v="0"/>
    <m/>
    <m/>
    <m/>
    <m/>
    <m/>
    <m/>
    <m/>
    <m/>
    <m/>
    <m/>
    <m/>
  </r>
  <r>
    <n v="166"/>
    <s v="none"/>
    <x v="17"/>
    <s v="May"/>
    <n v="1"/>
    <x v="0"/>
    <n v="0"/>
    <m/>
    <m/>
    <m/>
    <m/>
    <m/>
    <m/>
    <m/>
    <m/>
    <m/>
    <m/>
    <m/>
  </r>
  <r>
    <n v="167"/>
    <s v="none"/>
    <x v="18"/>
    <s v="May"/>
    <n v="1"/>
    <x v="0"/>
    <n v="0"/>
    <m/>
    <m/>
    <m/>
    <m/>
    <m/>
    <m/>
    <m/>
    <m/>
    <m/>
    <m/>
    <m/>
  </r>
  <r>
    <n v="168"/>
    <s v="none"/>
    <x v="19"/>
    <s v="May"/>
    <n v="1"/>
    <x v="0"/>
    <n v="0"/>
    <m/>
    <m/>
    <m/>
    <m/>
    <m/>
    <m/>
    <m/>
    <m/>
    <m/>
    <m/>
    <m/>
  </r>
  <r>
    <n v="169"/>
    <s v="none"/>
    <x v="20"/>
    <s v="May"/>
    <n v="1"/>
    <x v="0"/>
    <n v="0"/>
    <m/>
    <m/>
    <m/>
    <m/>
    <m/>
    <m/>
    <m/>
    <m/>
    <m/>
    <m/>
    <m/>
  </r>
  <r>
    <n v="170"/>
    <s v="none"/>
    <x v="21"/>
    <s v="May"/>
    <n v="1"/>
    <x v="0"/>
    <n v="0"/>
    <m/>
    <m/>
    <m/>
    <m/>
    <m/>
    <m/>
    <m/>
    <m/>
    <m/>
    <m/>
    <m/>
  </r>
  <r>
    <n v="158"/>
    <s v="TL092"/>
    <x v="22"/>
    <s v="May"/>
    <n v="1"/>
    <x v="0"/>
    <n v="1000"/>
    <n v="0.34016128073877006"/>
    <n v="0.34008136362857155"/>
    <n v="7.702552758476354E-2"/>
    <n v="0.21789890916634858"/>
    <n v="0.47000228290160295"/>
    <n v="20710.167560200389"/>
    <n v="7043.142024849155"/>
    <n v="4512.7229200199636"/>
    <n v="9733.8260325689025"/>
    <n v="7.6"/>
    <n v="53527.879388853573"/>
  </r>
  <r>
    <n v="159"/>
    <s v="TL092"/>
    <x v="22"/>
    <s v="May"/>
    <n v="2"/>
    <x v="1"/>
    <n v="1000"/>
    <n v="0.4110036352245432"/>
    <n v="0.38252963389108074"/>
    <n v="0.10493951054533167"/>
    <n v="0.29432409795506831"/>
    <n v="0.64058410740921612"/>
    <n v="12937.515211791189"/>
    <n v="4948.9829574267715"/>
    <n v="3807.8224944904164"/>
    <n v="8287.5666340384141"/>
    <n v="12.2"/>
    <n v="60377.592080606606"/>
  </r>
  <r>
    <n v="160"/>
    <s v="TL092"/>
    <x v="22"/>
    <s v="May"/>
    <n v="3"/>
    <x v="2"/>
    <n v="1000"/>
    <n v="0.24420757387674649"/>
    <n v="0.22507444978579111"/>
    <n v="6.2117516802318716E-2"/>
    <n v="0.17847643579971942"/>
    <n v="0.37203189537829118"/>
    <n v="10953.043037802479"/>
    <n v="2465.2501352134832"/>
    <n v="1954.860082547918"/>
    <n v="4074.8813615136528"/>
    <n v="12.5"/>
    <n v="30815.626690168541"/>
  </r>
  <r>
    <n v="161"/>
    <s v="TL092"/>
    <x v="22"/>
    <s v="May"/>
    <n v="5"/>
    <x v="3"/>
    <n v="1000"/>
    <n v="1.7992901419842076E-2"/>
    <n v="5.4820829439543063E-3"/>
    <n v="3.8735117103407893E-2"/>
    <n v="3.5541916817714882E-3"/>
    <n v="0.11979688952483794"/>
    <n v="13991.101427824766"/>
    <n v="76.700378504612885"/>
    <n v="49.727056313595973"/>
    <n v="1676.0904320799259"/>
    <n v="6"/>
    <n v="460.20227102767728"/>
  </r>
  <r>
    <n v="162"/>
    <s v="TL092"/>
    <x v="22"/>
    <s v="May"/>
    <n v="6"/>
    <x v="4"/>
    <n v="1000"/>
    <n v="0.16042386048758894"/>
    <n v="0.15066276876196982"/>
    <n v="3.6800162649119554E-2"/>
    <n v="0.12121456919999798"/>
    <n v="0.24316112807045617"/>
    <n v="6966.102651973556"/>
    <n v="1049.5323130264367"/>
    <n v="844.39313196193814"/>
    <n v="1693.8853791084862"/>
    <n v="14.3"/>
    <n v="15008.312076278045"/>
  </r>
  <r>
    <n v="163"/>
    <s v="TL092"/>
    <x v="22"/>
    <s v="May"/>
    <n v="7"/>
    <x v="5"/>
    <n v="1000"/>
    <n v="6.5004353040116914E-3"/>
    <n v="6.1529587185756279E-3"/>
    <n v="2.8855167947869063E-3"/>
    <n v="2.0765888039405763E-3"/>
    <n v="1.1862696189793048E-2"/>
    <n v="2532.5333267390947"/>
    <n v="15.582573012842651"/>
    <n v="5.2590303519127852"/>
    <n v="30.04267344563177"/>
    <n v="14.3"/>
    <n v="222.83079408364992"/>
  </r>
  <r>
    <n v="164"/>
    <s v="TL092"/>
    <x v="22"/>
    <s v="May"/>
    <n v="8"/>
    <x v="6"/>
    <n v="1000"/>
    <n v="6.2490408370241973E-2"/>
    <n v="6.1277867651886267E-2"/>
    <n v="7.974533326250588E-3"/>
    <n v="5.2283262413146139E-2"/>
    <n v="7.826136927634296E-2"/>
    <n v="13775.148973606703"/>
    <n v="844.11175568968849"/>
    <n v="720.20972856725996"/>
    <n v="1078.0620206600709"/>
    <n v="13.1"/>
    <n v="11057.863999534919"/>
  </r>
  <r>
    <n v="165"/>
    <s v="TL092"/>
    <x v="22"/>
    <s v="May"/>
    <n v="9"/>
    <x v="7"/>
    <n v="1000"/>
    <n v="9.6865287110698695E-3"/>
    <n v="8.4196936569694864E-3"/>
    <n v="4.3579326607662266E-3"/>
    <n v="6.5256100824614372E-3"/>
    <n v="1.9305349884333273E-2"/>
    <n v="5560.7756961151053"/>
    <n v="46.820027856410434"/>
    <n v="36.287453948875246"/>
    <n v="107.35272044179902"/>
    <n v="13.3"/>
    <n v="622.70637049025879"/>
  </r>
  <r>
    <n v="166"/>
    <s v="TL092"/>
    <x v="22"/>
    <s v="May"/>
    <n v="10"/>
    <x v="8"/>
    <n v="1000"/>
    <n v="0.26080438348506996"/>
    <n v="0.25945633795618855"/>
    <n v="1.6829511027281287E-2"/>
    <n v="0.23537136648272941"/>
    <n v="0.28999300445573256"/>
    <n v="10828.706776282988"/>
    <n v="2809.5766049757481"/>
    <n v="2548.7675111745184"/>
    <n v="3140.2492124244541"/>
    <n v="13.3"/>
    <n v="37367.368846177451"/>
  </r>
  <r>
    <n v="167"/>
    <s v="TL092"/>
    <x v="22"/>
    <s v="May"/>
    <n v="11"/>
    <x v="10"/>
    <n v="1000"/>
    <n v="9.5784866801201969E-3"/>
    <n v="4.3799418097355824E-3"/>
    <n v="1.8858770911703196E-2"/>
    <n v="2.5344283268670864E-3"/>
    <n v="2.1184048881675119E-2"/>
    <n v="11753.048720473937"/>
    <n v="51.477669482663089"/>
    <n v="29.787259604218111"/>
    <n v="248.97715860322907"/>
    <n v="3.6"/>
    <n v="185.31961013758712"/>
  </r>
  <r>
    <n v="167"/>
    <s v="TL092"/>
    <x v="22"/>
    <s v="May"/>
    <n v="13"/>
    <x v="9"/>
    <n v="1000"/>
    <n v="0"/>
    <n v="0"/>
    <n v="0"/>
    <n v="0"/>
    <n v="0"/>
    <n v="5410.2633795388801"/>
    <n v="0"/>
    <n v="0"/>
    <n v="0"/>
    <n v="0"/>
    <n v="0"/>
  </r>
  <r>
    <n v="169"/>
    <s v="TL103"/>
    <x v="23"/>
    <s v="May"/>
    <n v="1"/>
    <x v="0"/>
    <n v="1000"/>
    <n v="0.29829727025794361"/>
    <n v="0.29712027277301412"/>
    <n v="2.7553423326290249E-2"/>
    <n v="0.2561085980833242"/>
    <n v="0.34571787967260814"/>
    <n v="20710.167560200389"/>
    <n v="6153.4106346615681"/>
    <n v="5304.05197991366"/>
    <n v="7159.8752165769101"/>
    <n v="11.1"/>
    <n v="68302.858044743407"/>
  </r>
  <r>
    <n v="170"/>
    <s v="TL103"/>
    <x v="23"/>
    <s v="May"/>
    <n v="2"/>
    <x v="1"/>
    <n v="1000"/>
    <n v="0.27137408107119171"/>
    <n v="0.26298535112523991"/>
    <n v="4.5038934163079657E-2"/>
    <n v="0.20822947954890539"/>
    <n v="0.3553348625150633"/>
    <n v="12937.515211791189"/>
    <n v="3402.3769806610385"/>
    <n v="2693.9720592073259"/>
    <n v="4597.1501890683621"/>
    <n v="8.1"/>
    <n v="27559.253543354411"/>
  </r>
  <r>
    <n v="171"/>
    <s v="TL103"/>
    <x v="23"/>
    <s v="May"/>
    <n v="3"/>
    <x v="2"/>
    <n v="1000"/>
    <n v="0.29518264110779785"/>
    <n v="0.2920933501382732"/>
    <n v="3.5419186753435826E-2"/>
    <n v="0.24307068468470214"/>
    <n v="0.35950013556498839"/>
    <n v="10953.043037802479"/>
    <n v="3199.311035120415"/>
    <n v="2662.3636705796584"/>
    <n v="3937.6204569391434"/>
    <n v="7.9"/>
    <n v="25274.557177451279"/>
  </r>
  <r>
    <n v="172"/>
    <s v="TL103"/>
    <x v="23"/>
    <s v="May"/>
    <n v="5"/>
    <x v="3"/>
    <n v="1000"/>
    <n v="5.0474799204814645E-2"/>
    <n v="4.9053578477982432E-2"/>
    <n v="1.1515219161210183E-2"/>
    <n v="3.4575804787428867E-2"/>
    <n v="7.1724959900602001E-2"/>
    <n v="13991.101427824766"/>
    <n v="686.31359188321426"/>
    <n v="483.75359172958639"/>
    <n v="1003.5111888759867"/>
    <n v="12.4"/>
    <n v="8510.2885393518573"/>
  </r>
  <r>
    <n v="173"/>
    <s v="TL103"/>
    <x v="23"/>
    <s v="May"/>
    <n v="6"/>
    <x v="4"/>
    <n v="1000"/>
    <n v="0.26676005284381482"/>
    <n v="0.26545848614676515"/>
    <n v="2.9600767643267231E-2"/>
    <n v="0.22212206251583086"/>
    <n v="0.32011132363366895"/>
    <n v="6966.102651973556"/>
    <n v="1849.2110643358662"/>
    <n v="1547.3250887533654"/>
    <n v="2229.9283404912667"/>
    <n v="8"/>
    <n v="14793.68851468693"/>
  </r>
  <r>
    <n v="174"/>
    <s v="TL103"/>
    <x v="23"/>
    <s v="May"/>
    <n v="7"/>
    <x v="5"/>
    <n v="1000"/>
    <n v="3.2256611805788491E-3"/>
    <n v="2.9802079957806146E-3"/>
    <n v="1.2533929210277292E-3"/>
    <n v="1.6173650530181328E-3"/>
    <n v="5.6619430710205818E-3"/>
    <n v="2532.5333267390947"/>
    <n v="7.54747606992873"/>
    <n v="4.0960308982715645"/>
    <n v="14.33905952145912"/>
    <n v="8"/>
    <n v="60.37980855942984"/>
  </r>
  <r>
    <n v="175"/>
    <s v="TL103"/>
    <x v="23"/>
    <s v="May"/>
    <n v="8"/>
    <x v="6"/>
    <n v="1000"/>
    <n v="0.3688267690878706"/>
    <n v="0.20431453398903995"/>
    <n v="0.54291243523611976"/>
    <n v="0.13831975519148609"/>
    <n v="1.8979887319425943"/>
    <n v="13775.148973606703"/>
    <n v="2814.4631431720554"/>
    <n v="1905.3752337555302"/>
    <n v="26145.077532736115"/>
    <n v="7.6"/>
    <n v="21389.919888107619"/>
  </r>
  <r>
    <n v="176"/>
    <s v="TL103"/>
    <x v="23"/>
    <s v="May"/>
    <n v="9"/>
    <x v="7"/>
    <n v="1000"/>
    <n v="4.957390784042949E-2"/>
    <n v="4.4670724764016789E-2"/>
    <n v="1.9782953372887498E-2"/>
    <n v="2.531549100485276E-2"/>
    <n v="8.9136130159139348E-2"/>
    <n v="5560.7756961151099"/>
    <n v="248.40388059559194"/>
    <n v="140.77376711500591"/>
    <n v="495.66602623469515"/>
    <n v="11.4"/>
    <n v="2831.8042387897481"/>
  </r>
  <r>
    <n v="177"/>
    <s v="TL103"/>
    <x v="23"/>
    <s v="May"/>
    <n v="10"/>
    <x v="8"/>
    <n v="1000"/>
    <n v="5.5158973080740893E-2"/>
    <n v="5.2150739820215092E-2"/>
    <n v="1.4826104282202619E-2"/>
    <n v="4.2476066129311402E-2"/>
    <n v="7.7009222300203517E-2"/>
    <n v="10828.706776282988"/>
    <n v="564.72506967933418"/>
    <n v="459.96086512431867"/>
    <n v="833.91028735849682"/>
    <n v="10.199999999999999"/>
    <n v="5760.1957107292083"/>
  </r>
  <r>
    <n v="178"/>
    <s v="TL103"/>
    <x v="23"/>
    <s v="May"/>
    <n v="11"/>
    <x v="10"/>
    <n v="1000"/>
    <n v="4.8597757789620834E-3"/>
    <n v="4.6472779899609414E-3"/>
    <n v="1.1016274933230629E-3"/>
    <n v="3.4861360452019124E-3"/>
    <n v="7.1976516179492536E-3"/>
    <n v="11753.048720473937"/>
    <n v="54.619684633597132"/>
    <n v="40.972726785458406"/>
    <n v="84.59435013875563"/>
    <n v="7.1"/>
    <n v="387.7997608985396"/>
  </r>
  <r>
    <n v="180"/>
    <s v="TL103"/>
    <x v="23"/>
    <s v="May"/>
    <n v="13"/>
    <x v="9"/>
    <n v="1000"/>
    <n v="8.6587391672276037E-3"/>
    <n v="8.187945507878493E-3"/>
    <n v="3.4019781099586307E-3"/>
    <n v="4.0547157861445075E-3"/>
    <n v="1.4711860085534189E-2"/>
    <n v="5410.2633795388801"/>
    <n v="44.298941734934886"/>
    <n v="21.937080332215832"/>
    <n v="79.595037865665361"/>
    <n v="8.8000000000000007"/>
    <n v="389.83068726742704"/>
  </r>
  <r>
    <n v="181"/>
    <s v="TL116"/>
    <x v="24"/>
    <s v="May"/>
    <n v="1"/>
    <x v="0"/>
    <n v="1000"/>
    <n v="0.74438225808471659"/>
    <n v="0.71318600797699827"/>
    <n v="0.18881954241731538"/>
    <n v="0.49668355928512531"/>
    <n v="1.0873766874663238"/>
    <n v="20710.167560200389"/>
    <n v="14770.201726794045"/>
    <n v="10286.399737191668"/>
    <n v="22519.753398483215"/>
    <n v="15.8"/>
    <n v="233369.18728334591"/>
  </r>
  <r>
    <n v="182"/>
    <s v="TL116"/>
    <x v="24"/>
    <s v="May"/>
    <n v="2"/>
    <x v="1"/>
    <n v="1000"/>
    <n v="1.1646877215854456"/>
    <n v="1.1137870947994879"/>
    <n v="0.41688843151575666"/>
    <n v="0.55585417056269548"/>
    <n v="1.9219799340860297"/>
    <n v="12937.515211791189"/>
    <n v="14409.63748166509"/>
    <n v="7191.3717871924473"/>
    <n v="24865.644633995438"/>
    <n v="11"/>
    <n v="158506.012298316"/>
  </r>
  <r>
    <n v="183"/>
    <s v="TL116"/>
    <x v="24"/>
    <s v="May"/>
    <n v="3"/>
    <x v="2"/>
    <n v="1000"/>
    <n v="0.68879387961199923"/>
    <n v="0.66197383510455521"/>
    <n v="0.14206902924906459"/>
    <n v="0.52126757861147976"/>
    <n v="0.95640895117339597"/>
    <n v="10953.043037802479"/>
    <n v="7250.6279057993552"/>
    <n v="5709.4662227426252"/>
    <n v="10475.588403941736"/>
    <n v="14.5"/>
    <n v="105134.10463409065"/>
  </r>
  <r>
    <n v="184"/>
    <s v="TL116"/>
    <x v="24"/>
    <s v="May"/>
    <n v="5"/>
    <x v="3"/>
    <n v="1000"/>
    <n v="0.40781866896453212"/>
    <n v="0.3955107878709061"/>
    <n v="6.3345572943373896E-2"/>
    <n v="0.32976214972560919"/>
    <n v="0.53107250192886157"/>
    <n v="13991.101427824766"/>
    <n v="5533.631548900732"/>
    <n v="4613.7356838685346"/>
    <n v="7430.289240015366"/>
    <n v="18.100000000000001"/>
    <n v="100158.73103510325"/>
  </r>
  <r>
    <n v="185"/>
    <s v="TL116"/>
    <x v="24"/>
    <s v="May"/>
    <n v="6"/>
    <x v="4"/>
    <n v="1000"/>
    <n v="0.13174350976674512"/>
    <n v="0.12959648640359156"/>
    <n v="1.790372223662156E-2"/>
    <n v="0.10542304274490752"/>
    <n v="0.16306938570440854"/>
    <n v="6966.102651973556"/>
    <n v="902.78242762251409"/>
    <n v="734.3877376444218"/>
    <n v="1135.9580802111791"/>
    <n v="16"/>
    <n v="14444.518841960225"/>
  </r>
  <r>
    <n v="186"/>
    <s v="TL116"/>
    <x v="24"/>
    <s v="May"/>
    <n v="7"/>
    <x v="5"/>
    <n v="1000"/>
    <n v="0.14256605631521102"/>
    <n v="0.13899250752361222"/>
    <n v="2.0968987108763621E-2"/>
    <n v="0.116057613784706"/>
    <n v="0.18459393405663457"/>
    <n v="2532.5333267390947"/>
    <n v="352.00315747058232"/>
    <n v="293.91977473158249"/>
    <n v="467.49028991230585"/>
    <n v="9.3000000000000007"/>
    <n v="3273.629364476416"/>
  </r>
  <r>
    <n v="187"/>
    <s v="TL116"/>
    <x v="24"/>
    <s v="May"/>
    <n v="8"/>
    <x v="6"/>
    <n v="1000"/>
    <n v="0.12727179403655187"/>
    <n v="0.11789601161112732"/>
    <n v="3.1247653509828641E-2"/>
    <n v="9.8553190936620225E-2"/>
    <n v="0.20586110877476341"/>
    <n v="13775.148973606703"/>
    <n v="1624.0351233373444"/>
    <n v="1357.5848869762494"/>
    <n v="2835.7674412442202"/>
    <n v="13.4"/>
    <n v="21762.070652720417"/>
  </r>
  <r>
    <n v="188"/>
    <s v="TL116"/>
    <x v="24"/>
    <s v="May"/>
    <n v="9"/>
    <x v="7"/>
    <n v="1000"/>
    <n v="0.14097874457308004"/>
    <n v="0.13881534603990561"/>
    <n v="2.2104254787546435E-2"/>
    <n v="0.10914659456064907"/>
    <n v="0.18183374021585483"/>
    <n v="5560.7756961151099"/>
    <n v="771.92100250651595"/>
    <n v="606.939730346587"/>
    <n v="1011.1366433260342"/>
    <n v="18.399999999999999"/>
    <n v="14203.346446119893"/>
  </r>
  <r>
    <n v="189"/>
    <s v="TL116"/>
    <x v="24"/>
    <s v="May"/>
    <n v="10"/>
    <x v="8"/>
    <n v="1000"/>
    <n v="0.35549061561555084"/>
    <n v="0.34624442849739767"/>
    <n v="7.0895258137904399E-2"/>
    <n v="0.24999729235482349"/>
    <n v="0.48329606127933822"/>
    <n v="10828.706776282988"/>
    <n v="3749.3793891200007"/>
    <n v="2707.1473737750762"/>
    <n v="5233.4713337264484"/>
    <n v="12.5"/>
    <n v="46867.242364000012"/>
  </r>
  <r>
    <n v="190"/>
    <s v="TL116"/>
    <x v="24"/>
    <s v="May"/>
    <n v="11"/>
    <x v="10"/>
    <n v="1000"/>
    <n v="0.24320544033145894"/>
    <n v="0.17132010065743608"/>
    <n v="0.23116863490793799"/>
    <n v="3.1176943891566854E-2"/>
    <n v="0.74932974054513601"/>
    <n v="11753.048720473937"/>
    <n v="2013.5334898233452"/>
    <n v="366.42414051306753"/>
    <n v="8806.9089483270782"/>
    <n v="10.4"/>
    <n v="20940.74829416279"/>
  </r>
  <r>
    <n v="191"/>
    <s v="TL116"/>
    <x v="24"/>
    <s v="May"/>
    <n v="12"/>
    <x v="11"/>
    <n v="1000"/>
    <n v="3.9295705904376102E-2"/>
    <n v="3.0633885366140874E-2"/>
    <n v="2.8084883899102565E-2"/>
    <n v="1.8177894362462171E-2"/>
    <n v="0.11241084742502339"/>
    <n v="30959.729118353116"/>
    <n v="948.41679277840308"/>
    <n v="562.78268540386705"/>
    <n v="3480.2093862432457"/>
    <n v="20.2"/>
    <n v="19158.019214123742"/>
  </r>
  <r>
    <n v="192"/>
    <s v="TL116"/>
    <x v="24"/>
    <s v="May"/>
    <n v="13"/>
    <x v="9"/>
    <n v="1000"/>
    <n v="0.25220789038115082"/>
    <n v="0.24091649043297519"/>
    <n v="5.3555942922243846E-2"/>
    <n v="0.1841507573525267"/>
    <n v="0.35517284929904797"/>
    <n v="5410.2633795388801"/>
    <n v="1303.4216657165546"/>
    <n v="996.30409881872538"/>
    <n v="1921.5786599691207"/>
    <n v="19.2"/>
    <n v="25025.695981757846"/>
  </r>
  <r>
    <n v="193"/>
    <s v="TL131"/>
    <x v="25"/>
    <s v="May"/>
    <n v="1"/>
    <x v="0"/>
    <n v="1000"/>
    <n v="1.8267757859750564"/>
    <n v="1.7661714726365392"/>
    <n v="0.30404555251285359"/>
    <n v="1.4305647609878773"/>
    <n v="2.4477900827042935"/>
    <n v="20710.167560200389"/>
    <n v="36577.707138348604"/>
    <n v="29627.235905776961"/>
    <n v="50694.142765002689"/>
    <n v="7.5"/>
    <n v="274332.80353761453"/>
  </r>
  <r>
    <n v="194"/>
    <s v="TL131"/>
    <x v="25"/>
    <s v="May"/>
    <n v="2"/>
    <x v="1"/>
    <n v="1000"/>
    <n v="1.5632358413938527"/>
    <n v="1.5398496500630308"/>
    <n v="0.20879858068206875"/>
    <n v="1.2494808938896984"/>
    <n v="1.950061733550839"/>
    <n v="12937.515211791189"/>
    <n v="19921.828271561801"/>
    <n v="16165.178071540426"/>
    <n v="25228.953341745877"/>
    <n v="4.9000000000000004"/>
    <n v="97616.958530652832"/>
  </r>
  <r>
    <n v="195"/>
    <s v="TL131"/>
    <x v="25"/>
    <s v="May"/>
    <n v="3"/>
    <x v="2"/>
    <n v="1000"/>
    <n v="2.9540531348286798"/>
    <n v="2.9442674070996997"/>
    <n v="0.22012310160889986"/>
    <n v="2.6108695878307504"/>
    <n v="3.3364479075638451"/>
    <n v="10953.043037802479"/>
    <n v="32248.687624762126"/>
    <n v="28596.966961599828"/>
    <n v="36544.257524932822"/>
    <n v="7.2"/>
    <n v="232190.5508982873"/>
  </r>
  <r>
    <n v="196"/>
    <s v="TL131"/>
    <x v="25"/>
    <s v="May"/>
    <n v="5"/>
    <x v="3"/>
    <n v="1000"/>
    <n v="1.8449629460698365"/>
    <n v="1.8429699250551828"/>
    <n v="9.3881734768359343E-2"/>
    <n v="1.6896650306995022"/>
    <n v="2.004205610616494"/>
    <n v="13991.101427824766"/>
    <n v="25785.179149877669"/>
    <n v="23640.274823565382"/>
    <n v="28041.043980350838"/>
    <n v="10.5"/>
    <n v="270744.38107371551"/>
  </r>
  <r>
    <n v="197"/>
    <s v="TL131"/>
    <x v="25"/>
    <s v="May"/>
    <n v="6"/>
    <x v="4"/>
    <n v="1000"/>
    <n v="0.35859344793515879"/>
    <n v="0.34637451520857543"/>
    <n v="6.9288966832660268E-2"/>
    <n v="0.26961251811247527"/>
    <n v="0.48790596170328382"/>
    <n v="6966.102651973556"/>
    <n v="2412.8804289705122"/>
    <n v="1878.1484774285825"/>
    <n v="3398.8030137349538"/>
    <n v="18.3"/>
    <n v="44155.711850160376"/>
  </r>
  <r>
    <n v="198"/>
    <s v="TL131"/>
    <x v="25"/>
    <s v="May"/>
    <n v="7"/>
    <x v="5"/>
    <n v="1000"/>
    <n v="0.12786761380374317"/>
    <n v="0.12468815919238348"/>
    <n v="1.6408939588604017E-2"/>
    <n v="0.10751152297174588"/>
    <n v="0.16052620117227878"/>
    <n v="2532.5333267390947"/>
    <n v="315.77691860446077"/>
    <n v="272.27651493442221"/>
    <n v="406.53795428362037"/>
    <n v="5.0999999999999996"/>
    <n v="1610.4622848827498"/>
  </r>
  <r>
    <n v="199"/>
    <s v="TL131"/>
    <x v="25"/>
    <s v="May"/>
    <n v="8"/>
    <x v="6"/>
    <n v="1000"/>
    <n v="0"/>
    <n v="0"/>
    <n v="0"/>
    <n v="0"/>
    <n v="0"/>
    <n v="13775.148973606703"/>
    <n v="0"/>
    <n v="0"/>
    <n v="0"/>
    <n v="5.0999999999999996"/>
    <n v="0"/>
  </r>
  <r>
    <n v="200"/>
    <s v="TL131"/>
    <x v="25"/>
    <s v="May"/>
    <n v="9"/>
    <x v="7"/>
    <n v="1000"/>
    <n v="0.63709019465368832"/>
    <n v="0.63401552114087723"/>
    <n v="7.3350437840586494E-2"/>
    <n v="0.52664750318401421"/>
    <n v="0.76040220353173837"/>
    <n v="5560.7756961151099"/>
    <n v="3525.6181009199458"/>
    <n v="2928.5686361253711"/>
    <n v="4228.4260926716661"/>
    <n v="12.4"/>
    <n v="43717.664451407327"/>
  </r>
  <r>
    <n v="201"/>
    <s v="TL131"/>
    <x v="25"/>
    <s v="May"/>
    <n v="10"/>
    <x v="8"/>
    <n v="1000"/>
    <n v="9.5012566498267597E-3"/>
    <n v="9.4819091901346911E-3"/>
    <n v="1.2511626641368043E-3"/>
    <n v="7.5800033132925665E-3"/>
    <n v="1.1533426464073373E-2"/>
    <n v="10828.706776282988"/>
    <n v="102.67681429931147"/>
    <n v="82.081633242898718"/>
    <n v="124.89209330527288"/>
    <n v="7.7"/>
    <n v="790.61147010469836"/>
  </r>
  <r>
    <n v="202"/>
    <s v="TL131"/>
    <x v="25"/>
    <s v="May"/>
    <n v="11"/>
    <x v="10"/>
    <n v="1000"/>
    <n v="0.57719842970434521"/>
    <n v="0.57657091987453568"/>
    <n v="2.9492158163729413E-2"/>
    <n v="0.52908341707400208"/>
    <n v="0.62778768869843526"/>
    <n v="11753.048720473937"/>
    <m/>
    <m/>
    <m/>
    <m/>
    <m/>
  </r>
  <r>
    <n v="203"/>
    <s v="TL131"/>
    <x v="25"/>
    <s v="May"/>
    <n v="12"/>
    <x v="11"/>
    <n v="1000"/>
    <n v="1.1258598632597286E-3"/>
    <n v="1.0504040530694429E-3"/>
    <n v="5.1547049118751403E-4"/>
    <n v="4.5125426667898624E-4"/>
    <n v="2.0892309068374468E-3"/>
    <n v="15500"/>
    <n v="16.281262822576366"/>
    <n v="6.9944411335242869"/>
    <n v="32.383079055980424"/>
    <n v="7.5"/>
    <n v="122.10947116932275"/>
  </r>
  <r>
    <n v="204"/>
    <s v="TL131"/>
    <x v="25"/>
    <s v="May"/>
    <n v="13"/>
    <x v="9"/>
    <n v="1000"/>
    <n v="0.19850775491776218"/>
    <n v="0.18667820645783501"/>
    <n v="6.549835929242015E-2"/>
    <n v="0.11570815814415472"/>
    <n v="0.32095777664764708"/>
    <n v="5410.2633795388801"/>
    <n v="1009.9782641568232"/>
    <n v="626.01161072121374"/>
    <n v="1736.4661053749842"/>
    <n v="17.399999999999999"/>
    <n v="17573.6217963287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2">
  <r>
    <x v="0"/>
    <s v="May"/>
    <n v="1"/>
    <x v="0"/>
    <n v="461677.80565900035"/>
  </r>
  <r>
    <x v="0"/>
    <s v="May"/>
    <n v="2"/>
    <x v="1"/>
    <n v="1773346.1722759379"/>
  </r>
  <r>
    <x v="0"/>
    <s v="May"/>
    <n v="3"/>
    <x v="2"/>
    <n v="262708.45307035849"/>
  </r>
  <r>
    <x v="0"/>
    <s v="May"/>
    <n v="4"/>
    <x v="3"/>
    <n v="1787317.5312350995"/>
  </r>
  <r>
    <x v="1"/>
    <s v="May"/>
    <n v="1"/>
    <x v="0"/>
    <n v="764108.01735173713"/>
  </r>
  <r>
    <x v="1"/>
    <s v="May"/>
    <n v="2"/>
    <x v="1"/>
    <n v="560177.62060273159"/>
  </r>
  <r>
    <x v="1"/>
    <s v="May"/>
    <n v="3"/>
    <x v="2"/>
    <n v="758183.61580624955"/>
  </r>
  <r>
    <x v="1"/>
    <s v="May"/>
    <n v="4"/>
    <x v="3"/>
    <n v="784123.09672922094"/>
  </r>
  <r>
    <x v="1"/>
    <s v="May"/>
    <n v="5"/>
    <x v="4"/>
    <n v="438062.05487030972"/>
  </r>
  <r>
    <x v="1"/>
    <s v="May"/>
    <n v="6"/>
    <x v="5"/>
    <n v="407673.39763650269"/>
  </r>
  <r>
    <x v="2"/>
    <s v="May"/>
    <n v="1"/>
    <x v="0"/>
    <n v="1125637.5452683454"/>
  </r>
  <r>
    <x v="2"/>
    <s v="May"/>
    <n v="2"/>
    <x v="1"/>
    <n v="1083551.8328352345"/>
  </r>
  <r>
    <x v="2"/>
    <s v="May"/>
    <n v="3"/>
    <x v="2"/>
    <n v="1214540.8580894261"/>
  </r>
  <r>
    <x v="2"/>
    <s v="May"/>
    <n v="4"/>
    <x v="3"/>
    <n v="1251997.8728852237"/>
  </r>
  <r>
    <x v="2"/>
    <s v="May"/>
    <n v="5"/>
    <x v="4"/>
    <n v="481209.67833152489"/>
  </r>
  <r>
    <x v="2"/>
    <s v="May"/>
    <n v="6"/>
    <x v="5"/>
    <n v="625886.71097756969"/>
  </r>
  <r>
    <x v="3"/>
    <s v="May"/>
    <n v="3"/>
    <x v="2"/>
    <n v="82781.034951218258"/>
  </r>
  <r>
    <x v="3"/>
    <s v="May"/>
    <n v="4"/>
    <x v="3"/>
    <n v="11669.876531268263"/>
  </r>
  <r>
    <x v="3"/>
    <s v="May"/>
    <n v="5"/>
    <x v="4"/>
    <n v="31.535202850947879"/>
  </r>
  <r>
    <x v="3"/>
    <s v="May"/>
    <n v="6"/>
    <x v="5"/>
    <n v="43345.849382981098"/>
  </r>
  <r>
    <x v="4"/>
    <s v="May"/>
    <n v="1"/>
    <x v="0"/>
    <n v="74427.667587862627"/>
  </r>
  <r>
    <x v="4"/>
    <s v="May"/>
    <n v="2"/>
    <x v="1"/>
    <n v="47636.504572333812"/>
  </r>
  <r>
    <x v="4"/>
    <s v="May"/>
    <n v="3"/>
    <x v="2"/>
    <n v="12977.763183101102"/>
  </r>
  <r>
    <x v="4"/>
    <s v="May"/>
    <n v="4"/>
    <x v="3"/>
    <n v="2940.1881550024491"/>
  </r>
  <r>
    <x v="4"/>
    <s v="May"/>
    <n v="5"/>
    <x v="4"/>
    <n v="24.860827828157781"/>
  </r>
  <r>
    <x v="4"/>
    <s v="May"/>
    <n v="6"/>
    <x v="5"/>
    <n v="11.941367687257578"/>
  </r>
  <r>
    <x v="5"/>
    <s v="May"/>
    <n v="1"/>
    <x v="0"/>
    <n v="1216.0529426343287"/>
  </r>
  <r>
    <x v="5"/>
    <s v="May"/>
    <n v="2"/>
    <x v="1"/>
    <n v="8486.9425734651395"/>
  </r>
  <r>
    <x v="5"/>
    <s v="May"/>
    <n v="3"/>
    <x v="2"/>
    <n v="6321.5201468098794"/>
  </r>
  <r>
    <x v="5"/>
    <s v="May"/>
    <n v="4"/>
    <x v="3"/>
    <n v="24431.923381331519"/>
  </r>
  <r>
    <x v="5"/>
    <s v="May"/>
    <n v="5"/>
    <x v="4"/>
    <n v="6991.9106864959431"/>
  </r>
  <r>
    <x v="6"/>
    <s v="May"/>
    <n v="1"/>
    <x v="0"/>
    <n v="44899.011344194485"/>
  </r>
  <r>
    <x v="6"/>
    <s v="May"/>
    <n v="2"/>
    <x v="1"/>
    <n v="107084.40477016315"/>
  </r>
  <r>
    <x v="6"/>
    <s v="May"/>
    <n v="3"/>
    <x v="2"/>
    <n v="8818.579742052003"/>
  </r>
  <r>
    <x v="6"/>
    <s v="May"/>
    <n v="4"/>
    <x v="3"/>
    <n v="29085.255867741413"/>
  </r>
  <r>
    <x v="6"/>
    <s v="May"/>
    <n v="5"/>
    <x v="4"/>
    <n v="7644.1342759421523"/>
  </r>
  <r>
    <x v="6"/>
    <s v="May"/>
    <n v="6"/>
    <x v="5"/>
    <n v="18774.068473101146"/>
  </r>
  <r>
    <x v="7"/>
    <s v="May"/>
    <n v="1"/>
    <x v="0"/>
    <n v="57448.30313364412"/>
  </r>
  <r>
    <x v="7"/>
    <s v="May"/>
    <n v="2"/>
    <x v="1"/>
    <n v="235.94742313727249"/>
  </r>
  <r>
    <x v="7"/>
    <s v="May"/>
    <n v="3"/>
    <x v="2"/>
    <n v="29801.87715409365"/>
  </r>
  <r>
    <x v="7"/>
    <s v="May"/>
    <n v="4"/>
    <x v="3"/>
    <n v="34248.153445983378"/>
  </r>
  <r>
    <x v="7"/>
    <s v="May"/>
    <n v="5"/>
    <x v="4"/>
    <n v="1254.6237398728003"/>
  </r>
  <r>
    <x v="7"/>
    <s v="May"/>
    <n v="6"/>
    <x v="5"/>
    <n v="1760.8735932491077"/>
  </r>
  <r>
    <x v="8"/>
    <s v="May"/>
    <n v="1"/>
    <x v="0"/>
    <n v="1372.3266071404587"/>
  </r>
  <r>
    <x v="8"/>
    <s v="May"/>
    <n v="2"/>
    <x v="1"/>
    <n v="2699.5728786552258"/>
  </r>
  <r>
    <x v="8"/>
    <s v="May"/>
    <n v="3"/>
    <x v="2"/>
    <n v="69616.723261131308"/>
  </r>
  <r>
    <x v="8"/>
    <s v="May"/>
    <n v="4"/>
    <x v="3"/>
    <n v="2408.9903574757523"/>
  </r>
  <r>
    <x v="8"/>
    <s v="May"/>
    <n v="5"/>
    <x v="4"/>
    <n v="11195.174210505224"/>
  </r>
  <r>
    <x v="8"/>
    <s v="May"/>
    <n v="6"/>
    <x v="5"/>
    <n v="1517.3191747273179"/>
  </r>
  <r>
    <x v="8"/>
    <s v="May"/>
    <n v="7"/>
    <x v="6"/>
    <n v="616.98515800630241"/>
  </r>
  <r>
    <x v="8"/>
    <s v="May"/>
    <n v="8"/>
    <x v="7"/>
    <n v="5212.1735838397108"/>
  </r>
  <r>
    <x v="8"/>
    <s v="May"/>
    <n v="9"/>
    <x v="8"/>
    <n v="4888.6780343518658"/>
  </r>
  <r>
    <x v="8"/>
    <s v="May"/>
    <n v="10"/>
    <x v="9"/>
    <n v="19000.917743586193"/>
  </r>
  <r>
    <x v="8"/>
    <s v="May"/>
    <n v="11"/>
    <x v="10"/>
    <n v="0"/>
  </r>
  <r>
    <x v="8"/>
    <s v="May"/>
    <n v="12"/>
    <x v="11"/>
    <n v="0"/>
  </r>
  <r>
    <x v="8"/>
    <s v="May"/>
    <n v="13"/>
    <x v="12"/>
    <n v="10889.996257234183"/>
  </r>
  <r>
    <x v="9"/>
    <s v="May"/>
    <n v="1"/>
    <x v="0"/>
    <n v="1371.820142144943"/>
  </r>
  <r>
    <x v="9"/>
    <s v="May"/>
    <n v="2"/>
    <x v="1"/>
    <n v="1199.9027739538374"/>
  </r>
  <r>
    <x v="9"/>
    <s v="May"/>
    <n v="3"/>
    <x v="2"/>
    <n v="15154.295167402553"/>
  </r>
  <r>
    <x v="10"/>
    <m/>
    <m/>
    <x v="3"/>
    <m/>
  </r>
  <r>
    <x v="9"/>
    <s v="May"/>
    <n v="5"/>
    <x v="4"/>
    <n v="19554.338618244885"/>
  </r>
  <r>
    <x v="9"/>
    <s v="May"/>
    <n v="6"/>
    <x v="5"/>
    <n v="4773.1314782469053"/>
  </r>
  <r>
    <x v="9"/>
    <s v="May"/>
    <n v="7"/>
    <x v="6"/>
    <n v="1791.8908362748966"/>
  </r>
  <r>
    <x v="9"/>
    <s v="May"/>
    <n v="8"/>
    <x v="7"/>
    <n v="6719.4271145574567"/>
  </r>
  <r>
    <x v="9"/>
    <s v="May"/>
    <n v="9"/>
    <x v="8"/>
    <n v="4848.2775627359251"/>
  </r>
  <r>
    <x v="9"/>
    <s v="May"/>
    <n v="10"/>
    <x v="9"/>
    <n v="25386.090852851798"/>
  </r>
  <r>
    <x v="9"/>
    <s v="May"/>
    <n v="11"/>
    <x v="10"/>
    <n v="455.48919908171001"/>
  </r>
  <r>
    <x v="9"/>
    <s v="May"/>
    <n v="12"/>
    <x v="11"/>
    <n v="148.42131421913879"/>
  </r>
  <r>
    <x v="9"/>
    <s v="May"/>
    <n v="13"/>
    <x v="12"/>
    <n v="2461.9313888433467"/>
  </r>
  <r>
    <x v="11"/>
    <s v="May"/>
    <n v="1"/>
    <x v="0"/>
    <m/>
  </r>
  <r>
    <x v="11"/>
    <s v="May"/>
    <n v="2"/>
    <x v="1"/>
    <n v="27771.410211130555"/>
  </r>
  <r>
    <x v="11"/>
    <s v="May"/>
    <n v="3"/>
    <x v="2"/>
    <n v="36237.718573701"/>
  </r>
  <r>
    <x v="11"/>
    <s v="May"/>
    <n v="4"/>
    <x v="3"/>
    <m/>
  </r>
  <r>
    <x v="11"/>
    <s v="May"/>
    <n v="5"/>
    <x v="4"/>
    <n v="14614.976877751549"/>
  </r>
  <r>
    <x v="11"/>
    <s v="May"/>
    <n v="6"/>
    <x v="5"/>
    <n v="7234.0800413991656"/>
  </r>
  <r>
    <x v="11"/>
    <s v="May"/>
    <n v="7"/>
    <x v="6"/>
    <n v="1415.7015373908214"/>
  </r>
  <r>
    <x v="11"/>
    <s v="May"/>
    <n v="8"/>
    <x v="7"/>
    <n v="5969.6487836212746"/>
  </r>
  <r>
    <x v="11"/>
    <s v="May"/>
    <n v="9"/>
    <x v="8"/>
    <n v="4214.5558076680409"/>
  </r>
  <r>
    <x v="11"/>
    <s v="May"/>
    <n v="10"/>
    <x v="9"/>
    <n v="10681.017339446797"/>
  </r>
  <r>
    <x v="11"/>
    <s v="May"/>
    <n v="11"/>
    <x v="10"/>
    <m/>
  </r>
  <r>
    <x v="11"/>
    <s v="May"/>
    <n v="12"/>
    <x v="11"/>
    <m/>
  </r>
  <r>
    <x v="11"/>
    <s v="May"/>
    <n v="13"/>
    <x v="12"/>
    <n v="0"/>
  </r>
  <r>
    <x v="12"/>
    <s v="May"/>
    <n v="1"/>
    <x v="0"/>
    <n v="781.75222160825138"/>
  </r>
  <r>
    <x v="12"/>
    <s v="May"/>
    <n v="2"/>
    <x v="1"/>
    <n v="19190.740584407733"/>
  </r>
  <r>
    <x v="12"/>
    <s v="May"/>
    <n v="3"/>
    <x v="2"/>
    <n v="54909.155632157686"/>
  </r>
  <r>
    <x v="12"/>
    <s v="May"/>
    <n v="4"/>
    <x v="3"/>
    <n v="4017.7624537717716"/>
  </r>
  <r>
    <x v="12"/>
    <s v="May"/>
    <n v="5"/>
    <x v="4"/>
    <n v="12106.878062014533"/>
  </r>
  <r>
    <x v="12"/>
    <s v="May"/>
    <n v="6"/>
    <x v="5"/>
    <n v="20017.285121903802"/>
  </r>
  <r>
    <x v="12"/>
    <s v="May"/>
    <n v="7"/>
    <x v="6"/>
    <n v="472.40860468402167"/>
  </r>
  <r>
    <x v="12"/>
    <s v="May"/>
    <n v="8"/>
    <x v="7"/>
    <n v="2038.6699221691349"/>
  </r>
  <r>
    <x v="12"/>
    <s v="May"/>
    <n v="9"/>
    <x v="8"/>
    <n v="3202.3143578619593"/>
  </r>
  <r>
    <x v="12"/>
    <s v="May"/>
    <n v="10"/>
    <x v="9"/>
    <n v="7260.7489689156346"/>
  </r>
  <r>
    <x v="12"/>
    <s v="May"/>
    <n v="11"/>
    <x v="10"/>
    <n v="98.935179149480533"/>
  </r>
  <r>
    <x v="12"/>
    <s v="May"/>
    <n v="12"/>
    <x v="11"/>
    <n v="0"/>
  </r>
  <r>
    <x v="12"/>
    <s v="May"/>
    <n v="13"/>
    <x v="12"/>
    <n v="1062.9855290534742"/>
  </r>
  <r>
    <x v="13"/>
    <s v="May"/>
    <n v="1"/>
    <x v="0"/>
    <n v="12640.196844771013"/>
  </r>
  <r>
    <x v="13"/>
    <s v="May"/>
    <n v="2"/>
    <x v="1"/>
    <n v="334.30097603238386"/>
  </r>
  <r>
    <x v="13"/>
    <s v="May"/>
    <n v="3"/>
    <x v="2"/>
    <n v="28898.556191212872"/>
  </r>
  <r>
    <x v="13"/>
    <s v="May"/>
    <n v="4"/>
    <x v="3"/>
    <m/>
  </r>
  <r>
    <x v="13"/>
    <s v="May"/>
    <n v="5"/>
    <x v="4"/>
    <n v="46004.195315729477"/>
  </r>
  <r>
    <x v="13"/>
    <s v="May"/>
    <n v="6"/>
    <x v="5"/>
    <n v="8237.7735187611815"/>
  </r>
  <r>
    <x v="13"/>
    <s v="May"/>
    <n v="7"/>
    <x v="6"/>
    <n v="1339.9252156896298"/>
  </r>
  <r>
    <x v="13"/>
    <s v="May"/>
    <n v="8"/>
    <x v="7"/>
    <n v="349.66857342076628"/>
  </r>
  <r>
    <x v="13"/>
    <s v="May"/>
    <n v="9"/>
    <x v="8"/>
    <n v="0"/>
  </r>
  <r>
    <x v="13"/>
    <s v="May"/>
    <n v="10"/>
    <x v="9"/>
    <n v="0"/>
  </r>
  <r>
    <x v="13"/>
    <s v="May"/>
    <n v="12"/>
    <x v="11"/>
    <n v="0"/>
  </r>
  <r>
    <x v="13"/>
    <s v="May"/>
    <n v="13"/>
    <x v="12"/>
    <n v="269.19805520439922"/>
  </r>
  <r>
    <x v="14"/>
    <s v="May"/>
    <n v="1"/>
    <x v="0"/>
    <n v="8615.0009035251842"/>
  </r>
  <r>
    <x v="14"/>
    <s v="May"/>
    <n v="2"/>
    <x v="1"/>
    <n v="79917.172524480804"/>
  </r>
  <r>
    <x v="14"/>
    <s v="May"/>
    <n v="3"/>
    <x v="2"/>
    <m/>
  </r>
  <r>
    <x v="14"/>
    <s v="May"/>
    <n v="4"/>
    <x v="3"/>
    <n v="0"/>
  </r>
  <r>
    <x v="14"/>
    <s v="May"/>
    <n v="5"/>
    <x v="4"/>
    <m/>
  </r>
  <r>
    <x v="14"/>
    <s v="May"/>
    <n v="6"/>
    <x v="5"/>
    <n v="35844.714279161351"/>
  </r>
  <r>
    <x v="14"/>
    <s v="May"/>
    <n v="7"/>
    <x v="6"/>
    <n v="25447.335996547277"/>
  </r>
  <r>
    <x v="14"/>
    <s v="May"/>
    <n v="8"/>
    <x v="7"/>
    <n v="28617.206289876929"/>
  </r>
  <r>
    <x v="14"/>
    <s v="May"/>
    <n v="9"/>
    <x v="8"/>
    <n v="19872.372146677244"/>
  </r>
  <r>
    <x v="14"/>
    <s v="May"/>
    <n v="10"/>
    <x v="9"/>
    <n v="86795.8457340366"/>
  </r>
  <r>
    <x v="14"/>
    <s v="May"/>
    <n v="11"/>
    <x v="10"/>
    <n v="1446.6549142594151"/>
  </r>
  <r>
    <x v="14"/>
    <s v="May"/>
    <n v="12"/>
    <x v="11"/>
    <n v="1.3994877739101586"/>
  </r>
  <r>
    <x v="14"/>
    <s v="May"/>
    <n v="13"/>
    <x v="12"/>
    <n v="13919.482063840858"/>
  </r>
  <r>
    <x v="15"/>
    <s v="May"/>
    <n v="1"/>
    <x v="0"/>
    <n v="19266.671796028244"/>
  </r>
  <r>
    <x v="15"/>
    <s v="May"/>
    <n v="2"/>
    <x v="1"/>
    <n v="18242.561452812206"/>
  </r>
  <r>
    <x v="15"/>
    <s v="May"/>
    <n v="3"/>
    <x v="2"/>
    <n v="68252.958517816704"/>
  </r>
  <r>
    <x v="15"/>
    <s v="May"/>
    <n v="4"/>
    <x v="3"/>
    <n v="4831.6948143933632"/>
  </r>
  <r>
    <x v="15"/>
    <s v="May"/>
    <n v="5"/>
    <x v="4"/>
    <n v="23062.246941035737"/>
  </r>
  <r>
    <x v="15"/>
    <s v="May"/>
    <n v="6"/>
    <x v="5"/>
    <n v="10201.911698027219"/>
  </r>
  <r>
    <x v="15"/>
    <s v="May"/>
    <n v="7"/>
    <x v="6"/>
    <n v="589.47151398363872"/>
  </r>
  <r>
    <x v="15"/>
    <s v="May"/>
    <n v="8"/>
    <x v="7"/>
    <n v="66836.411500426519"/>
  </r>
  <r>
    <x v="15"/>
    <s v="May"/>
    <n v="9"/>
    <x v="8"/>
    <n v="2197.6711725124514"/>
  </r>
  <r>
    <x v="15"/>
    <s v="May"/>
    <n v="10"/>
    <x v="9"/>
    <n v="34129.801555342259"/>
  </r>
  <r>
    <x v="15"/>
    <s v="May"/>
    <n v="11"/>
    <x v="10"/>
    <n v="771.03273475013532"/>
  </r>
  <r>
    <x v="15"/>
    <s v="May"/>
    <n v="12"/>
    <x v="11"/>
    <n v="3224.3771907137657"/>
  </r>
  <r>
    <x v="15"/>
    <s v="May"/>
    <n v="13"/>
    <x v="12"/>
    <n v="11248.191159107313"/>
  </r>
  <r>
    <x v="16"/>
    <s v="May"/>
    <n v="1"/>
    <x v="0"/>
    <n v="13921.690736391638"/>
  </r>
  <r>
    <x v="16"/>
    <s v="May"/>
    <n v="2"/>
    <x v="1"/>
    <n v="46492.302103200273"/>
  </r>
  <r>
    <x v="16"/>
    <s v="May"/>
    <n v="3"/>
    <x v="2"/>
    <n v="37807.512479463454"/>
  </r>
  <r>
    <x v="16"/>
    <s v="May"/>
    <n v="5"/>
    <x v="4"/>
    <n v="42662.165474979338"/>
  </r>
  <r>
    <x v="16"/>
    <s v="May"/>
    <n v="6"/>
    <x v="5"/>
    <n v="11362.639389314627"/>
  </r>
  <r>
    <x v="16"/>
    <s v="May"/>
    <n v="7"/>
    <x v="6"/>
    <n v="1240.3705928839743"/>
  </r>
  <r>
    <x v="16"/>
    <s v="May"/>
    <n v="8"/>
    <x v="7"/>
    <n v="26447.144182334239"/>
  </r>
  <r>
    <x v="16"/>
    <s v="May"/>
    <n v="9"/>
    <x v="8"/>
    <n v="10121.304053337011"/>
  </r>
  <r>
    <x v="16"/>
    <s v="May"/>
    <n v="10"/>
    <x v="9"/>
    <n v="57671.668891561523"/>
  </r>
  <r>
    <x v="16"/>
    <s v="May"/>
    <n v="11"/>
    <x v="10"/>
    <n v="12671.894356078585"/>
  </r>
  <r>
    <x v="16"/>
    <s v="May"/>
    <n v="12"/>
    <x v="11"/>
    <n v="29.312321043208925"/>
  </r>
  <r>
    <x v="16"/>
    <s v="May"/>
    <n v="13"/>
    <x v="12"/>
    <n v="1738.3826692900234"/>
  </r>
  <r>
    <x v="17"/>
    <s v="May"/>
    <n v="1"/>
    <x v="0"/>
    <n v="1155.2797884846118"/>
  </r>
  <r>
    <x v="17"/>
    <s v="May"/>
    <n v="2"/>
    <x v="1"/>
    <n v="7444.9671724531445"/>
  </r>
  <r>
    <x v="17"/>
    <s v="May"/>
    <n v="3"/>
    <x v="2"/>
    <n v="134.70236235666709"/>
  </r>
  <r>
    <x v="17"/>
    <s v="May"/>
    <n v="5"/>
    <x v="4"/>
    <n v="4076.4458678751935"/>
  </r>
  <r>
    <x v="17"/>
    <s v="May"/>
    <n v="6"/>
    <x v="5"/>
    <n v="1877.4264896558416"/>
  </r>
  <r>
    <x v="17"/>
    <s v="May"/>
    <n v="7"/>
    <x v="6"/>
    <n v="2655.3041441054274"/>
  </r>
  <r>
    <x v="17"/>
    <s v="May"/>
    <n v="8"/>
    <x v="7"/>
    <n v="672.82102651656032"/>
  </r>
  <r>
    <x v="17"/>
    <s v="May"/>
    <n v="9"/>
    <x v="8"/>
    <n v="4294.0703725543281"/>
  </r>
  <r>
    <x v="17"/>
    <s v="May"/>
    <n v="10"/>
    <x v="9"/>
    <n v="31.632936698638392"/>
  </r>
  <r>
    <x v="17"/>
    <s v="May"/>
    <n v="11"/>
    <x v="10"/>
    <n v="707.70834882950396"/>
  </r>
  <r>
    <x v="17"/>
    <s v="May"/>
    <n v="12"/>
    <x v="11"/>
    <n v="14.068076511500399"/>
  </r>
  <r>
    <x v="17"/>
    <s v="May"/>
    <n v="13"/>
    <x v="12"/>
    <n v="165.40363493760444"/>
  </r>
  <r>
    <x v="10"/>
    <m/>
    <m/>
    <x v="13"/>
    <m/>
  </r>
  <r>
    <x v="18"/>
    <s v="May"/>
    <n v="1"/>
    <x v="0"/>
    <n v="53527.879388853573"/>
  </r>
  <r>
    <x v="18"/>
    <s v="May"/>
    <n v="2"/>
    <x v="1"/>
    <n v="60377.592080606606"/>
  </r>
  <r>
    <x v="18"/>
    <s v="May"/>
    <n v="3"/>
    <x v="2"/>
    <n v="30815.626690168541"/>
  </r>
  <r>
    <x v="18"/>
    <s v="May"/>
    <n v="5"/>
    <x v="4"/>
    <n v="460.20227102767728"/>
  </r>
  <r>
    <x v="18"/>
    <s v="May"/>
    <n v="6"/>
    <x v="5"/>
    <n v="15008.312076278045"/>
  </r>
  <r>
    <x v="18"/>
    <s v="May"/>
    <n v="7"/>
    <x v="6"/>
    <n v="222.83079408364992"/>
  </r>
  <r>
    <x v="18"/>
    <s v="May"/>
    <n v="8"/>
    <x v="7"/>
    <n v="11057.863999534919"/>
  </r>
  <r>
    <x v="18"/>
    <s v="May"/>
    <n v="9"/>
    <x v="8"/>
    <n v="622.70637049025879"/>
  </r>
  <r>
    <x v="18"/>
    <s v="May"/>
    <n v="10"/>
    <x v="9"/>
    <n v="37367.368846177451"/>
  </r>
  <r>
    <x v="18"/>
    <s v="May"/>
    <n v="11"/>
    <x v="10"/>
    <n v="185.31961013758712"/>
  </r>
  <r>
    <x v="18"/>
    <s v="May"/>
    <n v="13"/>
    <x v="12"/>
    <n v="0"/>
  </r>
  <r>
    <x v="19"/>
    <s v="May"/>
    <n v="1"/>
    <x v="0"/>
    <n v="68302.858044743407"/>
  </r>
  <r>
    <x v="19"/>
    <s v="May"/>
    <n v="2"/>
    <x v="1"/>
    <n v="27559.253543354411"/>
  </r>
  <r>
    <x v="19"/>
    <s v="May"/>
    <n v="3"/>
    <x v="2"/>
    <n v="25274.557177451279"/>
  </r>
  <r>
    <x v="19"/>
    <s v="May"/>
    <n v="5"/>
    <x v="4"/>
    <n v="8510.2885393518573"/>
  </r>
  <r>
    <x v="19"/>
    <s v="May"/>
    <n v="6"/>
    <x v="5"/>
    <n v="14793.68851468693"/>
  </r>
  <r>
    <x v="19"/>
    <s v="May"/>
    <n v="7"/>
    <x v="6"/>
    <n v="60.37980855942984"/>
  </r>
  <r>
    <x v="19"/>
    <s v="May"/>
    <n v="8"/>
    <x v="7"/>
    <n v="21389.919888107619"/>
  </r>
  <r>
    <x v="19"/>
    <s v="May"/>
    <n v="9"/>
    <x v="8"/>
    <n v="2831.8042387897481"/>
  </r>
  <r>
    <x v="19"/>
    <s v="May"/>
    <n v="10"/>
    <x v="9"/>
    <n v="5760.1957107292083"/>
  </r>
  <r>
    <x v="19"/>
    <s v="May"/>
    <n v="11"/>
    <x v="10"/>
    <n v="387.7997608985396"/>
  </r>
  <r>
    <x v="19"/>
    <s v="May"/>
    <n v="12"/>
    <x v="11"/>
    <n v="34186.536586162481"/>
  </r>
  <r>
    <x v="19"/>
    <s v="May"/>
    <n v="13"/>
    <x v="12"/>
    <n v="389.83068726742704"/>
  </r>
  <r>
    <x v="20"/>
    <s v="May"/>
    <n v="1"/>
    <x v="0"/>
    <n v="233369.18728334591"/>
  </r>
  <r>
    <x v="20"/>
    <s v="May"/>
    <n v="2"/>
    <x v="1"/>
    <n v="158506.012298316"/>
  </r>
  <r>
    <x v="20"/>
    <s v="May"/>
    <n v="3"/>
    <x v="2"/>
    <n v="105134.10463409065"/>
  </r>
  <r>
    <x v="20"/>
    <s v="May"/>
    <n v="5"/>
    <x v="4"/>
    <n v="100158.73103510325"/>
  </r>
  <r>
    <x v="20"/>
    <s v="May"/>
    <n v="6"/>
    <x v="5"/>
    <n v="14444.518841960225"/>
  </r>
  <r>
    <x v="20"/>
    <s v="May"/>
    <n v="7"/>
    <x v="6"/>
    <n v="3273.629364476416"/>
  </r>
  <r>
    <x v="20"/>
    <s v="May"/>
    <n v="8"/>
    <x v="7"/>
    <n v="21762.070652720417"/>
  </r>
  <r>
    <x v="20"/>
    <s v="May"/>
    <n v="9"/>
    <x v="8"/>
    <n v="14203.346446119893"/>
  </r>
  <r>
    <x v="20"/>
    <s v="May"/>
    <n v="10"/>
    <x v="9"/>
    <n v="46867.242364000012"/>
  </r>
  <r>
    <x v="20"/>
    <s v="May"/>
    <n v="11"/>
    <x v="10"/>
    <n v="20940.74829416279"/>
  </r>
  <r>
    <x v="20"/>
    <s v="May"/>
    <n v="12"/>
    <x v="11"/>
    <n v="19158.019214123742"/>
  </r>
  <r>
    <x v="20"/>
    <s v="May"/>
    <n v="13"/>
    <x v="12"/>
    <n v="25025.695981757846"/>
  </r>
  <r>
    <x v="21"/>
    <s v="May"/>
    <n v="1"/>
    <x v="0"/>
    <n v="274332.80353761453"/>
  </r>
  <r>
    <x v="21"/>
    <s v="May"/>
    <n v="2"/>
    <x v="1"/>
    <n v="97616.958530652832"/>
  </r>
  <r>
    <x v="21"/>
    <s v="May"/>
    <n v="3"/>
    <x v="2"/>
    <n v="232190.5508982873"/>
  </r>
  <r>
    <x v="21"/>
    <s v="May"/>
    <n v="5"/>
    <x v="4"/>
    <n v="270744.38107371551"/>
  </r>
  <r>
    <x v="21"/>
    <s v="May"/>
    <n v="6"/>
    <x v="5"/>
    <n v="44155.711850160376"/>
  </r>
  <r>
    <x v="21"/>
    <s v="May"/>
    <n v="7"/>
    <x v="6"/>
    <n v="1610.4622848827498"/>
  </r>
  <r>
    <x v="21"/>
    <s v="May"/>
    <n v="8"/>
    <x v="7"/>
    <n v="0"/>
  </r>
  <r>
    <x v="21"/>
    <s v="May"/>
    <n v="9"/>
    <x v="8"/>
    <n v="43717.664451407327"/>
  </r>
  <r>
    <x v="21"/>
    <s v="May"/>
    <n v="10"/>
    <x v="9"/>
    <n v="790.61147010469836"/>
  </r>
  <r>
    <x v="21"/>
    <s v="May"/>
    <n v="11"/>
    <x v="10"/>
    <m/>
  </r>
  <r>
    <x v="21"/>
    <s v="May"/>
    <n v="12"/>
    <x v="11"/>
    <n v="122.10947116932275"/>
  </r>
  <r>
    <x v="21"/>
    <s v="May"/>
    <n v="13"/>
    <x v="12"/>
    <n v="17573.621796328724"/>
  </r>
  <r>
    <x v="22"/>
    <s v="May"/>
    <n v="1"/>
    <x v="0"/>
    <n v="24352.083192214595"/>
  </r>
  <r>
    <x v="22"/>
    <s v="May"/>
    <n v="2"/>
    <x v="1"/>
    <n v="154595.98712656301"/>
  </r>
  <r>
    <x v="22"/>
    <s v="May"/>
    <n v="3"/>
    <x v="2"/>
    <n v="191928.24936611607"/>
  </r>
  <r>
    <x v="22"/>
    <s v="May"/>
    <n v="5"/>
    <x v="4"/>
    <n v="58466.713618702961"/>
  </r>
  <r>
    <x v="22"/>
    <s v="May"/>
    <n v="6"/>
    <x v="5"/>
    <n v="5152.569430782115"/>
  </r>
  <r>
    <x v="22"/>
    <s v="May"/>
    <n v="7"/>
    <x v="6"/>
    <n v="0"/>
  </r>
  <r>
    <x v="22"/>
    <s v="May"/>
    <n v="8"/>
    <x v="7"/>
    <n v="330.35452067311797"/>
  </r>
  <r>
    <x v="22"/>
    <s v="May"/>
    <n v="9"/>
    <x v="8"/>
    <n v="0"/>
  </r>
  <r>
    <x v="22"/>
    <s v="May"/>
    <n v="10"/>
    <x v="9"/>
    <n v="78614.486955051849"/>
  </r>
  <r>
    <x v="22"/>
    <s v="May"/>
    <n v="11"/>
    <x v="10"/>
    <n v="140044.13840685243"/>
  </r>
  <r>
    <x v="22"/>
    <s v="May"/>
    <n v="12"/>
    <x v="11"/>
    <n v="0"/>
  </r>
  <r>
    <x v="22"/>
    <s v="May"/>
    <n v="13"/>
    <x v="12"/>
    <n v="7773.3512933167476"/>
  </r>
  <r>
    <x v="23"/>
    <s v="May"/>
    <m/>
    <x v="0"/>
    <n v="9.5687261734997069"/>
  </r>
  <r>
    <x v="23"/>
    <s v="May"/>
    <m/>
    <x v="1"/>
    <n v="6395.3069565706119"/>
  </r>
  <r>
    <x v="23"/>
    <s v="May"/>
    <m/>
    <x v="2"/>
    <n v="10233.340055639022"/>
  </r>
  <r>
    <x v="23"/>
    <s v="May"/>
    <m/>
    <x v="4"/>
    <n v="2186.8160926154083"/>
  </r>
  <r>
    <x v="23"/>
    <s v="May"/>
    <m/>
    <x v="5"/>
    <n v="35214.677150961827"/>
  </r>
  <r>
    <x v="23"/>
    <s v="May"/>
    <m/>
    <x v="6"/>
    <n v="2566.4740361008744"/>
  </r>
  <r>
    <x v="23"/>
    <s v="May"/>
    <m/>
    <x v="7"/>
    <n v="37195.696490639231"/>
  </r>
  <r>
    <x v="23"/>
    <s v="May"/>
    <m/>
    <x v="8"/>
    <n v="5299.3579969076654"/>
  </r>
  <r>
    <x v="23"/>
    <s v="May"/>
    <m/>
    <x v="9"/>
    <n v="55220.735456213275"/>
  </r>
  <r>
    <x v="23"/>
    <s v="May"/>
    <m/>
    <x v="10"/>
    <n v="1743.7022976372464"/>
  </r>
  <r>
    <x v="23"/>
    <s v="May"/>
    <m/>
    <x v="11"/>
    <n v="0"/>
  </r>
  <r>
    <x v="23"/>
    <s v="May"/>
    <m/>
    <x v="12"/>
    <n v="1974.0391928107824"/>
  </r>
  <r>
    <x v="24"/>
    <s v="May"/>
    <n v="1"/>
    <x v="0"/>
    <n v="0"/>
  </r>
  <r>
    <x v="25"/>
    <s v="May"/>
    <n v="1"/>
    <x v="0"/>
    <n v="0"/>
  </r>
  <r>
    <x v="26"/>
    <s v="May"/>
    <n v="1"/>
    <x v="0"/>
    <n v="0"/>
  </r>
  <r>
    <x v="27"/>
    <s v="May"/>
    <n v="1"/>
    <x v="0"/>
    <n v="0"/>
  </r>
  <r>
    <x v="28"/>
    <s v="May"/>
    <n v="1"/>
    <x v="0"/>
    <n v="0"/>
  </r>
  <r>
    <x v="29"/>
    <s v="May"/>
    <n v="1"/>
    <x v="0"/>
    <n v="0"/>
  </r>
  <r>
    <x v="30"/>
    <s v="May"/>
    <n v="1"/>
    <x v="0"/>
    <n v="0"/>
  </r>
  <r>
    <x v="31"/>
    <s v="May"/>
    <n v="1"/>
    <x v="0"/>
    <n v="0"/>
  </r>
  <r>
    <x v="32"/>
    <s v="May"/>
    <n v="1"/>
    <x v="0"/>
    <n v="0"/>
  </r>
  <r>
    <x v="33"/>
    <s v="May"/>
    <n v="1"/>
    <x v="0"/>
    <n v="0"/>
  </r>
  <r>
    <x v="34"/>
    <s v="May"/>
    <n v="1"/>
    <x v="0"/>
    <n v="0"/>
  </r>
  <r>
    <x v="35"/>
    <s v="May"/>
    <n v="1"/>
    <x v="0"/>
    <n v="0"/>
  </r>
  <r>
    <x v="36"/>
    <s v="May"/>
    <n v="1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9">
  <r>
    <s v="GAD 151"/>
    <x v="0"/>
    <s v="May"/>
    <n v="1"/>
    <s v="A"/>
    <n v="1001"/>
    <n v="4.7851578338459015"/>
    <n v="4.6330167804053239"/>
    <n v="1.0367654413100178"/>
    <n v="3.367465968434483"/>
    <n v="6.7992216938128642"/>
    <n v="10715"/>
    <n v="49642.774802043044"/>
    <n v="36082.397851775488"/>
    <n v="72853.660449204835"/>
    <n v="9.3000000000000007"/>
    <n v="461677.80565900035"/>
    <n v="335566.30002151208"/>
    <n v="677539.04217760498"/>
  </r>
  <r>
    <s v="GAD 151"/>
    <x v="0"/>
    <s v="May"/>
    <n v="2"/>
    <s v="B"/>
    <n v="1001"/>
    <n v="10.522562140002746"/>
    <n v="10.474603438377514"/>
    <n v="1.1600013282545238"/>
    <n v="8.7745375428233352"/>
    <n v="12.520905091599918"/>
    <n v="19686"/>
    <n v="206203.04328789975"/>
    <n v="172735.54606802016"/>
    <n v="246486.53763323597"/>
    <n v="8.6"/>
    <n v="1773346.1722759379"/>
    <n v="1485525.6961849735"/>
    <n v="2119784.2236458291"/>
  </r>
  <r>
    <s v="GAD 151"/>
    <x v="0"/>
    <s v="May"/>
    <n v="3"/>
    <s v="C"/>
    <n v="1001"/>
    <n v="3.528224966608434"/>
    <n v="3.4939606176724411"/>
    <n v="0.43191733229179075"/>
    <n v="2.899279664744796"/>
    <n v="4.2615617765212539"/>
    <n v="10897"/>
    <n v="38073.688850776591"/>
    <n v="31593.450506724042"/>
    <n v="46438.238678752103"/>
    <n v="6.9"/>
    <n v="262708.45307035849"/>
    <n v="217994.80849639591"/>
    <n v="320423.84688338952"/>
  </r>
  <r>
    <s v="GAD 151"/>
    <x v="0"/>
    <s v="May"/>
    <n v="4"/>
    <s v="D"/>
    <n v="1001"/>
    <n v="4.1235465161986617"/>
    <n v="4.1139822493410616"/>
    <n v="0.37752921683007507"/>
    <n v="3.5458268441102057"/>
    <n v="4.7468161856361677"/>
    <n v="28029"/>
    <n v="115310.80846678061"/>
    <n v="99385.980613564956"/>
    <n v="133048.51086719614"/>
    <n v="15.5"/>
    <n v="1787317.5312350995"/>
    <n v="1540482.6995102568"/>
    <n v="2062251.9184415401"/>
  </r>
  <r>
    <s v="GAD 166"/>
    <x v="1"/>
    <s v="May"/>
    <n v="1"/>
    <s v="A"/>
    <n v="1001"/>
    <n v="6.2349185765194424"/>
    <n v="6.1884273116601927"/>
    <n v="0.65583690618329515"/>
    <n v="5.2462638056224087"/>
    <n v="7.3420646107079497"/>
    <n v="13135.5"/>
    <n v="81288.086952312457"/>
    <n v="68912.298218753145"/>
    <n v="96441.689693954278"/>
    <n v="9.4"/>
    <n v="764108.01735173713"/>
    <n v="647775.6032562796"/>
    <n v="906551.88312317024"/>
  </r>
  <r>
    <s v="GAD 166"/>
    <x v="1"/>
    <s v="May"/>
    <n v="2"/>
    <s v="B"/>
    <n v="1001"/>
    <n v="6.9797670689089211"/>
    <n v="6.9391606352612092"/>
    <n v="0.58065379581150889"/>
    <n v="6.0920543495446937"/>
    <n v="8.0025095777203834"/>
    <n v="11370"/>
    <n v="78898.256422919949"/>
    <n v="69266.657954323164"/>
    <n v="90988.533898680762"/>
    <n v="7.1"/>
    <n v="560177.62060273159"/>
    <n v="491793.27147569443"/>
    <n v="646018.59068063332"/>
  </r>
  <r>
    <s v="GAD 166"/>
    <x v="1"/>
    <s v="May"/>
    <n v="3"/>
    <s v="C"/>
    <n v="1001"/>
    <n v="7.726507512428852"/>
    <n v="7.648986611525074"/>
    <n v="0.72022782272979557"/>
    <n v="6.6682478051789724"/>
    <n v="9.0304740141648132"/>
    <n v="12873"/>
    <n v="98465.40465016228"/>
    <n v="85840.353996068909"/>
    <n v="116249.29198434364"/>
    <n v="7.7"/>
    <n v="758183.61580624955"/>
    <n v="660970.72576973063"/>
    <n v="895119.54827944608"/>
  </r>
  <r>
    <s v="GAD 166"/>
    <x v="1"/>
    <s v="May"/>
    <n v="4"/>
    <s v="D"/>
    <n v="1001"/>
    <n v="5.6084509523769634"/>
    <n v="5.5357159771350171"/>
    <n v="0.65628729970161603"/>
    <n v="4.6439611902816891"/>
    <n v="6.8278260362846552"/>
    <n v="10896"/>
    <n v="60317.161286863149"/>
    <n v="50600.601129309282"/>
    <n v="74395.992491357611"/>
    <n v="13"/>
    <n v="784123.09672922094"/>
    <n v="657807.81468102068"/>
    <n v="967147.90238764894"/>
  </r>
  <r>
    <s v="GAD 166"/>
    <x v="1"/>
    <s v="May"/>
    <n v="5"/>
    <s v="E"/>
    <n v="1001"/>
    <n v="3.1107315440227272"/>
    <n v="3.0425476467721246"/>
    <n v="0.52464587646635896"/>
    <n v="2.3676539524017914"/>
    <n v="4.0614730805984713"/>
    <n v="9663"/>
    <n v="29400.13791075904"/>
    <n v="22878.64014205851"/>
    <n v="39246.014377823027"/>
    <n v="14.9"/>
    <n v="438062.05487030972"/>
    <n v="340891.7381166718"/>
    <n v="584765.61422956316"/>
  </r>
  <r>
    <s v="GAD 166"/>
    <x v="1"/>
    <s v="May"/>
    <n v="6"/>
    <s v="F"/>
    <n v="1001"/>
    <n v="2.1648245588907327"/>
    <n v="2.1469150111460582"/>
    <n v="0.28489122737231859"/>
    <n v="1.7252656888606053"/>
    <n v="2.6632675000938284"/>
    <n v="8256"/>
    <n v="17724.930332021857"/>
    <n v="14243.793527233158"/>
    <n v="21987.936480774646"/>
    <n v="23"/>
    <n v="407673.39763650269"/>
    <n v="327607.25112636265"/>
    <n v="505722.53905781684"/>
  </r>
  <r>
    <s v="GAD 181"/>
    <x v="2"/>
    <s v="May"/>
    <n v="1"/>
    <s v="A"/>
    <n v="1001"/>
    <n v="7.1222803829661583"/>
    <n v="6.9553094581165755"/>
    <n v="1.251704471897549"/>
    <n v="5.256579750630241"/>
    <n v="9.3733126064719254"/>
    <n v="14322"/>
    <n v="99613.9420591456"/>
    <n v="75284.735188526305"/>
    <n v="134244.58314989091"/>
    <n v="11.3"/>
    <n v="1125637.5452683454"/>
    <n v="850717.50763034727"/>
    <n v="1516963.7895937674"/>
  </r>
  <r>
    <s v="GAD 181"/>
    <x v="2"/>
    <s v="May"/>
    <n v="2"/>
    <s v="B"/>
    <n v="1001"/>
    <n v="9.1278491363788223"/>
    <n v="9.0666813336147705"/>
    <n v="0.98607788640741634"/>
    <n v="7.6034635887739102"/>
    <n v="10.905284498732863"/>
    <n v="13428"/>
    <n v="121747.39694777914"/>
    <n v="102099.30907005607"/>
    <n v="146436.16024898487"/>
    <n v="8.9"/>
    <n v="1083551.8328352345"/>
    <n v="908683.85072349908"/>
    <n v="1303281.8262159654"/>
  </r>
  <r>
    <s v="GAD 181"/>
    <x v="2"/>
    <s v="May"/>
    <n v="3"/>
    <s v="C"/>
    <n v="1001"/>
    <n v="7.363760055012726"/>
    <n v="7.3137927534731126"/>
    <n v="0.93988220996340666"/>
    <n v="5.9408358901408498"/>
    <n v="8.9752602076625454"/>
    <n v="12873"/>
    <n v="94150.454115459375"/>
    <n v="76476.380413783161"/>
    <n v="115538.52465323995"/>
    <n v="12.9"/>
    <n v="1214540.8580894261"/>
    <n v="986545.30733780283"/>
    <n v="1490446.9680267954"/>
  </r>
  <r>
    <s v="GAD 181"/>
    <x v="2"/>
    <s v="May"/>
    <n v="4"/>
    <s v="D"/>
    <n v="1001"/>
    <n v="8.2491414606559008"/>
    <n v="8.2074540649597729"/>
    <n v="1.5293769816865379"/>
    <n v="5.8702588787740622"/>
    <n v="10.845878042681578"/>
    <n v="10896"/>
    <n v="89428.419491801687"/>
    <n v="63962.340743122179"/>
    <n v="118176.68715305848"/>
    <n v="14"/>
    <n v="1251997.8728852237"/>
    <n v="895472.77040371054"/>
    <n v="1654473.6201428187"/>
  </r>
  <r>
    <s v="GAD 181"/>
    <x v="2"/>
    <s v="May"/>
    <n v="5"/>
    <s v="E"/>
    <n v="1001"/>
    <n v="2.9438680165748194"/>
    <n v="2.7873914105325879"/>
    <n v="1.2069023401047758"/>
    <n v="1.340384832193406"/>
    <n v="5.1834167192201006"/>
    <n v="9591"/>
    <n v="26733.871018418049"/>
    <n v="12855.630925566957"/>
    <n v="49714.149754039987"/>
    <n v="18"/>
    <n v="481209.67833152489"/>
    <n v="231401.35666020523"/>
    <n v="894854.69557271979"/>
  </r>
  <r>
    <s v="GAD 181"/>
    <x v="2"/>
    <s v="May"/>
    <n v="6"/>
    <s v="F"/>
    <n v="1001"/>
    <n v="4.547080596185662"/>
    <n v="4.0054929406572226"/>
    <n v="2.4303201765473967"/>
    <n v="1.8928513730283922"/>
    <n v="9.5583044092806944"/>
    <n v="8181"/>
    <n v="32768.937747516735"/>
    <n v="15485.417082745276"/>
    <n v="78196.488372325359"/>
    <n v="19.100000000000001"/>
    <n v="625886.71097756969"/>
    <n v="295771.4662804348"/>
    <n v="1493552.9279114145"/>
  </r>
  <r>
    <s v="GAD 200"/>
    <x v="3"/>
    <s v="May"/>
    <n v="3"/>
    <s v="C"/>
    <n v="1000"/>
    <n v="0.6321602808416692"/>
    <n v="0.61824044122620592"/>
    <n v="0.15023586660100957"/>
    <n v="0.41419621324742484"/>
    <n v="0.90443429909321316"/>
    <n v="16328.999999999998"/>
    <n v="10095.248164782715"/>
    <n v="6763.4099661171995"/>
    <n v="14768.507669893075"/>
    <n v="8.1999999999999993"/>
    <n v="82781.034951218258"/>
    <n v="55459.961722161032"/>
    <n v="121101.7628931232"/>
  </r>
  <r>
    <s v="GAD 200"/>
    <x v="3"/>
    <s v="May"/>
    <n v="4"/>
    <s v="D"/>
    <n v="1000"/>
    <n v="0.2310514994208745"/>
    <n v="0.19473162013196271"/>
    <n v="0.12824844078450631"/>
    <n v="9.8213442651960289E-2"/>
    <n v="0.46095920058996104"/>
    <n v="10896"/>
    <n v="2121.7957329578658"/>
    <n v="1070.1336711357594"/>
    <n v="5022.6114496282153"/>
    <n v="5.5"/>
    <n v="11669.876531268263"/>
    <n v="5885.7351912466765"/>
    <n v="27624.362972955183"/>
  </r>
  <r>
    <s v="GAD 200"/>
    <x v="3"/>
    <s v="May"/>
    <n v="5"/>
    <s v="E"/>
    <n v="1000"/>
    <n v="0.35952420456494727"/>
    <n v="8.2199986578427378E-3"/>
    <n v="0.82481798851170796"/>
    <n v="7.4719711484468303E-4"/>
    <n v="2.3769813368364456"/>
    <n v="9591"/>
    <n v="78.838007127369693"/>
    <n v="7.1663675284753552"/>
    <n v="22797.62800159835"/>
    <n v="0.4"/>
    <n v="31.535202850947879"/>
    <n v="2.8665470113901423"/>
    <n v="9119.0512006393401"/>
  </r>
  <r>
    <s v="GAD 200"/>
    <x v="3"/>
    <s v="May"/>
    <n v="6"/>
    <s v="F"/>
    <n v="1000"/>
    <n v="0.63800654334861795"/>
    <n v="0.46888105055617857"/>
    <n v="0.66785628564323096"/>
    <n v="6.6267772474038747E-4"/>
    <n v="1.9612139799944908"/>
    <n v="8181"/>
    <n v="3835.9158746000967"/>
    <n v="5.4213664661011096"/>
    <n v="16044.69157033493"/>
    <n v="11.3"/>
    <n v="43345.849382981098"/>
    <n v="61.261441066942545"/>
    <n v="181305.01474478471"/>
  </r>
  <r>
    <s v="GAD 215"/>
    <x v="4"/>
    <s v="May"/>
    <n v="1"/>
    <s v="A"/>
    <n v="1000"/>
    <n v="0.58950595067218592"/>
    <n v="0.58447436955095933"/>
    <n v="6.7597886886798783E-2"/>
    <n v="0.49450600628831726"/>
    <n v="0.70586513519269412"/>
    <n v="14308"/>
    <n v="8362.6592795351262"/>
    <n v="7075.3919379732433"/>
    <n v="10099.518354337068"/>
    <n v="8.9"/>
    <n v="74427.667587862627"/>
    <n v="62970.988247961868"/>
    <n v="89885.713353599902"/>
  </r>
  <r>
    <s v="GAD 215"/>
    <x v="4"/>
    <s v="May"/>
    <n v="2"/>
    <s v="B"/>
    <n v="1000"/>
    <n v="0.56673962638140096"/>
    <n v="0.54577695942271953"/>
    <n v="9.84395906556505E-2"/>
    <n v="0.43757745069781651"/>
    <n v="0.75305743220325505"/>
    <n v="13428"/>
    <n v="7328.6930111282782"/>
    <n v="5875.7900079702804"/>
    <n v="10112.055199625309"/>
    <n v="6.5"/>
    <n v="47636.504572333812"/>
    <n v="38192.635051806821"/>
    <n v="65728.358797564506"/>
  </r>
  <r>
    <s v="GAD 215"/>
    <x v="4"/>
    <s v="May"/>
    <n v="3"/>
    <s v="C"/>
    <n v="1000"/>
    <n v="0.12517341111192701"/>
    <n v="0.12371085166534262"/>
    <n v="1.3434479732700009E-2"/>
    <n v="0.10514337235083496"/>
    <n v="0.14949485778400942"/>
    <n v="21855"/>
    <n v="2703.7006631460631"/>
    <n v="2297.908402727498"/>
    <n v="3267.2101168695258"/>
    <n v="4.8"/>
    <n v="12977.763183101102"/>
    <n v="11029.960333091991"/>
    <n v="15682.608560973724"/>
  </r>
  <r>
    <s v="GAD 215"/>
    <x v="4"/>
    <s v="May"/>
    <n v="4"/>
    <s v="D"/>
    <n v="1000"/>
    <n v="4.3008789246470711E-2"/>
    <n v="4.1629685942561064E-2"/>
    <n v="8.016439781770553E-3"/>
    <n v="3.2345031084565365E-2"/>
    <n v="5.7619048914336529E-2"/>
    <n v="22071"/>
    <n v="918.80879843826528"/>
    <n v="713.88718106744216"/>
    <n v="1271.7100285883216"/>
    <n v="3.2"/>
    <n v="2940.1881550024491"/>
    <n v="2284.4389794158151"/>
    <n v="4069.4720914826294"/>
  </r>
  <r>
    <s v="GAD 215"/>
    <x v="4"/>
    <s v="May"/>
    <n v="5"/>
    <s v="E"/>
    <n v="1000"/>
    <n v="1.0552733150240252E-2"/>
    <n v="8.640332196210956E-3"/>
    <n v="7.2178138242125368E-3"/>
    <n v="5.6358146226299748E-3"/>
    <n v="2.2672192604640033E-2"/>
    <n v="9591"/>
    <n v="82.869426093859275"/>
    <n v="54.053098045644091"/>
    <n v="217.44899927110256"/>
    <n v="0.3"/>
    <n v="24.860827828157781"/>
    <n v="16.215929413693228"/>
    <n v="65.234699781330761"/>
  </r>
  <r>
    <s v="GAD 215"/>
    <x v="4"/>
    <s v="May"/>
    <n v="6"/>
    <s v="F"/>
    <n v="1000"/>
    <n v="4.4008517309616028E-3"/>
    <n v="2.9061210616731841E-3"/>
    <n v="5.3899892439404811E-3"/>
    <n v="1.4797903587830232E-3"/>
    <n v="1.1582276949814075E-2"/>
    <n v="790.19999999999993"/>
    <n v="2.2964168629341497"/>
    <n v="1.1693303415103449"/>
    <n v="9.1523152457430808"/>
    <n v="5.2"/>
    <n v="11.941367687257578"/>
    <n v="6.0805177758537932"/>
    <n v="47.592039277864025"/>
  </r>
  <r>
    <s v="TEL 29"/>
    <x v="5"/>
    <s v="May"/>
    <n v="1"/>
    <s v="A"/>
    <n v="1000"/>
    <n v="1.4752945431721744E-3"/>
    <n v="1.4284188263916243E-3"/>
    <n v="3.0512248620824869E-4"/>
    <n v="1.0344989901438749E-3"/>
    <n v="2.0193444332978119E-3"/>
    <n v="88680"/>
    <n v="126.67218152440924"/>
    <n v="91.739370445958826"/>
    <n v="179.07546434484996"/>
    <n v="9.6"/>
    <n v="1216.0529426343287"/>
    <n v="880.69795628120471"/>
    <n v="1719.1244577105597"/>
  </r>
  <r>
    <s v="TEL 29"/>
    <x v="5"/>
    <s v="May"/>
    <n v="2"/>
    <s v="B"/>
    <n v="1000"/>
    <n v="5.0677567418402639E-2"/>
    <n v="4.6581694831384537E-2"/>
    <n v="2.1670550476386632E-2"/>
    <n v="2.5024728092355522E-2"/>
    <n v="9.2749556928472657E-2"/>
    <n v="13908"/>
    <n v="647.85821171489613"/>
    <n v="348.04391830848061"/>
    <n v="1289.9608377611978"/>
    <n v="13.1"/>
    <n v="8486.9425734651395"/>
    <n v="4559.3753298410957"/>
    <n v="16898.48697467169"/>
  </r>
  <r>
    <s v="TEL 29"/>
    <x v="5"/>
    <s v="May"/>
    <n v="3"/>
    <s v="C"/>
    <n v="1000"/>
    <n v="5.4064725466808614E-2"/>
    <n v="5.3074607697576701E-2"/>
    <n v="1.1830929585931411E-2"/>
    <n v="3.6977212151068348E-2"/>
    <n v="7.489890760030328E-2"/>
    <n v="12279"/>
    <n v="651.70310791854433"/>
    <n v="454.04318800296824"/>
    <n v="919.68368642412395"/>
    <n v="9.6999999999999993"/>
    <n v="6321.5201468098794"/>
    <n v="4404.2189236287913"/>
    <n v="8920.9317583140019"/>
  </r>
  <r>
    <s v="TEL 29"/>
    <x v="5"/>
    <s v="May"/>
    <n v="4"/>
    <s v="D"/>
    <n v="1000"/>
    <n v="0.12006004555552052"/>
    <n v="0.11742870783957088"/>
    <n v="2.1692364539652696E-2"/>
    <n v="9.0180225869752662E-2"/>
    <n v="0.15976047729961035"/>
    <n v="11889"/>
    <n v="1396.1099075046582"/>
    <n v="1072.1527053654893"/>
    <n v="1899.3923146150673"/>
    <n v="17.5"/>
    <n v="24431.923381331519"/>
    <n v="18762.672343896062"/>
    <n v="33239.365505763679"/>
  </r>
  <r>
    <s v="TEL 29"/>
    <x v="5"/>
    <s v="May"/>
    <n v="5"/>
    <s v="E"/>
    <n v="1000"/>
    <n v="9.4826595838934755E-2"/>
    <n v="8.6986783693451572E-2"/>
    <n v="3.7659801485658159E-2"/>
    <n v="4.3750948419597785E-2"/>
    <n v="0.1665243633461497"/>
    <n v="6183"/>
    <n v="537.83928357661102"/>
    <n v="270.51211407837309"/>
    <n v="1029.6201385692436"/>
    <n v="13"/>
    <n v="6991.9106864959431"/>
    <n v="3516.6574830188501"/>
    <n v="13385.061801400167"/>
  </r>
  <r>
    <s v="TEL 78"/>
    <x v="6"/>
    <s v="May"/>
    <n v="1"/>
    <s v="A"/>
    <n v="1000"/>
    <n v="0.28622578980733288"/>
    <n v="0.24578255378136216"/>
    <n v="0.17373458705012701"/>
    <n v="8.9360213464391464E-2"/>
    <n v="0.6464996817203944"/>
    <n v="16607.070930057202"/>
    <n v="4081.7283040176803"/>
    <n v="1484.0114033282016"/>
    <n v="10736.466070589995"/>
    <n v="11"/>
    <n v="44899.011344194485"/>
    <n v="16324.125436610218"/>
    <n v="118101.12677648995"/>
  </r>
  <r>
    <s v="TEL 78"/>
    <x v="6"/>
    <s v="May"/>
    <n v="2"/>
    <s v="B"/>
    <n v="1000"/>
    <n v="0.78603291731450031"/>
    <n v="0.75733416794970676"/>
    <n v="0.15410157371228153"/>
    <n v="0.58257063148285804"/>
    <n v="1.0689262800552024"/>
    <n v="10396.801867846863"/>
    <n v="7873.8532919237614"/>
    <n v="6056.8714295537047"/>
    <n v="11113.414745068529"/>
    <n v="13.6"/>
    <n v="107084.40477016315"/>
    <n v="82373.451441930389"/>
    <n v="151142.440532932"/>
  </r>
  <r>
    <s v="TEL 78"/>
    <x v="6"/>
    <s v="May"/>
    <n v="3"/>
    <s v="C"/>
    <n v="1000"/>
    <n v="7.5617449084886046E-2"/>
    <n v="5.5799937247593905E-2"/>
    <n v="5.9761077977453683E-2"/>
    <n v="3.5850518613387825E-2"/>
    <n v="0.23227293121139037"/>
    <n v="11620.532441749217"/>
    <n v="648.42498103323555"/>
    <n v="416.60211460040739"/>
    <n v="2699.1351324821462"/>
    <n v="13.6"/>
    <n v="8818.579742052003"/>
    <n v="5665.7887585655408"/>
    <n v="36708.23780175719"/>
  </r>
  <r>
    <s v="TEL 78"/>
    <x v="6"/>
    <s v="May"/>
    <n v="4"/>
    <s v="D"/>
    <n v="1000"/>
    <n v="0.24503178422695279"/>
    <n v="0.22139826455746445"/>
    <n v="9.3169826467921713E-2"/>
    <n v="0.14027506602982681"/>
    <n v="0.41891002591890503"/>
    <n v="10426.249929785692"/>
    <n v="2308.3536402969376"/>
    <n v="1462.5428973441651"/>
    <n v="4367.660628323506"/>
    <n v="12.6"/>
    <n v="29085.255867741413"/>
    <n v="18428.040506536479"/>
    <n v="55032.523916876176"/>
  </r>
  <r>
    <s v="TEL 78"/>
    <x v="6"/>
    <s v="May"/>
    <n v="5"/>
    <s v="E"/>
    <n v="1000"/>
    <n v="0.16925023084754404"/>
    <n v="0.16673960425285667"/>
    <n v="3.880618477657212E-2"/>
    <n v="0.10825856734274661"/>
    <n v="0.23412628848717038"/>
    <n v="3638.4716528861413"/>
    <n v="606.67732348747245"/>
    <n v="393.89572845864888"/>
    <n v="851.86186385601241"/>
    <n v="12.6"/>
    <n v="7644.1342759421523"/>
    <n v="4963.0861785789757"/>
    <n v="10733.459484585755"/>
  </r>
  <r>
    <s v="TEL 78"/>
    <x v="6"/>
    <s v="May"/>
    <n v="6"/>
    <s v="F"/>
    <n v="1000"/>
    <n v="9.6049208820309123E-2"/>
    <n v="8.063385146771497E-2"/>
    <n v="4.0014341360169514E-2"/>
    <n v="5.6607447230391288E-2"/>
    <n v="0.18333347765720545"/>
    <n v="18478.658866613743"/>
    <n v="1490.0054343731069"/>
    <n v="1046.0297066802395"/>
    <n v="3387.7567924574519"/>
    <n v="12.6"/>
    <n v="18774.068473101146"/>
    <n v="13179.974304171017"/>
    <n v="42685.735584963892"/>
  </r>
  <r>
    <s v="TEL 303"/>
    <x v="7"/>
    <s v="May"/>
    <n v="1"/>
    <s v="A"/>
    <n v="1000"/>
    <n v="0.19334554600143763"/>
    <n v="0.19204153900273002"/>
    <n v="1.5817101305637671E-2"/>
    <n v="0.17015079076981476"/>
    <n v="0.22153952128045462"/>
    <n v="26709.392178515798"/>
    <n v="5129.3127797896541"/>
    <n v="4544.6242001555684"/>
    <n v="5917.1859569203089"/>
    <n v="11.2"/>
    <n v="57448.30313364412"/>
    <n v="50899.791041742363"/>
    <n v="66272.482717507461"/>
  </r>
  <r>
    <s v="TEL 303"/>
    <x v="7"/>
    <s v="May"/>
    <n v="2"/>
    <s v="B"/>
    <n v="1000"/>
    <n v="3.7042118726324032E-3"/>
    <n v="2.0250927152073118E-3"/>
    <n v="3.9118718504905165E-3"/>
    <n v="9.4825543828373055E-4"/>
    <n v="1.3292194265810572E-2"/>
    <n v="6005.7686320795974"/>
    <n v="12.162238306044975"/>
    <n v="5.6950027664433192"/>
    <n v="79.82984337311342"/>
    <n v="19.399999999999999"/>
    <n v="235.94742313727249"/>
    <n v="110.48305366900038"/>
    <n v="1548.6989614384001"/>
  </r>
  <r>
    <s v="TEL 303"/>
    <x v="7"/>
    <s v="May"/>
    <n v="3"/>
    <s v="C"/>
    <n v="1000"/>
    <n v="0.15015765570185899"/>
    <n v="0.14821783220864465"/>
    <n v="3.0366791846684647E-2"/>
    <n v="0.10210558694279045"/>
    <n v="0.20331565098789553"/>
    <n v="17333.456457881595"/>
    <n v="2569.1273408701422"/>
    <n v="1769.842745379302"/>
    <n v="3524.1629836045381"/>
    <n v="11.6"/>
    <n v="29801.87715409365"/>
    <n v="20530.175846399903"/>
    <n v="40880.29060981264"/>
  </r>
  <r>
    <s v="TEL 303"/>
    <x v="7"/>
    <s v="May"/>
    <n v="4"/>
    <s v="D"/>
    <n v="1000"/>
    <n v="0.24523228696171093"/>
    <n v="0.24161978813928242"/>
    <n v="3.8710417496664443E-2"/>
    <n v="0.18816702985155254"/>
    <n v="0.3135800332282338"/>
    <n v="12219.309701172027"/>
    <n v="2952.4270212054635"/>
    <n v="2299.2712133058026"/>
    <n v="3831.731542119604"/>
    <n v="11.6"/>
    <n v="34248.153445983378"/>
    <n v="26671.546074347309"/>
    <n v="44448.085888587404"/>
  </r>
  <r>
    <s v="TEL 303"/>
    <x v="7"/>
    <s v="May"/>
    <n v="5"/>
    <s v="E"/>
    <n v="1000"/>
    <n v="4.9688422757716202E-3"/>
    <n v="4.7215802496159793E-3"/>
    <n v="1.1211075652277096E-3"/>
    <n v="3.579389550658319E-3"/>
    <n v="7.0577272483722166E-3"/>
    <n v="24378.087275025355"/>
    <n v="115.10309540117434"/>
    <n v="87.258670857262288"/>
    <n v="172.05389082414246"/>
    <n v="10.9"/>
    <n v="1254.6237398728003"/>
    <n v="951.11951234415892"/>
    <n v="1875.3874099831528"/>
  </r>
  <r>
    <s v="TEL 303"/>
    <x v="7"/>
    <s v="May"/>
    <n v="6"/>
    <s v="F"/>
    <n v="1000"/>
    <n v="5.9950867652771474E-3"/>
    <n v="5.3922679403238562E-3"/>
    <n v="2.3612762335199506E-3"/>
    <n v="3.2535578149322968E-3"/>
    <n v="1.0694734297099471E-2"/>
    <n v="28396.111726234154"/>
    <n v="153.11944289122675"/>
    <n v="92.388391220579763"/>
    <n v="303.68886998282488"/>
    <n v="11.5"/>
    <n v="1760.8735932491077"/>
    <n v="1062.4664990366673"/>
    <n v="3492.4220048024863"/>
  </r>
  <r>
    <s v="TEL 353"/>
    <x v="8"/>
    <s v="May"/>
    <n v="1"/>
    <s v="A"/>
    <n v="1000"/>
    <n v="5.8622268121275353E-3"/>
    <n v="4.1414639788384579E-3"/>
    <n v="4.8402642693663976E-3"/>
    <n v="3.001791128363439E-3"/>
    <n v="1.9360922113982028E-2"/>
    <n v="20710.167560200389"/>
    <n v="85.770412946278668"/>
    <n v="62.167597249129813"/>
    <n v="400.96794110055691"/>
    <n v="16"/>
    <n v="1372.3266071404587"/>
    <n v="994.681555986077"/>
    <n v="6415.4870576089106"/>
  </r>
  <r>
    <s v="TEL 353"/>
    <x v="8"/>
    <s v="May"/>
    <n v="2"/>
    <s v="B"/>
    <n v="1000"/>
    <n v="1.5184562548149906E-2"/>
    <n v="1.3727788988184492E-2"/>
    <n v="5.6351174589603986E-3"/>
    <n v="9.7238576245295659E-3"/>
    <n v="2.7505621922670032E-2"/>
    <n v="12937.515211791189"/>
    <n v="177.60347885889644"/>
    <n v="125.802555934643"/>
    <n v="355.85440203432074"/>
    <n v="15.2"/>
    <n v="2699.5728786552258"/>
    <n v="1912.1988502065735"/>
    <n v="5408.9869109216752"/>
  </r>
  <r>
    <s v="TEL 353"/>
    <x v="8"/>
    <s v="May"/>
    <n v="3"/>
    <s v="C"/>
    <n v="1000"/>
    <n v="0.52584448887725721"/>
    <n v="0.50443851518591021"/>
    <n v="0.13846954577092449"/>
    <n v="0.3330968502550119"/>
    <n v="0.77475298907341539"/>
    <n v="10953.043037802479"/>
    <n v="5525.1367667564537"/>
    <n v="3648.4241365995931"/>
    <n v="8485.9028329872326"/>
    <n v="12.6"/>
    <n v="69616.723261131308"/>
    <n v="45970.144121154874"/>
    <n v="106922.37569563913"/>
  </r>
  <r>
    <s v="TEL 353"/>
    <x v="8"/>
    <s v="May"/>
    <n v="4"/>
    <s v="D"/>
    <n v="1000"/>
    <n v="0.11560276701427423"/>
    <n v="0.10989677407284135"/>
    <n v="5.1644007595457744E-2"/>
    <n v="4.2922910890592483E-2"/>
    <n v="0.20663823494923067"/>
    <n v="5346.4592453380883"/>
    <n v="587.55862377457379"/>
    <n v="229.48559376783109"/>
    <n v="1104.7829016846583"/>
    <n v="4.0999999999999996"/>
    <n v="2408.9903574757523"/>
    <n v="940.89093444810737"/>
    <n v="4529.609896907099"/>
  </r>
  <r>
    <s v="TEL 353"/>
    <x v="8"/>
    <s v="May"/>
    <n v="5"/>
    <s v="E"/>
    <n v="1000"/>
    <n v="0.13958515751941605"/>
    <n v="6.897964610021419E-2"/>
    <n v="0.28676010803144075"/>
    <n v="5.1237694860886168E-2"/>
    <n v="1.0832897959380876"/>
    <n v="13991.101427824766"/>
    <n v="965.10122504355377"/>
    <n v="716.87178572659411"/>
    <n v="15156.417410697377"/>
    <n v="11.6"/>
    <n v="11195.174210505224"/>
    <n v="8315.7127144284914"/>
    <n v="175814.44196408958"/>
  </r>
  <r>
    <s v="TEL 353"/>
    <x v="8"/>
    <s v="May"/>
    <n v="6"/>
    <s v="F"/>
    <n v="1000"/>
    <n v="2.9209475275453943E-2"/>
    <n v="1.8777124551072704E-2"/>
    <n v="2.3533731247991616E-2"/>
    <n v="8.7977820835280374E-3"/>
    <n v="7.6175973880173373E-2"/>
    <n v="6966.102651973556"/>
    <n v="130.80337713166534"/>
    <n v="61.286253103550102"/>
    <n v="530.64965366334411"/>
    <n v="11.6"/>
    <n v="1517.3191747273179"/>
    <n v="710.92053600118118"/>
    <n v="6155.5359824947918"/>
  </r>
  <r>
    <s v="TEL 353"/>
    <x v="8"/>
    <s v="May"/>
    <n v="7"/>
    <s v="G"/>
    <n v="1000"/>
    <n v="1.3003348687654239E-2"/>
    <n v="1.2755167923229862E-2"/>
    <n v="4.0002115797094619E-3"/>
    <n v="6.7084986470144501E-3"/>
    <n v="2.0726717168338026E-2"/>
    <n v="2532.5333267390947"/>
    <n v="32.302887853733111"/>
    <n v="16.989496395948223"/>
    <n v="52.491101982711413"/>
    <n v="19.100000000000001"/>
    <n v="616.98515800630241"/>
    <n v="324.49938116261109"/>
    <n v="1002.580047869788"/>
  </r>
  <r>
    <s v="TEL 353"/>
    <x v="8"/>
    <s v="May"/>
    <n v="8"/>
    <s v="H"/>
    <n v="1000"/>
    <n v="2.8853490071401307E-2"/>
    <n v="2.8664781476841386E-2"/>
    <n v="8.827453619413379E-3"/>
    <n v="1.5806346434638387E-2"/>
    <n v="4.3623163738825535E-2"/>
    <n v="13775.148973606703"/>
    <n v="394.86163513937208"/>
    <n v="217.73477686558095"/>
    <n v="600.91557920235971"/>
    <n v="13.2"/>
    <n v="5212.1735838397108"/>
    <n v="2874.0990546256685"/>
    <n v="7932.0856454711475"/>
  </r>
  <r>
    <s v="TEL 353"/>
    <x v="8"/>
    <s v="May"/>
    <n v="9"/>
    <s v="I"/>
    <n v="1000"/>
    <n v="6.3344536944064361E-2"/>
    <n v="5.6354871010670382E-2"/>
    <n v="2.3378192723356173E-2"/>
    <n v="3.8597410773730377E-2"/>
    <n v="0.11619566249259854"/>
    <n v="5560.7756961151053"/>
    <n v="313.37679707383757"/>
    <n v="214.6315437635312"/>
    <n v="646.13801598283544"/>
    <n v="15.6"/>
    <n v="4888.6780343518658"/>
    <n v="3348.2520827110866"/>
    <n v="10079.753049332232"/>
  </r>
  <r>
    <s v="TEL 353"/>
    <x v="8"/>
    <s v="May"/>
    <n v="10"/>
    <s v="J"/>
    <n v="1000"/>
    <n v="0.14903983196873805"/>
    <n v="0.14501489539831192"/>
    <n v="2.49727628176463E-2"/>
    <n v="0.11656132496382843"/>
    <n v="0.19746788825331041"/>
    <n v="10828.706776282988"/>
    <n v="1570.323780461669"/>
    <n v="1262.2084094883323"/>
    <n v="2138.3218596269144"/>
    <n v="12.1"/>
    <n v="19000.917743586193"/>
    <n v="15272.721754808821"/>
    <n v="25873.694501485665"/>
  </r>
  <r>
    <s v="TEL 353"/>
    <x v="8"/>
    <s v="May"/>
    <n v="11"/>
    <s v="K"/>
    <n v="1000"/>
    <m/>
    <m/>
    <m/>
    <m/>
    <m/>
    <m/>
    <n v="0"/>
    <n v="0"/>
    <n v="0"/>
    <m/>
    <n v="0"/>
    <n v="0"/>
    <n v="0"/>
  </r>
  <r>
    <s v="TEL 353"/>
    <x v="8"/>
    <s v="May"/>
    <n v="12"/>
    <s v="L"/>
    <s v="not covered"/>
    <m/>
    <m/>
    <m/>
    <m/>
    <m/>
    <m/>
    <n v="0"/>
    <n v="0"/>
    <n v="0"/>
    <m/>
    <n v="0"/>
    <n v="0"/>
    <n v="0"/>
  </r>
  <r>
    <s v="TEL 353"/>
    <x v="8"/>
    <s v="May"/>
    <n v="13"/>
    <s v="M"/>
    <n v="1000"/>
    <n v="0.20314106352534064"/>
    <n v="0.17352071700362656"/>
    <n v="0.10790203539542109"/>
    <n v="8.5912145363866696E-2"/>
    <n v="0.40233240647232482"/>
    <n v="5410.2633795388801"/>
    <n v="938.79278079605024"/>
    <n v="464.80733391974894"/>
    <n v="2176.7242851389706"/>
    <n v="11.6"/>
    <n v="10889.996257234183"/>
    <n v="5391.7650734690878"/>
    <n v="25250.001707612057"/>
  </r>
  <r>
    <s v="TEL 404"/>
    <x v="9"/>
    <s v="May"/>
    <n v="1"/>
    <s v="A"/>
    <n v="1000"/>
    <n v="6.7286033629636961E-3"/>
    <n v="5.6372691502914116E-3"/>
    <n v="3.4160077895843783E-3"/>
    <n v="4.1338005370532942E-3"/>
    <n v="1.4877100416514417E-2"/>
    <n v="21727.53118530977"/>
    <n v="122.48394126294136"/>
    <n v="89.817280082675722"/>
    <n v="323.24266324680195"/>
    <n v="11.2"/>
    <n v="1371.820142144943"/>
    <n v="1005.953536925968"/>
    <n v="3620.3178283641814"/>
  </r>
  <r>
    <s v="TEL 404"/>
    <x v="9"/>
    <s v="May"/>
    <n v="2"/>
    <s v="B"/>
    <n v="1000"/>
    <n v="1.7034098755724123E-2"/>
    <n v="1.5732487936215522E-2"/>
    <n v="8.0328251325464829E-3"/>
    <n v="6.8194970043115814E-3"/>
    <n v="3.2371140377338417E-2"/>
    <n v="11555.924996488471"/>
    <n v="181.80345059906628"/>
    <n v="78.805595895602451"/>
    <n v="374.07847025132224"/>
    <n v="6.6"/>
    <n v="1199.9027739538374"/>
    <n v="520.11693291097617"/>
    <n v="2468.9179036587266"/>
  </r>
  <r>
    <s v="TEL 404"/>
    <x v="9"/>
    <s v="May"/>
    <n v="3"/>
    <s v="C"/>
    <n v="1000"/>
    <n v="0.15637788808116776"/>
    <n v="0.15381938708501156"/>
    <n v="1.9567124938122002E-2"/>
    <n v="0.13146775454416593"/>
    <n v="0.19419433287624402"/>
    <n v="8875.6810357629201"/>
    <n v="1365.251816883113"/>
    <n v="1166.8658558219879"/>
    <n v="1723.6069575623108"/>
    <n v="11.1"/>
    <n v="15154.295167402553"/>
    <n v="12952.210999624065"/>
    <n v="19132.037228941648"/>
  </r>
  <r>
    <m/>
    <x v="10"/>
    <m/>
    <m/>
    <s v="D"/>
    <s v="not covered"/>
    <m/>
    <m/>
    <m/>
    <m/>
    <m/>
    <m/>
    <m/>
    <m/>
    <m/>
    <m/>
    <m/>
    <n v="0"/>
    <n v="0"/>
  </r>
  <r>
    <s v="TEL 404"/>
    <x v="9"/>
    <s v="May"/>
    <n v="5"/>
    <s v="E"/>
    <n v="1000"/>
    <n v="9.9051799515496211E-2"/>
    <n v="9.6084769952419602E-2"/>
    <n v="1.1636825983047825E-2"/>
    <n v="8.5277655800826663E-2"/>
    <n v="0.12363299653960805"/>
    <n v="12042.09009683687"/>
    <n v="1157.0614567008809"/>
    <n v="1026.921214400598"/>
    <n v="1488.7996832718811"/>
    <n v="16.899999999999999"/>
    <n v="19554.338618244885"/>
    <n v="17354.968523370106"/>
    <n v="25160.71464729479"/>
  </r>
  <r>
    <s v="TEL 404"/>
    <x v="9"/>
    <s v="May"/>
    <n v="6"/>
    <s v="F"/>
    <n v="1000"/>
    <n v="4.8179383564428073E-2"/>
    <n v="4.7727728264524615E-2"/>
    <n v="4.8009131692554009E-3"/>
    <n v="4.1227945478978581E-2"/>
    <n v="5.6779578671171935E-2"/>
    <n v="7874.607443882147"/>
    <n v="375.83712427140989"/>
    <n v="324.65388636473205"/>
    <n v="447.11689286450252"/>
    <n v="12.7"/>
    <n v="4773.1314782469053"/>
    <n v="4123.1043568320965"/>
    <n v="5678.3845393791817"/>
  </r>
  <r>
    <s v="TEL 404"/>
    <x v="9"/>
    <s v="May"/>
    <n v="7"/>
    <s v="G"/>
    <n v="1000"/>
    <n v="4.5520943490250147E-2"/>
    <n v="4.4888161446463598E-2"/>
    <n v="9.6494612151748812E-3"/>
    <n v="3.0697420165893358E-2"/>
    <n v="6.2323698903622021E-2"/>
    <n v="3143.2289068933196"/>
    <n v="141.09376663581864"/>
    <n v="96.489018432485921"/>
    <n v="195.89765197838022"/>
    <n v="12.7"/>
    <n v="1791.8908362748966"/>
    <n v="1225.4105340925712"/>
    <n v="2487.9001801254285"/>
  </r>
  <r>
    <s v="TEL 404"/>
    <x v="9"/>
    <s v="May"/>
    <n v="8"/>
    <s v="H"/>
    <n v="1000"/>
    <n v="2.8372660377824623E-2"/>
    <n v="2.8201529731948151E-2"/>
    <n v="2.9558489846882498E-3"/>
    <n v="2.400364747173107E-2"/>
    <n v="3.3606246578110399E-2"/>
    <n v="14985.197005970756"/>
    <n v="422.60547890298471"/>
    <n v="359.69938622576194"/>
    <n v="503.59622560421491"/>
    <n v="15.9"/>
    <n v="6719.4271145574567"/>
    <n v="5719.2202409896154"/>
    <n v="8007.179987107017"/>
  </r>
  <r>
    <s v="TEL 404"/>
    <x v="9"/>
    <s v="May"/>
    <n v="9"/>
    <s v="I"/>
    <n v="1000"/>
    <n v="6.6113801044227719E-2"/>
    <n v="6.5565720996550739E-2"/>
    <n v="8.7687298072278361E-3"/>
    <n v="5.252416490334437E-2"/>
    <n v="8.1414682695005042E-2"/>
    <n v="7110.1259590049967"/>
    <n v="466.18053487845435"/>
    <n v="373.45342835432797"/>
    <n v="578.86864887391027"/>
    <n v="10.4"/>
    <n v="4848.2775627359251"/>
    <n v="3883.915654885011"/>
    <n v="6020.2339482886673"/>
  </r>
  <r>
    <s v="TEL 404"/>
    <x v="9"/>
    <s v="May"/>
    <n v="10"/>
    <s v="J"/>
    <n v="1000"/>
    <n v="0.16313012413424868"/>
    <n v="0.16118339617056293"/>
    <n v="1.9872212925697512E-2"/>
    <n v="0.13380260081587092"/>
    <n v="0.2004529893262845"/>
    <n v="11841.968099077438"/>
    <n v="1908.7286355527667"/>
    <n v="1584.4861304351361"/>
    <n v="2373.757904966571"/>
    <n v="13.3"/>
    <n v="25386.090852851798"/>
    <n v="21073.665534787313"/>
    <n v="31570.980136055397"/>
  </r>
  <r>
    <s v="TEL 404"/>
    <x v="9"/>
    <s v="May"/>
    <n v="11"/>
    <s v="K"/>
    <n v="1000"/>
    <n v="2.8599368926743285E-3"/>
    <n v="2.8052675600579767E-3"/>
    <n v="5.8113736890884544E-4"/>
    <n v="1.9830623034390324E-3"/>
    <n v="3.9199913306715512E-3"/>
    <n v="12208.214535131379"/>
    <n v="34.247308201632329"/>
    <n v="24.209650036915509"/>
    <n v="47.856095140693427"/>
    <n v="13.3"/>
    <n v="455.48919908171001"/>
    <n v="321.98834549097626"/>
    <n v="636.48606537122259"/>
  </r>
  <r>
    <s v="TEL 404"/>
    <x v="9"/>
    <s v="May"/>
    <n v="12"/>
    <s v="L"/>
    <n v="1000"/>
    <n v="5.1425398840402312E-4"/>
    <n v="4.9411255569929225E-4"/>
    <n v="1.2944827979247974E-4"/>
    <n v="3.3453465639280246E-4"/>
    <n v="7.6013461464659489E-4"/>
    <n v="23285.2375462481"/>
    <n v="11.505528234041766"/>
    <n v="7.789718941558891"/>
    <n v="17.699915069171723"/>
    <n v="12.9"/>
    <n v="148.42131421913879"/>
    <n v="100.4873743461097"/>
    <n v="228.32890439231522"/>
  </r>
  <r>
    <s v="TEL 404"/>
    <x v="9"/>
    <s v="May"/>
    <n v="13"/>
    <s v="M"/>
    <n v="1000"/>
    <n v="3.0157177292140899E-2"/>
    <n v="2.818948568637809E-2"/>
    <n v="8.9930683635805215E-3"/>
    <n v="2.1601340926576673E-2"/>
    <n v="5.0709921282438342E-2"/>
    <n v="4906.4659682331812"/>
    <n v="138.31075218221048"/>
    <n v="105.98624412445106"/>
    <n v="248.80650302406724"/>
    <n v="17.8"/>
    <n v="2461.9313888433467"/>
    <n v="1886.5551454152289"/>
    <n v="4428.7557538283972"/>
  </r>
  <r>
    <s v="TEL 463"/>
    <x v="11"/>
    <s v="May"/>
    <n v="1"/>
    <s v="A"/>
    <s v="not covered"/>
    <m/>
    <m/>
    <m/>
    <m/>
    <m/>
    <m/>
    <m/>
    <m/>
    <m/>
    <m/>
    <m/>
    <n v="0"/>
    <n v="0"/>
  </r>
  <r>
    <s v="TEL 463"/>
    <x v="11"/>
    <s v="May"/>
    <n v="2"/>
    <s v="B"/>
    <n v="1000"/>
    <n v="0.15121700355972029"/>
    <n v="0.14602584407140676"/>
    <n v="3.615106370434177E-2"/>
    <n v="0.10185375546953773"/>
    <n v="0.21696693186434438"/>
    <n v="12937.515211791189"/>
    <n v="1889.2115789884731"/>
    <n v="1317.7345107652045"/>
    <n v="2807.0129814506181"/>
    <n v="14.7"/>
    <n v="27771.410211130555"/>
    <n v="19370.697308248506"/>
    <n v="41263.090827324086"/>
  </r>
  <r>
    <s v="TEL 463"/>
    <x v="11"/>
    <s v="May"/>
    <n v="3"/>
    <s v="C"/>
    <n v="1000"/>
    <n v="0.44316723881301839"/>
    <n v="0.39386443575796543"/>
    <n v="0.15923088351191014"/>
    <n v="0.27816643695364029"/>
    <n v="0.78461339500482041"/>
    <n v="10953.043037802479"/>
    <n v="4314.0141159167852"/>
    <n v="3046.7689556253922"/>
    <n v="8593.9042835241144"/>
    <n v="8.4"/>
    <n v="36237.718573701"/>
    <n v="25592.859227253295"/>
    <n v="72188.795981602569"/>
  </r>
  <r>
    <s v="TEL 463"/>
    <x v="11"/>
    <s v="May"/>
    <n v="4"/>
    <s v="D"/>
    <s v="not covered"/>
    <m/>
    <m/>
    <m/>
    <m/>
    <m/>
    <m/>
    <m/>
    <m/>
    <m/>
    <m/>
    <m/>
    <n v="0"/>
    <n v="0"/>
  </r>
  <r>
    <s v="TEL 463"/>
    <x v="11"/>
    <s v="May"/>
    <n v="5"/>
    <s v="E"/>
    <n v="1000"/>
    <n v="8.9396778957507764E-2"/>
    <n v="7.9135672321662215E-2"/>
    <n v="2.5591415321087115E-2"/>
    <n v="6.6592267016809231E-2"/>
    <n v="0.14879322613290324"/>
    <n v="13991.101427824766"/>
    <n v="1107.1952180114811"/>
    <n v="931.6991621409677"/>
    <n v="2081.7811185987157"/>
    <n v="13.2"/>
    <n v="14614.976877751549"/>
    <n v="12298.428940260774"/>
    <n v="27479.510765503044"/>
  </r>
  <r>
    <s v="TEL 463"/>
    <x v="11"/>
    <s v="May"/>
    <n v="6"/>
    <s v="F"/>
    <n v="1000"/>
    <n v="8.3374207940841369E-2"/>
    <n v="7.8671876392375689E-2"/>
    <n v="1.8288481350023356E-2"/>
    <n v="6.3372125342097921E-2"/>
    <n v="0.12209406280070939"/>
    <n v="6966.102651973556"/>
    <n v="548.03636677266411"/>
    <n v="441.45673040678895"/>
    <n v="850.5197746662476"/>
    <n v="13.2"/>
    <n v="7234.0800413991656"/>
    <n v="5827.2288413696142"/>
    <n v="11226.861025594468"/>
  </r>
  <r>
    <s v="TEL 463"/>
    <x v="11"/>
    <s v="May"/>
    <n v="7"/>
    <s v="G"/>
    <n v="1000"/>
    <n v="5.6304687703999691E-2"/>
    <n v="4.2348945751919297E-2"/>
    <n v="6.3903208602128114E-2"/>
    <n v="3.0589445220539468E-2"/>
    <n v="6.429767481686946E-2"/>
    <n v="2532.5333267390947"/>
    <n v="107.25011646900163"/>
    <n v="77.468789467476114"/>
    <n v="162.83600430555492"/>
    <n v="13.2"/>
    <n v="1415.7015373908214"/>
    <n v="1022.5880209706846"/>
    <n v="2149.4352568333247"/>
  </r>
  <r>
    <s v="TEL 463"/>
    <x v="11"/>
    <s v="May"/>
    <n v="8"/>
    <s v="H"/>
    <n v="1000"/>
    <n v="3.5582634195367412E-2"/>
    <n v="2.8140496494571447E-2"/>
    <n v="2.13415495235591E-2"/>
    <n v="1.1644534491726848E-2"/>
    <n v="7.5881900702536115E-2"/>
    <n v="13775.148973606703"/>
    <n v="387.63953140397888"/>
    <n v="160.40519735183895"/>
    <n v="1045.2844865778661"/>
    <n v="15.4"/>
    <n v="5969.6487836212746"/>
    <n v="2470.2400392183199"/>
    <n v="16097.381093299138"/>
  </r>
  <r>
    <s v="TEL 463"/>
    <x v="11"/>
    <s v="May"/>
    <n v="9"/>
    <s v="I"/>
    <n v="1000"/>
    <n v="4.9987708054311325E-2"/>
    <n v="4.9214798438026119E-2"/>
    <n v="8.2486900723307954E-3"/>
    <n v="3.7519817954120072E-2"/>
    <n v="6.4540257020729103E-2"/>
    <n v="5560.7756961151053"/>
    <n v="273.67245504337927"/>
    <n v="208.63929180193406"/>
    <n v="358.89389266189266"/>
    <n v="15.4"/>
    <n v="4214.5558076680409"/>
    <n v="3213.0450937497849"/>
    <n v="5526.9659469931476"/>
  </r>
  <r>
    <s v="TEL 463"/>
    <x v="11"/>
    <s v="May"/>
    <n v="10"/>
    <s v="J"/>
    <n v="1000"/>
    <n v="6.7005195365554437E-2"/>
    <n v="6.4049435342417194E-2"/>
    <n v="1.2955569409946039E-2"/>
    <n v="5.1226832586902686E-2"/>
    <n v="9.2798517535789993E-2"/>
    <n v="10828.706776282988"/>
    <n v="693.57255450953221"/>
    <n v="554.72034916130735"/>
    <n v="1004.8879356688249"/>
    <n v="15.4"/>
    <n v="10681.017339446797"/>
    <n v="8542.6933770841333"/>
    <n v="15475.274209299903"/>
  </r>
  <r>
    <s v="TEL 463"/>
    <x v="11"/>
    <s v="May"/>
    <n v="11"/>
    <s v="K"/>
    <s v="not covered"/>
    <m/>
    <m/>
    <m/>
    <m/>
    <m/>
    <m/>
    <m/>
    <m/>
    <m/>
    <m/>
    <m/>
    <n v="0"/>
    <n v="0"/>
  </r>
  <r>
    <s v="TEL 463"/>
    <x v="11"/>
    <s v="May"/>
    <n v="12"/>
    <s v="L"/>
    <s v="not covered"/>
    <m/>
    <m/>
    <m/>
    <m/>
    <m/>
    <m/>
    <m/>
    <m/>
    <m/>
    <m/>
    <m/>
    <n v="0"/>
    <n v="0"/>
  </r>
  <r>
    <s v="TEL 463"/>
    <x v="11"/>
    <s v="May"/>
    <n v="13"/>
    <s v="M"/>
    <s v="not covered"/>
    <m/>
    <n v="0"/>
    <n v="0"/>
    <n v="0"/>
    <n v="0"/>
    <m/>
    <n v="0"/>
    <n v="0"/>
    <n v="0"/>
    <n v="15.9"/>
    <n v="0"/>
    <n v="0"/>
    <n v="0"/>
  </r>
  <r>
    <s v="TEL 526"/>
    <x v="12"/>
    <s v="May"/>
    <n v="1"/>
    <s v="A"/>
    <n v="1000"/>
    <n v="4.0619747694862268E-3"/>
    <n v="3.851761924480199E-3"/>
    <n v="9.9553345124334157E-4"/>
    <n v="2.8273931803865235E-3"/>
    <n v="6.0205762492076187E-3"/>
    <n v="20710.167560200389"/>
    <n v="79.770634857984831"/>
    <n v="58.555786524372785"/>
    <n v="124.68714293005256"/>
    <n v="9.8000000000000007"/>
    <n v="781.75222160825138"/>
    <n v="573.84670793885334"/>
    <n v="1221.9340007145152"/>
  </r>
  <r>
    <s v="TEL 526"/>
    <x v="12"/>
    <s v="May"/>
    <n v="2"/>
    <s v="B"/>
    <n v="1000"/>
    <n v="0.23055732501273593"/>
    <n v="0.17451064979952424"/>
    <n v="0.15751662542512318"/>
    <n v="0.12420085984730847"/>
    <n v="0.62583761641580848"/>
    <n v="12937.515211791189"/>
    <n v="2257.7341864009099"/>
    <n v="1606.8505135920989"/>
    <n v="8096.7836824906617"/>
    <n v="8.5"/>
    <n v="19190.740584407733"/>
    <n v="13658.229365532841"/>
    <n v="68822.661301170621"/>
  </r>
  <r>
    <s v="TEL 526"/>
    <x v="12"/>
    <s v="May"/>
    <n v="3"/>
    <s v="C"/>
    <n v="1000"/>
    <n v="0.48858352211529038"/>
    <n v="0.48203284556356152"/>
    <n v="5.9483274677867119E-2"/>
    <n v="0.40789695545643145"/>
    <n v="0.59416292051892727"/>
    <n v="10953.043037802479"/>
    <n v="5279.7265030920853"/>
    <n v="4467.7129081028943"/>
    <n v="6507.8920399102244"/>
    <n v="10.4"/>
    <n v="54909.155632157686"/>
    <n v="46464.214244270101"/>
    <n v="67682.07721506634"/>
  </r>
  <r>
    <s v="TEL 526"/>
    <x v="12"/>
    <s v="May"/>
    <n v="4"/>
    <s v="D"/>
    <n v="1000"/>
    <n v="0.11522592139256951"/>
    <n v="9.0539877571639615E-2"/>
    <n v="9.1971975919180007E-2"/>
    <n v="4.0517867938527533E-2"/>
    <n v="0.27110477842326797"/>
    <n v="5346.4592453380883"/>
    <n v="484.06776551467124"/>
    <n v="216.62712964132822"/>
    <n v="1449.4506490564149"/>
    <n v="8.3000000000000007"/>
    <n v="4017.7624537717716"/>
    <n v="1798.0051760230244"/>
    <n v="12030.440387168244"/>
  </r>
  <r>
    <s v="TEL 526"/>
    <x v="12"/>
    <s v="May"/>
    <n v="5"/>
    <s v="E"/>
    <n v="1000"/>
    <n v="6.28637965272687E-2"/>
    <n v="6.2704856298808523E-2"/>
    <n v="4.6544421588200985E-3"/>
    <n v="5.5438389152064685E-2"/>
    <n v="7.0854420671602331E-2"/>
    <n v="13991.101427824766"/>
    <n v="877.31000449380667"/>
    <n v="775.64412562175721"/>
    <n v="991.33138622615195"/>
    <n v="13.8"/>
    <n v="12106.878062014533"/>
    <n v="10703.888933580251"/>
    <n v="13680.373129920898"/>
  </r>
  <r>
    <s v="TEL 526"/>
    <x v="12"/>
    <s v="May"/>
    <n v="6"/>
    <s v="F"/>
    <n v="1000"/>
    <n v="0.2296340281408141"/>
    <n v="0.22626198056104302"/>
    <n v="3.0002222075404161E-2"/>
    <n v="0.18675858687811736"/>
    <n v="0.28377610565455036"/>
    <n v="6966.102651973556"/>
    <n v="1576.164182827071"/>
    <n v="1300.979487330487"/>
    <n v="1976.8134821668914"/>
    <n v="12.7"/>
    <n v="20017.285121903802"/>
    <n v="16522.439489097185"/>
    <n v="25105.53122351952"/>
  </r>
  <r>
    <s v="TEL 526"/>
    <x v="12"/>
    <s v="May"/>
    <n v="7"/>
    <s v="G"/>
    <n v="1000"/>
    <n v="1.4682866892843404E-2"/>
    <n v="1.4687873022295619E-2"/>
    <n v="3.3269910523013842E-3"/>
    <n v="9.0049228522342713E-3"/>
    <n v="2.0349780594243437E-2"/>
    <n v="2532.5333267390947"/>
    <n v="37.197527927875726"/>
    <n v="22.805267227997756"/>
    <n v="51.536497546750006"/>
    <n v="12.7"/>
    <n v="472.40860468402167"/>
    <n v="289.6268937955715"/>
    <n v="654.51351884372502"/>
  </r>
  <r>
    <s v="TEL 526"/>
    <x v="12"/>
    <s v="May"/>
    <n v="8"/>
    <s v="H"/>
    <n v="1000"/>
    <n v="1.286660968187384E-2"/>
    <n v="1.0067769792160536E-2"/>
    <n v="7.5746213845690235E-3"/>
    <n v="8.2694468631924131E-3"/>
    <n v="3.1600840798144875E-2"/>
    <n v="13775.148973606703"/>
    <n v="138.68502871898878"/>
    <n v="113.91286246980015"/>
    <n v="435.30628968567419"/>
    <n v="14.7"/>
    <n v="2038.6699221691349"/>
    <n v="1674.5190783060621"/>
    <n v="6399.0024583794102"/>
  </r>
  <r>
    <s v="TEL 526"/>
    <x v="12"/>
    <s v="May"/>
    <n v="9"/>
    <s v="I"/>
    <n v="1000"/>
    <n v="5.4564304416470193E-2"/>
    <n v="5.0515392740935798E-2"/>
    <n v="1.6723013317748031E-2"/>
    <n v="3.5151921503239217E-2"/>
    <n v="8.7733582685122852E-2"/>
    <n v="5560.7756961151053"/>
    <n v="280.90476823350519"/>
    <n v="195.4719507669586"/>
    <n v="487.86677432853617"/>
    <n v="11.4"/>
    <n v="3202.3143578619593"/>
    <n v="2228.3802387433279"/>
    <n v="5561.6812273453124"/>
  </r>
  <r>
    <s v="TEL 526"/>
    <x v="12"/>
    <s v="May"/>
    <n v="10"/>
    <s v="J"/>
    <n v="1000"/>
    <n v="5.9437690542769324E-2"/>
    <n v="5.682282491735819E-2"/>
    <n v="1.2258617696142194E-2"/>
    <n v="4.4157643351643287E-2"/>
    <n v="8.3246466472479075E-2"/>
    <n v="10828.706776282988"/>
    <n v="615.31770923013846"/>
    <n v="478.17017178662712"/>
    <n v="901.45157559214874"/>
    <n v="11.8"/>
    <n v="7260.7489689156346"/>
    <n v="5642.4080270822005"/>
    <n v="10637.128591987355"/>
  </r>
  <r>
    <s v="TEL 526"/>
    <x v="12"/>
    <s v="May"/>
    <n v="11"/>
    <s v="K"/>
    <n v="1000"/>
    <n v="9.3607832857788421E-4"/>
    <n v="7.1337551774562679E-4"/>
    <n v="7.9608036959775725E-4"/>
    <n v="4.4575820180093749E-4"/>
    <n v="3.0211629878421709E-3"/>
    <n v="11753.048720473937"/>
    <n v="8.3843372160576717"/>
    <n v="5.2390178633172715"/>
    <n v="35.507875788601645"/>
    <n v="11.8"/>
    <n v="98.935179149480533"/>
    <n v="61.820410787143807"/>
    <n v="418.99293430549943"/>
  </r>
  <r>
    <s v="TEL 526"/>
    <x v="12"/>
    <s v="May"/>
    <n v="12"/>
    <s v="L"/>
    <s v="not covered"/>
    <m/>
    <n v="0"/>
    <n v="0"/>
    <n v="0"/>
    <n v="0"/>
    <m/>
    <n v="0"/>
    <n v="0"/>
    <n v="0"/>
    <n v="11.8"/>
    <n v="0"/>
    <n v="0"/>
    <n v="0"/>
  </r>
  <r>
    <s v="TEL 526"/>
    <x v="12"/>
    <s v="May"/>
    <n v="13"/>
    <s v="M"/>
    <n v="1000"/>
    <n v="2.2239278296399597E-2"/>
    <n v="1.4237372838306818E-2"/>
    <n v="2.7820924983605364E-2"/>
    <n v="1.0387984741762904E-2"/>
    <n v="5.4302856931748994E-2"/>
    <n v="5410.2633795388801"/>
    <n v="77.02793688793291"/>
    <n v="56.201733435568492"/>
    <n v="293.7927582621806"/>
    <n v="13.8"/>
    <n v="1062.9855290534742"/>
    <n v="775.58392141084528"/>
    <n v="4054.3400640180926"/>
  </r>
  <r>
    <s v="TEL 603"/>
    <x v="13"/>
    <s v="May"/>
    <n v="1"/>
    <s v="A"/>
    <n v="1000"/>
    <n v="0.15190086662369928"/>
    <n v="6.7815304342814242E-2"/>
    <n v="0.17893322196306857"/>
    <n v="2.8897304995747428E-2"/>
    <n v="0.57356208537069731"/>
    <n v="20710.167560200389"/>
    <n v="1404.466316085668"/>
    <n v="598.46802850014501"/>
    <n v="11878.566894205102"/>
    <n v="9"/>
    <n v="12640.196844771013"/>
    <n v="5386.2122565013051"/>
    <n v="106907.10204784591"/>
  </r>
  <r>
    <s v="TEL 603"/>
    <x v="13"/>
    <s v="May"/>
    <n v="2"/>
    <s v="B"/>
    <n v="1000"/>
    <n v="1.6637451549716897E-3"/>
    <n v="1.4043292710140436E-3"/>
    <n v="9.8992662137440952E-4"/>
    <n v="7.7177495096714523E-4"/>
    <n v="3.9494556900343423E-3"/>
    <n v="12937.515211791189"/>
    <n v="18.16853130610782"/>
    <n v="9.9848501682168411"/>
    <n v="51.096143068114571"/>
    <n v="18.399999999999999"/>
    <n v="334.30097603238386"/>
    <n v="183.72124309518986"/>
    <n v="940.16903245330809"/>
  </r>
  <r>
    <s v="TEL 603"/>
    <x v="13"/>
    <s v="May"/>
    <n v="3"/>
    <s v="C"/>
    <n v="1000"/>
    <n v="0.16207951885731939"/>
    <n v="0.15611859948174694"/>
    <n v="3.6468339370682112E-2"/>
    <n v="0.11275433159679221"/>
    <n v="0.22986030143001504"/>
    <n v="10953.043037802479"/>
    <n v="1709.9737391250221"/>
    <n v="1235.0030466783171"/>
    <n v="2517.6697742452056"/>
    <n v="16.899999999999999"/>
    <n v="28898.556191212872"/>
    <n v="20871.551488863559"/>
    <n v="42548.61918474397"/>
  </r>
  <r>
    <s v="TEL 603"/>
    <x v="13"/>
    <s v="May"/>
    <n v="4"/>
    <s v="D"/>
    <n v="1000"/>
    <m/>
    <m/>
    <m/>
    <m/>
    <m/>
    <m/>
    <m/>
    <m/>
    <m/>
    <n v="16.899999999999999"/>
    <m/>
    <n v="0"/>
    <n v="0"/>
  </r>
  <r>
    <s v="TEL 603"/>
    <x v="13"/>
    <s v="May"/>
    <n v="5"/>
    <s v="E"/>
    <n v="1000"/>
    <n v="0.18518327848590674"/>
    <n v="0.17583443371159627"/>
    <n v="4.8389549377127174E-2"/>
    <n v="0.11779041751961183"/>
    <n v="0.27450415558087377"/>
    <n v="13991.101427824766"/>
    <n v="2460.1173965630737"/>
    <n v="1648.0176787427165"/>
    <n v="3840.6154830913947"/>
    <n v="18.7"/>
    <n v="46004.195315729477"/>
    <n v="30817.930592488796"/>
    <n v="71819.509533809076"/>
  </r>
  <r>
    <s v="TEL 603"/>
    <x v="13"/>
    <s v="May"/>
    <n v="6"/>
    <s v="F"/>
    <n v="1000"/>
    <n v="0.11291222360936216"/>
    <n v="6.0956250888259692E-2"/>
    <n v="0.20432008573819302"/>
    <n v="3.7226436585998168E-2"/>
    <n v="0.76104226614136516"/>
    <n v="6966.102651973556"/>
    <n v="424.62750096707128"/>
    <n v="259.32317862524724"/>
    <n v="5301.4985484313283"/>
    <n v="19.399999999999999"/>
    <n v="8237.7735187611815"/>
    <n v="5030.8696653297957"/>
    <n v="102849.07183956777"/>
  </r>
  <r>
    <s v="TEL 603"/>
    <x v="13"/>
    <s v="May"/>
    <n v="7"/>
    <s v="G"/>
    <n v="1000"/>
    <n v="3.4749660038418215E-2"/>
    <n v="2.7413726897774278E-2"/>
    <n v="2.694118740599747E-2"/>
    <n v="1.3553654669626013E-2"/>
    <n v="0.10336599009170613"/>
    <n v="2532.5333267390947"/>
    <n v="69.426176978737288"/>
    <n v="34.325082149940833"/>
    <n v="261.77781475862884"/>
    <n v="19.3"/>
    <n v="1339.9252156896298"/>
    <n v="662.47408549385807"/>
    <n v="5052.3118248415367"/>
  </r>
  <r>
    <s v="TEL 603"/>
    <x v="13"/>
    <s v="May"/>
    <n v="8"/>
    <s v="H"/>
    <n v="1000"/>
    <n v="3.7793398987877747E-3"/>
    <n v="2.8807735837156952E-3"/>
    <n v="3.5579333604329202E-3"/>
    <n v="1.9456424441637052E-3"/>
    <n v="6.9958560047846431E-3"/>
    <n v="14985.197005970756"/>
    <n v="43.168959681576084"/>
    <n v="29.15583532897158"/>
    <n v="104.83428045710137"/>
    <n v="8.1"/>
    <n v="349.66857342076628"/>
    <n v="236.1622661646698"/>
    <n v="849.15767170252104"/>
  </r>
  <r>
    <s v="TEL 603"/>
    <x v="13"/>
    <s v="May"/>
    <n v="9"/>
    <s v="I"/>
    <n v="1000"/>
    <n v="0.15209274533152795"/>
    <n v="0.13204541164217226"/>
    <n v="8.5206642381216932E-2"/>
    <n v="5.32646406921546E-2"/>
    <n v="0.3144385195170244"/>
    <m/>
    <n v="0"/>
    <n v="0"/>
    <n v="0"/>
    <n v="11.7"/>
    <n v="0"/>
    <n v="0"/>
    <n v="0"/>
  </r>
  <r>
    <s v="TEL 603"/>
    <x v="13"/>
    <s v="May"/>
    <n v="10"/>
    <s v="J"/>
    <n v="1000"/>
    <n v="3.8103023458412488E-2"/>
    <n v="2.506600207213561E-2"/>
    <n v="3.6087656839493588E-2"/>
    <n v="1.8283308691732273E-3"/>
    <n v="0.10904895990614599"/>
    <m/>
    <n v="0"/>
    <n v="0"/>
    <n v="0"/>
    <n v="15.3"/>
    <n v="0"/>
    <n v="0"/>
    <n v="0"/>
  </r>
  <r>
    <s v="TEL 603"/>
    <x v="13"/>
    <s v="May"/>
    <n v="12"/>
    <s v="L"/>
    <n v="1000"/>
    <n v="2.2752905997190504E-2"/>
    <n v="8.8420489147217826E-3"/>
    <n v="3.1062405110355708E-2"/>
    <n v="1.7924398893633569E-3"/>
    <n v="9.6476957491973145E-2"/>
    <m/>
    <n v="0"/>
    <n v="0"/>
    <n v="0"/>
    <n v="13.3"/>
    <n v="0"/>
    <n v="0"/>
    <n v="0"/>
  </r>
  <r>
    <s v="TEL 603"/>
    <x v="13"/>
    <s v="May"/>
    <n v="13"/>
    <s v="M"/>
    <n v="1000"/>
    <n v="8.3963286985296315E-3"/>
    <n v="3.517049889217836E-3"/>
    <n v="1.050224439167775E-2"/>
    <n v="8.551560766384646E-4"/>
    <n v="3.3451488195958452E-2"/>
    <n v="4906.4659682331812"/>
    <n v="17.256285590025591"/>
    <n v="4.1957941875544327"/>
    <n v="164.12858842022413"/>
    <n v="15.6"/>
    <n v="269.19805520439922"/>
    <n v="65.454389325849149"/>
    <n v="2560.4059793554966"/>
  </r>
  <r>
    <s v="T742"/>
    <x v="14"/>
    <s v="May"/>
    <n v="1"/>
    <s v="A"/>
    <n v="1000"/>
    <n v="7.8052971045370165E-2"/>
    <n v="5.4734117779048616E-2"/>
    <n v="7.7940561247372336E-2"/>
    <n v="2.5887002464015506E-2"/>
    <n v="0.29205955065665812"/>
    <n v="20710.167560200389"/>
    <n v="1133.5527504638401"/>
    <n v="536.12415866108142"/>
    <n v="6048.602231656223"/>
    <n v="7.6"/>
    <n v="8615.0009035251842"/>
    <n v="4074.5436058242185"/>
    <n v="45969.376960587295"/>
  </r>
  <r>
    <s v="T742"/>
    <x v="14"/>
    <s v="May"/>
    <n v="2"/>
    <s v="B"/>
    <n v="1000"/>
    <n v="0.61643789225818235"/>
    <n v="0.61160054380813467"/>
    <n v="7.2773414922742974E-2"/>
    <n v="0.50807518584888223"/>
    <n v="0.74428130000558801"/>
    <n v="12937.515211791189"/>
    <n v="7912.591339057506"/>
    <n v="6573.2304456535494"/>
    <n v="9629.1506406740173"/>
    <n v="10.1"/>
    <n v="79917.172524480804"/>
    <n v="66389.62750110084"/>
    <n v="97254.421470807574"/>
  </r>
  <r>
    <s v="T742"/>
    <x v="14"/>
    <s v="May"/>
    <n v="3"/>
    <s v="C"/>
    <n v="1000"/>
    <n v="0.33087802059523863"/>
    <n v="0.32399449854260542"/>
    <n v="6.2883219881779265E-2"/>
    <n v="0.2331425868770903"/>
    <n v="0.44659245050955743"/>
    <m/>
    <s v="not covered"/>
    <m/>
    <m/>
    <m/>
    <m/>
    <n v="0"/>
    <n v="0"/>
  </r>
  <r>
    <s v="T743"/>
    <x v="14"/>
    <s v="May"/>
    <n v="4"/>
    <s v="D"/>
    <n v="1000"/>
    <m/>
    <m/>
    <m/>
    <m/>
    <m/>
    <m/>
    <n v="0"/>
    <n v="0"/>
    <n v="0"/>
    <n v="16.899999999999999"/>
    <n v="0"/>
    <n v="0"/>
    <n v="0"/>
  </r>
  <r>
    <s v="T742"/>
    <x v="14"/>
    <s v="May"/>
    <n v="5"/>
    <s v="E"/>
    <n v="1000"/>
    <n v="0.50330761414107461"/>
    <n v="0.45757116232642414"/>
    <n v="0.22634533663910894"/>
    <n v="0.23845850668267865"/>
    <n v="0.92841661441141721"/>
    <m/>
    <s v="not covered"/>
    <m/>
    <m/>
    <m/>
    <m/>
    <n v="0"/>
    <n v="0"/>
  </r>
  <r>
    <s v="T742"/>
    <x v="14"/>
    <s v="May"/>
    <n v="6"/>
    <s v="F"/>
    <n v="1000"/>
    <n v="0.64233319478569773"/>
    <n v="0.62653491476976497"/>
    <n v="8.8009894964745747E-2"/>
    <n v="0.5314689527078611"/>
    <n v="0.80845090337987213"/>
    <n v="5721.1040333376059"/>
    <n v="3584.4714279161353"/>
    <n v="3040.5891689306573"/>
    <n v="4625.2317240820175"/>
    <n v="10"/>
    <n v="35844.714279161351"/>
    <n v="30405.891689306573"/>
    <n v="46252.317240820179"/>
  </r>
  <r>
    <s v="T742"/>
    <x v="14"/>
    <s v="May"/>
    <n v="7"/>
    <s v="G"/>
    <n v="1000"/>
    <n v="1.4204472062771012"/>
    <n v="1.3644362840767497"/>
    <n v="0.43560426912932571"/>
    <n v="0.77304353081691946"/>
    <n v="2.1981417154107623"/>
    <n v="1865.0439227923566"/>
    <n v="2544.7335996547276"/>
    <n v="1441.7601392040415"/>
    <n v="4099.6308477632083"/>
    <n v="10"/>
    <n v="25447.335996547277"/>
    <n v="14417.601392040415"/>
    <n v="40996.308477632083"/>
  </r>
  <r>
    <s v="T742"/>
    <x v="14"/>
    <s v="May"/>
    <n v="8"/>
    <s v="H"/>
    <n v="1000"/>
    <n v="0.25700896980312882"/>
    <n v="0.25334776507820245"/>
    <n v="3.4069569441200979E-2"/>
    <n v="0.20711274279886366"/>
    <n v="0.32183373222174716"/>
    <n v="13775.148973606703"/>
    <n v="3489.9032060825525"/>
    <n v="2853.0088863866358"/>
    <n v="4433.307606086415"/>
    <n v="8.1999999999999993"/>
    <n v="28617.206289876929"/>
    <n v="23394.672868370413"/>
    <n v="36353.122369908597"/>
  </r>
  <r>
    <s v="T742"/>
    <x v="14"/>
    <s v="May"/>
    <n v="9"/>
    <s v="I"/>
    <n v="1000"/>
    <n v="0.26815613819125234"/>
    <n v="0.22335431728257549"/>
    <n v="0.15190099412141489"/>
    <n v="0.10401925864275657"/>
    <n v="0.58359837722517416"/>
    <n v="5560.7756961151053"/>
    <n v="1242.0232591673278"/>
    <n v="578.42776538855185"/>
    <n v="3245.2596723659635"/>
    <n v="16"/>
    <n v="19872.372146677244"/>
    <n v="9254.8442462168296"/>
    <n v="51924.154757855416"/>
  </r>
  <r>
    <s v="T742"/>
    <x v="14"/>
    <s v="May"/>
    <n v="10"/>
    <s v="J"/>
    <n v="1000"/>
    <n v="0.66065861146768179"/>
    <n v="0.65699568117765206"/>
    <n v="6.2653371080200707E-2"/>
    <n v="0.57009902403040935"/>
    <n v="0.76714923339617647"/>
    <n v="10828.706776282988"/>
    <n v="7114.4135847570988"/>
    <n v="6173.4351646704117"/>
    <n v="8307.2341020974764"/>
    <n v="12.2"/>
    <n v="86795.8457340366"/>
    <n v="75315.909008979012"/>
    <n v="101348.25604558921"/>
  </r>
  <r>
    <s v="T742"/>
    <x v="14"/>
    <s v="May"/>
    <n v="11"/>
    <s v="K"/>
    <n v="1000"/>
    <n v="1.1058633415244061E-2"/>
    <n v="1.0089150013820941E-2"/>
    <n v="4.0394906867196748E-3"/>
    <n v="5.9414231999055413E-3"/>
    <n v="1.8776153416307329E-2"/>
    <n v="11753.048720473937"/>
    <n v="118.57827166060781"/>
    <n v="69.829836337443979"/>
    <n v="220.6770458849532"/>
    <n v="12.2"/>
    <n v="1446.6549142594151"/>
    <n v="851.92400331681654"/>
    <n v="2692.259959796429"/>
  </r>
  <r>
    <s v="T742"/>
    <x v="14"/>
    <s v="May"/>
    <n v="12"/>
    <s v="L"/>
    <n v="1000"/>
    <n v="9.9735670551059658E-4"/>
    <n v="1.506782965876074E-4"/>
    <n v="3.6706435924937874E-3"/>
    <n v="4.536376147980752E-5"/>
    <n v="7.6717408190341528E-4"/>
    <n v="30959.729118353116"/>
    <n v="4.6649592463671956"/>
    <n v="1.4044497672044223"/>
    <n v="23.751501762350983"/>
    <n v="0.3"/>
    <n v="1.3994877739101586"/>
    <n v="0.42133493016132667"/>
    <n v="7.1254505287052945"/>
  </r>
  <r>
    <s v="T742"/>
    <x v="14"/>
    <s v="May"/>
    <n v="13"/>
    <s v="M"/>
    <n v="1000"/>
    <n v="0.59070833054405236"/>
    <n v="0.40313778605675915"/>
    <n v="0.40235301393043288"/>
    <n v="0.26776685819854962"/>
    <n v="1.4584280650197226"/>
    <n v="2740.3057637519273"/>
    <n v="1104.7207987175284"/>
    <n v="733.76306486323051"/>
    <n v="3996.5388325911163"/>
    <n v="12.6"/>
    <n v="13919.482063840858"/>
    <n v="9245.414617276705"/>
    <n v="50356.389290648061"/>
  </r>
  <r>
    <s v="T808"/>
    <x v="15"/>
    <s v="May"/>
    <n v="1"/>
    <s v="A"/>
    <n v="1000"/>
    <n v="9.8169614223109464E-2"/>
    <n v="8.0895664412278204E-2"/>
    <n v="4.5240614563140651E-2"/>
    <n v="5.5891792827067063E-2"/>
    <n v="0.18553011461753038"/>
    <n v="20710.167560200389"/>
    <n v="1675.3627648720212"/>
    <n v="1157.5283946885652"/>
    <n v="3842.3597611922378"/>
    <n v="11.5"/>
    <n v="19266.671796028244"/>
    <n v="13311.5765389185"/>
    <n v="44187.137253710738"/>
  </r>
  <r>
    <s v="T808"/>
    <x v="15"/>
    <s v="May"/>
    <n v="2"/>
    <s v="B"/>
    <n v="1000"/>
    <n v="0.23725408312536297"/>
    <n v="0.23115596741464767"/>
    <n v="4.0483279208877489E-2"/>
    <n v="0.18161105115951012"/>
    <n v="0.30667398833357229"/>
    <n v="12937.515211791189"/>
    <n v="2990.5838447233127"/>
    <n v="2349.5957370055503"/>
    <n v="3967.5993891262651"/>
    <n v="6.1"/>
    <n v="18242.561452812206"/>
    <n v="14332.533995733857"/>
    <n v="24202.356273670215"/>
  </r>
  <r>
    <s v="T808"/>
    <x v="15"/>
    <s v="May"/>
    <n v="3"/>
    <s v="C"/>
    <n v="1000"/>
    <n v="0.43314178190084235"/>
    <n v="0.34427708108629662"/>
    <n v="0.3389344223530677"/>
    <n v="0.28250042241738371"/>
    <n v="0.78944755198219352"/>
    <n v="10953.043037802479"/>
    <n v="3770.8816860672209"/>
    <n v="3094.239284934984"/>
    <n v="8646.8530129487754"/>
    <n v="18.100000000000001"/>
    <n v="68252.958517816704"/>
    <n v="56005.731057323217"/>
    <n v="156508.03953437286"/>
  </r>
  <r>
    <s v="T808"/>
    <x v="15"/>
    <s v="May"/>
    <n v="4"/>
    <s v="D"/>
    <n v="1000"/>
    <n v="5.5954044773754943E-2"/>
    <n v="5.3474475035545727E-2"/>
    <n v="2.0952070239472178E-2"/>
    <n v="2.5355228563642439E-2"/>
    <n v="9.5650590722886078E-2"/>
    <n v="5346.4592453380883"/>
    <n v="285.89910144339427"/>
    <n v="135.56069617174649"/>
    <n v="511.39198509242385"/>
    <n v="16.899999999999999"/>
    <n v="4831.6948143933632"/>
    <n v="2290.9757653025154"/>
    <n v="8642.5245480619615"/>
  </r>
  <r>
    <s v="T808"/>
    <x v="15"/>
    <s v="May"/>
    <n v="5"/>
    <s v="E"/>
    <n v="1000"/>
    <n v="9.5983448500616519E-2"/>
    <n v="9.2086651683794929E-2"/>
    <n v="2.1333564329890479E-2"/>
    <n v="6.921413766147308E-2"/>
    <n v="0.1367799535605338"/>
    <n v="13991.101427824766"/>
    <n v="1288.3936838567452"/>
    <n v="968.38202026109593"/>
    <n v="1913.7022035585896"/>
    <n v="17.899999999999999"/>
    <n v="23062.246941035737"/>
    <n v="17334.038162673616"/>
    <n v="34255.269443698751"/>
  </r>
  <r>
    <s v="T808"/>
    <x v="15"/>
    <s v="May"/>
    <n v="6"/>
    <s v="F"/>
    <n v="1000"/>
    <n v="7.1066347696270543E-2"/>
    <n v="6.9407952801289668E-2"/>
    <n v="1.7602632018096274E-2"/>
    <n v="4.6124491362227481E-2"/>
    <n v="0.10385672041427169"/>
    <n v="6966.102651973556"/>
    <n v="483.50292407711936"/>
    <n v="321.30794159934425"/>
    <n v="723.4765755031342"/>
    <n v="21.1"/>
    <n v="10201.911698027219"/>
    <n v="6779.5975677461638"/>
    <n v="15265.355743116133"/>
  </r>
  <r>
    <s v="T808"/>
    <x v="15"/>
    <s v="May"/>
    <n v="7"/>
    <s v="G"/>
    <n v="1000"/>
    <n v="2.0386575018138838E-2"/>
    <n v="1.103126197095125E-2"/>
    <n v="2.0684147885088225E-2"/>
    <n v="6.4061257951752663E-3"/>
    <n v="6.6571748585614612E-2"/>
    <n v="2532.5333267390947"/>
    <n v="27.937038577423632"/>
    <n v="16.223727071564344"/>
    <n v="168.5951719123652"/>
    <n v="21.1"/>
    <n v="589.47151398363872"/>
    <n v="342.32064121000769"/>
    <n v="3557.3581273509062"/>
  </r>
  <r>
    <s v="T808"/>
    <x v="15"/>
    <s v="May"/>
    <n v="8"/>
    <s v="H"/>
    <n v="1000"/>
    <n v="0.52115089626055811"/>
    <n v="0.51616549165616099"/>
    <n v="5.3336562667907032E-2"/>
    <n v="0.43966551685559407"/>
    <n v="0.61534913076891962"/>
    <n v="13775.148973606703"/>
    <n v="7110.2565425985658"/>
    <n v="6056.4579932435972"/>
    <n v="8476.5259471212594"/>
    <n v="9.4"/>
    <n v="66836.411500426519"/>
    <n v="56930.705136489814"/>
    <n v="79679.343902939843"/>
  </r>
  <r>
    <s v="T808"/>
    <x v="15"/>
    <s v="May"/>
    <n v="9"/>
    <s v="I"/>
    <n v="1000"/>
    <n v="4.6204018653746258E-2"/>
    <n v="3.9920147701256029E-2"/>
    <n v="1.6589977025389252E-2"/>
    <n v="3.0333490969965536E-2"/>
    <n v="7.9095819971722769E-2"/>
    <n v="5560.7756961151053"/>
    <n v="221.98698712246983"/>
    <n v="168.67773936411137"/>
    <n v="439.83411336305176"/>
    <n v="9.9"/>
    <n v="2197.6711725124514"/>
    <n v="1669.9096197047027"/>
    <n v="4354.3577222942122"/>
  </r>
  <r>
    <s v="T808"/>
    <x v="15"/>
    <s v="May"/>
    <n v="10"/>
    <s v="J"/>
    <n v="1000"/>
    <n v="0.2963053452912679"/>
    <n v="0.29183233750508686"/>
    <n v="3.896808981280532E-2"/>
    <n v="0.23825845255893124"/>
    <n v="0.36688562279252568"/>
    <n v="10828.706776282988"/>
    <n v="3160.1668106798384"/>
    <n v="2580.0309197315978"/>
    <n v="3972.8968296542271"/>
    <n v="10.8"/>
    <n v="34129.801555342259"/>
    <n v="27864.333933101258"/>
    <n v="42907.285760265659"/>
  </r>
  <r>
    <s v="T808"/>
    <x v="15"/>
    <s v="May"/>
    <n v="11"/>
    <s v="K"/>
    <n v="1000"/>
    <n v="1.008527878254678E-2"/>
    <n v="5.5128391217213399E-3"/>
    <n v="1.5643163543285619E-2"/>
    <n v="3.7126961963427209E-3"/>
    <n v="3.0142541779590987E-2"/>
    <n v="11753.048720473937"/>
    <n v="64.792666785725658"/>
    <n v="43.635499279934265"/>
    <n v="354.26676209445401"/>
    <n v="11.9"/>
    <n v="771.03273475013532"/>
    <n v="519.26244143121778"/>
    <n v="4215.7744689240026"/>
  </r>
  <r>
    <s v="T808"/>
    <x v="15"/>
    <s v="May"/>
    <n v="12"/>
    <s v="L"/>
    <n v="1000"/>
    <n v="4.8696956339408522E-2"/>
    <n v="1.7073354314131435E-2"/>
    <n v="0.10310506495449334"/>
    <n v="5.8433403317908576E-3"/>
    <n v="0.32998372960706834"/>
    <n v="30959.729118353116"/>
    <n v="528.58642470717473"/>
    <n v="180.90823381859258"/>
    <n v="10216.206882098715"/>
    <n v="6.1"/>
    <n v="3224.3771907137657"/>
    <n v="1103.5402262934147"/>
    <n v="62318.861980802161"/>
  </r>
  <r>
    <s v="T808"/>
    <x v="15"/>
    <s v="May"/>
    <n v="13"/>
    <s v="M"/>
    <n v="1000"/>
    <n v="0.13170394614741132"/>
    <n v="0.12600284076290486"/>
    <n v="2.5869306436000973E-2"/>
    <n v="9.851794199440278E-2"/>
    <n v="0.18267836887245731"/>
    <n v="5410.2633795388801"/>
    <n v="681.70855509741295"/>
    <n v="533.00801379985296"/>
    <n v="988.33808934455101"/>
    <n v="16.5"/>
    <n v="11248.191159107313"/>
    <n v="8794.6322276975734"/>
    <n v="16307.578474185091"/>
  </r>
  <r>
    <s v="WT887"/>
    <x v="16"/>
    <s v="May"/>
    <n v="1"/>
    <s v="A"/>
    <n v="1000"/>
    <n v="8.0712263756367475E-2"/>
    <n v="7.7266122201321147E-2"/>
    <n v="1.4930801756688155E-2"/>
    <n v="6.26105268519834E-2"/>
    <n v="0.11032648196022596"/>
    <n v="20710.167560200389"/>
    <n v="1600.1943375162803"/>
    <n v="1296.674502137002"/>
    <n v="2284.8799277237049"/>
    <n v="8.6999999999999993"/>
    <n v="13921.690736391638"/>
    <n v="11281.068168591917"/>
    <n v="19878.455371196233"/>
  </r>
  <r>
    <s v="WT887"/>
    <x v="16"/>
    <s v="May"/>
    <n v="2"/>
    <s v="B"/>
    <n v="1000"/>
    <n v="0.44107083456456525"/>
    <n v="0.42165396776453457"/>
    <n v="6.0374027049629929E-2"/>
    <n v="0.38079335564299088"/>
    <n v="0.56549681074769853"/>
    <n v="12937.515211791189"/>
    <n v="5455.1546220657774"/>
    <n v="4926.5198311802069"/>
    <n v="7316.123591267753"/>
    <n v="8.5226369047619048"/>
    <n v="46492.302103200273"/>
    <n v="41986.93972525782"/>
    <n v="62352.664918737755"/>
  </r>
  <r>
    <s v="WT887"/>
    <x v="16"/>
    <s v="May"/>
    <n v="3"/>
    <s v="C"/>
    <n v="1000"/>
    <n v="0.54207355326819628"/>
    <n v="0.53934087582124368"/>
    <n v="4.0390540580175494E-2"/>
    <n v="0.48228724468656425"/>
    <n v="0.61559011574175204"/>
    <n v="10953.043037802479"/>
    <n v="5907.4238249161644"/>
    <n v="5282.5129476351131"/>
    <n v="6742.5850313652199"/>
    <n v="6.4"/>
    <n v="37807.512479463454"/>
    <n v="33808.082864864722"/>
    <n v="43152.544200737408"/>
  </r>
  <r>
    <s v="WT887"/>
    <x v="16"/>
    <s v="May"/>
    <n v="5"/>
    <s v="E"/>
    <n v="1000"/>
    <n v="0.23606874925233595"/>
    <n v="0.22926583952002749"/>
    <n v="3.425828054014865E-2"/>
    <n v="0.19611564034491841"/>
    <n v="0.300911835246507"/>
    <n v="13991.101427824766"/>
    <n v="3207.6816146601004"/>
    <n v="2743.873815648556"/>
    <n v="4210.0880077667744"/>
    <n v="13.3"/>
    <n v="42662.165474979338"/>
    <n v="36493.521748125801"/>
    <n v="55994.170503298104"/>
  </r>
  <r>
    <s v="WT887"/>
    <x v="16"/>
    <s v="May"/>
    <n v="6"/>
    <s v="F"/>
    <n v="1000"/>
    <n v="0.23818835292553184"/>
    <n v="0.20647252205651356"/>
    <n v="0.14021273696494077"/>
    <n v="0.18251581732274358"/>
    <n v="0.28351644936645681"/>
    <n v="6966.102651973556"/>
    <n v="1438.3087834575476"/>
    <n v="1271.4239190790852"/>
    <n v="1975.0046898098012"/>
    <n v="7.9"/>
    <n v="11362.639389314627"/>
    <n v="10044.248960724773"/>
    <n v="15602.53704949743"/>
  </r>
  <r>
    <s v="WT887"/>
    <x v="16"/>
    <s v="May"/>
    <n v="7"/>
    <s v="G"/>
    <n v="1000"/>
    <n v="8.4762254293597447E-2"/>
    <n v="6.791164357601151E-2"/>
    <n v="4.2316414101981295E-2"/>
    <n v="4.4574338030455449E-2"/>
    <n v="0.17430470173859286"/>
    <n v="2532.5333267390947"/>
    <n v="171.98850062987611"/>
    <n v="112.88599657946229"/>
    <n v="441.43246616030422"/>
    <n v="7.2119391025641022"/>
    <n v="1240.3705928839743"/>
    <n v="814.12693286334161"/>
    <n v="3183.5840638428026"/>
  </r>
  <r>
    <s v="WT887"/>
    <x v="16"/>
    <s v="May"/>
    <n v="8"/>
    <s v="H"/>
    <n v="1000"/>
    <n v="0.27907323242506665"/>
    <n v="0.20644269980569491"/>
    <n v="0.29409793770997739"/>
    <n v="0.17988535185578663"/>
    <n v="0.35621407831750107"/>
    <n v="13775.148973606703"/>
    <n v="2843.7789443370148"/>
    <n v="2477.9475199831199"/>
    <n v="4906.901995319583"/>
    <n v="9.3000000000000007"/>
    <n v="26447.144182334239"/>
    <n v="23044.911935843018"/>
    <n v="45634.188556472123"/>
  </r>
  <r>
    <s v="WT887"/>
    <x v="16"/>
    <s v="May"/>
    <n v="9"/>
    <s v="I"/>
    <n v="1000"/>
    <n v="0.23973330793528069"/>
    <n v="0.22470672772532113"/>
    <n v="5.1095646830777657E-2"/>
    <n v="0.17854565195354424"/>
    <n v="0.33695223067280289"/>
    <n v="5560.7756961151053"/>
    <n v="1249.5437102885201"/>
    <n v="992.85232203029534"/>
    <n v="1873.715775077093"/>
    <n v="8.1"/>
    <n v="10121.304053337011"/>
    <n v="8042.1038084453921"/>
    <n v="15177.097778124453"/>
  </r>
  <r>
    <s v="WT887"/>
    <x v="16"/>
    <s v="May"/>
    <n v="10"/>
    <s v="J"/>
    <n v="1000"/>
    <n v="0.59523256198494268"/>
    <n v="0.59175701610170206"/>
    <n v="4.5235743184627704E-2"/>
    <n v="0.52938021654409217"/>
    <n v="0.6783087059958427"/>
    <n v="10828.706776282988"/>
    <n v="6407.9632101735024"/>
    <n v="5732.5031381211666"/>
    <n v="7345.2060810289267"/>
    <n v="9"/>
    <n v="57671.668891561523"/>
    <n v="51592.528243090499"/>
    <n v="66106.854729260347"/>
  </r>
  <r>
    <s v="WT887"/>
    <x v="16"/>
    <s v="May"/>
    <n v="11"/>
    <s v="K"/>
    <n v="1000"/>
    <n v="8.9026891637604688E-2"/>
    <n v="8.4232761227651776E-2"/>
    <n v="2.4445988872302593E-2"/>
    <n v="5.8534936637368612E-2"/>
    <n v="0.13447770784181112"/>
    <n v="11753.048720473937"/>
    <n v="989.99174656863931"/>
    <n v="687.96396214884817"/>
    <n v="1580.5230520824662"/>
    <n v="12.8"/>
    <n v="12671.894356078585"/>
    <n v="8805.9387155052573"/>
    <n v="20230.695066655568"/>
  </r>
  <r>
    <s v="WT887"/>
    <x v="16"/>
    <s v="May"/>
    <n v="12"/>
    <s v="L"/>
    <n v="1000"/>
    <n v="2.7095916463256543E-4"/>
    <n v="8.8484923298333773E-5"/>
    <n v="4.6123988464158184E-4"/>
    <n v="3.5625423228108699E-5"/>
    <n v="1.4679883789042599E-3"/>
    <n v="30959.729118353116"/>
    <n v="2.7394692563746661"/>
    <n v="1.1029534528689304"/>
    <n v="45.448522559766204"/>
    <n v="10.7"/>
    <n v="29.312321043208925"/>
    <n v="11.801601945697556"/>
    <n v="486.29919138949833"/>
  </r>
  <r>
    <s v="WT887"/>
    <x v="16"/>
    <s v="May"/>
    <n v="13"/>
    <s v="M"/>
    <n v="1000"/>
    <n v="2.7096771843589149E-2"/>
    <n v="2.3453432306726849E-2"/>
    <n v="1.202385171467665E-2"/>
    <n v="1.5756156007543209E-2"/>
    <n v="5.0404207267938324E-2"/>
    <n v="5410.2633795388801"/>
    <n v="126.88924593357835"/>
    <n v="85.244953849912548"/>
    <n v="272.70003675641419"/>
    <n v="13.7"/>
    <n v="1738.3826692900234"/>
    <n v="1167.8558677438018"/>
    <n v="3735.9905035628744"/>
  </r>
  <r>
    <s v="TL972"/>
    <x v="17"/>
    <s v="May"/>
    <n v="1"/>
    <s v="A"/>
    <n v="1000"/>
    <n v="6.2013716553751862E-3"/>
    <n v="4.7677963964617301E-3"/>
    <n v="4.1338262254734144E-3"/>
    <n v="3.0446877943615283E-3"/>
    <n v="1.57805615671677E-2"/>
    <n v="20710.167560200389"/>
    <n v="98.741862263642034"/>
    <n v="63.055994389724198"/>
    <n v="326.81807425010152"/>
    <n v="11.7"/>
    <n v="1155.2797884846118"/>
    <n v="737.75513435977302"/>
    <n v="3823.7714687261873"/>
  </r>
  <r>
    <s v="TL972"/>
    <x v="17"/>
    <s v="May"/>
    <n v="2"/>
    <s v="B"/>
    <n v="1000"/>
    <n v="7.0508745564551237E-2"/>
    <n v="6.3939524798633129E-2"/>
    <n v="3.5848697139545679E-2"/>
    <n v="3.2279848629493998E-2"/>
    <n v="0.13580695173212778"/>
    <n v="12937.515211791189"/>
    <n v="827.21857471701605"/>
    <n v="417.62103267839558"/>
    <n v="1757.0045039013951"/>
    <n v="9"/>
    <n v="7444.9671724531445"/>
    <n v="3758.5892941055604"/>
    <n v="15813.040535112556"/>
  </r>
  <r>
    <s v="TL972"/>
    <x v="17"/>
    <s v="May"/>
    <n v="3"/>
    <s v="C"/>
    <n v="1000"/>
    <n v="1.2190427341400361E-3"/>
    <n v="1.0601868884178001E-3"/>
    <n v="5.7502366518210539E-4"/>
    <n v="5.773902846916175E-4"/>
    <n v="2.3422860362305562E-3"/>
    <n v="10953.043037802479"/>
    <n v="11.61227261695406"/>
    <n v="6.3241806378363128"/>
    <n v="25.655159761677059"/>
    <n v="11.6"/>
    <n v="134.70236235666709"/>
    <n v="73.360495398901222"/>
    <n v="297.59985323545385"/>
  </r>
  <r>
    <s v="TL972"/>
    <x v="17"/>
    <s v="May"/>
    <n v="5"/>
    <s v="E"/>
    <n v="1000"/>
    <n v="2.4994797386674626E-2"/>
    <n v="1.8919473817002205E-2"/>
    <n v="1.9290333514906197E-2"/>
    <n v="1.1861980653102113E-2"/>
    <n v="6.9589886983465479E-2"/>
    <n v="13991.101427824766"/>
    <n v="264.70427713475283"/>
    <n v="165.96217445244673"/>
    <n v="973.63916713652793"/>
    <n v="15.4"/>
    <n v="4076.4458678751935"/>
    <n v="2555.8174865676797"/>
    <n v="14994.04317390253"/>
  </r>
  <r>
    <s v="TL972"/>
    <x v="17"/>
    <s v="May"/>
    <n v="6"/>
    <s v="F"/>
    <n v="1000"/>
    <n v="2.9133612996892329E-2"/>
    <n v="2.3435554357661689E-2"/>
    <n v="1.9084264371745891E-2"/>
    <n v="1.6990096365550583E-2"/>
    <n v="8.5622522533229356E-2"/>
    <n v="6966.102651973556"/>
    <n v="163.25447736137752"/>
    <n v="118.3547553493482"/>
    <n v="596.45528128739454"/>
    <n v="11.5"/>
    <n v="1877.4264896558416"/>
    <n v="1361.0796865175043"/>
    <n v="6859.2357348050373"/>
  </r>
  <r>
    <s v="TL972"/>
    <x v="17"/>
    <s v="May"/>
    <n v="7"/>
    <s v="G"/>
    <n v="1000"/>
    <n v="9.517743698655487E-2"/>
    <n v="7.4891248110850919E-2"/>
    <n v="7.8910283551862762E-2"/>
    <n v="1.9408926597585478E-2"/>
    <n v="0.25267300107112056"/>
    <n v="2532.5333267390947"/>
    <n v="189.66458172181623"/>
    <n v="49.153753444618047"/>
    <n v="639.90279597979577"/>
    <n v="14"/>
    <n v="2655.3041441054274"/>
    <n v="688.15254822465272"/>
    <n v="8958.6391437171405"/>
  </r>
  <r>
    <s v="TL972"/>
    <x v="17"/>
    <s v="May"/>
    <n v="8"/>
    <s v="H"/>
    <n v="1000"/>
    <n v="5.0863580364841647E-3"/>
    <n v="4.2472263879635447E-3"/>
    <n v="2.4569966930470376E-3"/>
    <n v="2.575132998739365E-3"/>
    <n v="1.0096757383846282E-2"/>
    <n v="13775.148973606703"/>
    <n v="58.506176218831328"/>
    <n v="35.472840684485313"/>
    <n v="139.08433711284601"/>
    <n v="11.5"/>
    <n v="672.82102651656032"/>
    <n v="407.93766787158108"/>
    <n v="1599.4698767977293"/>
  </r>
  <r>
    <s v="TL972"/>
    <x v="17"/>
    <s v="May"/>
    <n v="9"/>
    <s v="I"/>
    <n v="1000"/>
    <n v="6.5238531183317655E-2"/>
    <n v="6.2781063556778358E-2"/>
    <n v="1.1091939426796529E-2"/>
    <n v="5.1393600785127995E-2"/>
    <n v="8.731445107720115E-2"/>
    <n v="5560.7756961151053"/>
    <n v="349.11141240279085"/>
    <n v="285.78828618178193"/>
    <n v="485.53607746973154"/>
    <n v="12.3"/>
    <n v="4294.0703725543281"/>
    <n v="3515.1959200359179"/>
    <n v="5972.0937528776985"/>
  </r>
  <r>
    <s v="TL972"/>
    <x v="17"/>
    <s v="May"/>
    <n v="10"/>
    <s v="J"/>
    <n v="1000"/>
    <n v="2.4811723614394978E-4"/>
    <n v="2.2299320151056312E-4"/>
    <n v="1.1099558968472942E-4"/>
    <n v="1.9018651544880542E-4"/>
    <n v="5.9343644839396511E-4"/>
    <n v="10828.706776282988"/>
    <n v="2.4147279922624727"/>
    <n v="2.0594740085981287"/>
    <n v="6.4261492900170403"/>
    <n v="13.1"/>
    <n v="31.632936698638392"/>
    <n v="26.979109512635485"/>
    <n v="84.182555699223229"/>
  </r>
  <r>
    <s v="TL972"/>
    <x v="17"/>
    <s v="May"/>
    <n v="11"/>
    <s v="K"/>
    <n v="1000"/>
    <n v="5.3334011667527277E-3"/>
    <n v="4.5965552737374862E-3"/>
    <n v="2.3339736498522502E-3"/>
    <n v="2.7484314562645669E-3"/>
    <n v="1.0318613262608927E-2"/>
    <n v="11753.048720473937"/>
    <n v="54.023538078588089"/>
    <n v="32.302448810360588"/>
    <n v="121.27516440317123"/>
    <n v="13.1"/>
    <n v="707.70834882950396"/>
    <n v="423.16207941572367"/>
    <n v="1588.704653681543"/>
  </r>
  <r>
    <s v="TL972"/>
    <x v="17"/>
    <s v="May"/>
    <n v="12"/>
    <s v="L"/>
    <n v="1000"/>
    <n v="2.5934626500886593E-5"/>
    <n v="2.366662561892236E-5"/>
    <n v="1.2466495758797699E-5"/>
    <n v="9.2672779535517557E-6"/>
    <n v="4.9442010942556166E-5"/>
    <n v="30959.729118353116"/>
    <n v="0.73271231830731243"/>
    <n v="0.28691241510644816"/>
    <n v="1.5307112658481896"/>
    <n v="19.2"/>
    <n v="14.068076511500399"/>
    <n v="5.5087183700438045"/>
    <n v="29.389656304285239"/>
  </r>
  <r>
    <s v="TL972"/>
    <x v="17"/>
    <s v="May"/>
    <n v="13"/>
    <s v="M"/>
    <n v="1000"/>
    <n v="3.6048119412144903E-3"/>
    <n v="2.1837283185450005E-3"/>
    <n v="4.8823473196731608E-3"/>
    <n v="8.9117196820479516E-4"/>
    <n v="9.431847849761317E-3"/>
    <n v="5410.2633795388801"/>
    <n v="11.81454535268603"/>
    <n v="4.8214750644499906"/>
    <n v="51.028781022946184"/>
    <n v="14"/>
    <n v="165.40363493760444"/>
    <n v="67.500650902299867"/>
    <n v="714.40293432124656"/>
  </r>
  <r>
    <m/>
    <x v="10"/>
    <m/>
    <m/>
    <m/>
    <m/>
    <m/>
    <m/>
    <m/>
    <m/>
    <m/>
    <m/>
    <m/>
    <m/>
    <m/>
    <m/>
    <m/>
    <m/>
    <m/>
  </r>
  <r>
    <s v="TL092"/>
    <x v="18"/>
    <s v="May"/>
    <n v="1"/>
    <s v="A"/>
    <n v="1000"/>
    <n v="0.34016128073877006"/>
    <n v="0.34008136362857155"/>
    <n v="7.702552758476354E-2"/>
    <n v="0.21789890916634858"/>
    <n v="0.47000228290160295"/>
    <n v="20710.167560200389"/>
    <n v="7043.142024849155"/>
    <n v="4512.7229200199636"/>
    <n v="9733.8260325689025"/>
    <n v="7.6"/>
    <n v="53527.879388853573"/>
    <n v="34296.694192151721"/>
    <n v="73977.077847523658"/>
  </r>
  <r>
    <s v="TL092"/>
    <x v="18"/>
    <s v="May"/>
    <n v="2"/>
    <s v="B"/>
    <n v="1000"/>
    <n v="0.4110036352245432"/>
    <n v="0.38252963389108074"/>
    <n v="0.10493951054533167"/>
    <n v="0.29432409795506831"/>
    <n v="0.64058410740921612"/>
    <n v="12937.515211791189"/>
    <n v="4948.9829574267715"/>
    <n v="3807.8224944904164"/>
    <n v="8287.5666340384141"/>
    <n v="12.2"/>
    <n v="60377.592080606606"/>
    <n v="46455.434432783077"/>
    <n v="101108.31293526865"/>
  </r>
  <r>
    <s v="TL092"/>
    <x v="18"/>
    <s v="May"/>
    <n v="3"/>
    <s v="C"/>
    <n v="1000"/>
    <n v="0.24420757387674649"/>
    <n v="0.22507444978579111"/>
    <n v="6.2117516802318716E-2"/>
    <n v="0.17847643579971942"/>
    <n v="0.37203189537829118"/>
    <n v="10953.043037802479"/>
    <n v="2465.2501352134832"/>
    <n v="1954.860082547918"/>
    <n v="4074.8813615136528"/>
    <n v="12.5"/>
    <n v="30815.626690168541"/>
    <n v="24435.751031848973"/>
    <n v="50936.017018920662"/>
  </r>
  <r>
    <s v="TL092"/>
    <x v="18"/>
    <s v="May"/>
    <n v="5"/>
    <s v="E"/>
    <n v="1000"/>
    <n v="1.7992901419842076E-2"/>
    <n v="5.4820829439543063E-3"/>
    <n v="3.8735117103407893E-2"/>
    <n v="3.5541916817714882E-3"/>
    <n v="0.11979688952483794"/>
    <n v="13991.101427824766"/>
    <n v="76.700378504612885"/>
    <n v="49.727056313595973"/>
    <n v="1676.0904320799259"/>
    <n v="6"/>
    <n v="460.20227102767728"/>
    <n v="298.36233788157585"/>
    <n v="10056.542592479556"/>
  </r>
  <r>
    <s v="TL092"/>
    <x v="18"/>
    <s v="May"/>
    <n v="6"/>
    <s v="F"/>
    <n v="1000"/>
    <n v="0.16042386048758894"/>
    <n v="0.15066276876196982"/>
    <n v="3.6800162649119554E-2"/>
    <n v="0.12121456919999798"/>
    <n v="0.24316112807045617"/>
    <n v="6966.102651973556"/>
    <n v="1049.5323130264367"/>
    <n v="844.39313196193814"/>
    <n v="1693.8853791084862"/>
    <n v="14.3"/>
    <n v="15008.312076278045"/>
    <n v="12074.821787055716"/>
    <n v="24222.560921251352"/>
  </r>
  <r>
    <s v="TL092"/>
    <x v="18"/>
    <s v="May"/>
    <n v="7"/>
    <s v="G"/>
    <n v="1000"/>
    <n v="6.5004353040116914E-3"/>
    <n v="6.1529587185756279E-3"/>
    <n v="2.8855167947869063E-3"/>
    <n v="2.0765888039405763E-3"/>
    <n v="1.1862696189793048E-2"/>
    <n v="2532.5333267390947"/>
    <n v="15.582573012842651"/>
    <n v="5.2590303519127852"/>
    <n v="30.04267344563177"/>
    <n v="14.3"/>
    <n v="222.83079408364992"/>
    <n v="75.204134032352826"/>
    <n v="429.61023027253435"/>
  </r>
  <r>
    <s v="TL092"/>
    <x v="18"/>
    <s v="May"/>
    <n v="8"/>
    <s v="H"/>
    <n v="1000"/>
    <n v="6.2490408370241973E-2"/>
    <n v="6.1277867651886267E-2"/>
    <n v="7.974533326250588E-3"/>
    <n v="5.2283262413146139E-2"/>
    <n v="7.826136927634296E-2"/>
    <n v="13775.148973606703"/>
    <n v="844.11175568968849"/>
    <n v="720.20972856725996"/>
    <n v="1078.0620206600709"/>
    <n v="13.1"/>
    <n v="11057.863999534919"/>
    <n v="9434.747444231105"/>
    <n v="14122.612470646927"/>
  </r>
  <r>
    <s v="TL092"/>
    <x v="18"/>
    <s v="May"/>
    <n v="9"/>
    <s v="I"/>
    <n v="1000"/>
    <n v="9.6865287110698695E-3"/>
    <n v="8.4196936569694864E-3"/>
    <n v="4.3579326607662266E-3"/>
    <n v="6.5256100824614372E-3"/>
    <n v="1.9305349884333273E-2"/>
    <n v="5560.7756961151053"/>
    <n v="46.820027856410434"/>
    <n v="36.287453948875246"/>
    <n v="107.35272044179902"/>
    <n v="13.3"/>
    <n v="622.70637049025879"/>
    <n v="482.62313752004081"/>
    <n v="1427.7911818759271"/>
  </r>
  <r>
    <s v="TL092"/>
    <x v="18"/>
    <s v="May"/>
    <n v="10"/>
    <s v="J"/>
    <n v="1000"/>
    <n v="0.26080438348506996"/>
    <n v="0.25945633795618855"/>
    <n v="1.6829511027281287E-2"/>
    <n v="0.23537136648272941"/>
    <n v="0.28999300445573256"/>
    <n v="10828.706776282988"/>
    <n v="2809.5766049757481"/>
    <n v="2548.7675111745184"/>
    <n v="3140.2492124244541"/>
    <n v="13.3"/>
    <n v="37367.368846177451"/>
    <n v="33898.6078986211"/>
    <n v="41765.314525245245"/>
  </r>
  <r>
    <s v="TL092"/>
    <x v="18"/>
    <s v="May"/>
    <n v="11"/>
    <s v="K"/>
    <n v="1000"/>
    <n v="9.5784866801201969E-3"/>
    <n v="4.3799418097355824E-3"/>
    <n v="1.8858770911703196E-2"/>
    <n v="2.5344283268670864E-3"/>
    <n v="2.1184048881675119E-2"/>
    <n v="11753.048720473937"/>
    <n v="51.477669482663089"/>
    <n v="29.787259604218111"/>
    <n v="248.97715860322907"/>
    <n v="3.6"/>
    <n v="185.31961013758712"/>
    <n v="107.23413457518519"/>
    <n v="896.31777097162467"/>
  </r>
  <r>
    <s v="TL092"/>
    <x v="18"/>
    <s v="May"/>
    <n v="13"/>
    <s v="M"/>
    <n v="1000"/>
    <n v="0"/>
    <n v="0"/>
    <n v="0"/>
    <n v="0"/>
    <n v="0"/>
    <n v="5410.2633795388801"/>
    <n v="0"/>
    <n v="0"/>
    <n v="0"/>
    <n v="0"/>
    <n v="0"/>
    <n v="0"/>
    <n v="0"/>
  </r>
  <r>
    <s v="TL103"/>
    <x v="19"/>
    <s v="May"/>
    <n v="1"/>
    <s v="A"/>
    <n v="1000"/>
    <n v="0.29829727025794361"/>
    <n v="0.29712027277301412"/>
    <n v="2.7553423326290249E-2"/>
    <n v="0.2561085980833242"/>
    <n v="0.34571787967260814"/>
    <n v="20710.167560200389"/>
    <n v="6153.4106346615681"/>
    <n v="5304.05197991366"/>
    <n v="7159.8752165769101"/>
    <n v="11.1"/>
    <n v="68302.858044743407"/>
    <n v="58874.976977041624"/>
    <n v="79474.614904003698"/>
  </r>
  <r>
    <s v="TL103"/>
    <x v="19"/>
    <s v="May"/>
    <n v="2"/>
    <s v="B"/>
    <n v="1000"/>
    <n v="0.27137408107119171"/>
    <n v="0.26298535112523991"/>
    <n v="4.5038934163079657E-2"/>
    <n v="0.20822947954890539"/>
    <n v="0.3553348625150633"/>
    <n v="12937.515211791189"/>
    <n v="3402.3769806610385"/>
    <n v="2693.9720592073259"/>
    <n v="4597.1501890683621"/>
    <n v="8.1"/>
    <n v="27559.253543354411"/>
    <n v="21821.173679579337"/>
    <n v="37236.916531453731"/>
  </r>
  <r>
    <s v="TL103"/>
    <x v="19"/>
    <s v="May"/>
    <n v="3"/>
    <s v="C"/>
    <n v="1000"/>
    <n v="0.29518264110779785"/>
    <n v="0.2920933501382732"/>
    <n v="3.5419186753435826E-2"/>
    <n v="0.24307068468470214"/>
    <n v="0.35950013556498839"/>
    <n v="10953.043037802479"/>
    <n v="3199.311035120415"/>
    <n v="2662.3636705796584"/>
    <n v="3937.6204569391434"/>
    <n v="7.9"/>
    <n v="25274.557177451279"/>
    <n v="21032.672997579302"/>
    <n v="31107.201609819236"/>
  </r>
  <r>
    <s v="TL103"/>
    <x v="19"/>
    <s v="May"/>
    <n v="5"/>
    <s v="E"/>
    <n v="1000"/>
    <n v="5.0474799204814645E-2"/>
    <n v="4.9053578477982432E-2"/>
    <n v="1.1515219161210183E-2"/>
    <n v="3.4575804787428867E-2"/>
    <n v="7.1724959900602001E-2"/>
    <n v="13991.101427824766"/>
    <n v="686.31359188321426"/>
    <n v="483.75359172958639"/>
    <n v="1003.5111888759867"/>
    <n v="12.4"/>
    <n v="8510.2885393518573"/>
    <n v="5998.5445374468718"/>
    <n v="12443.538742062236"/>
  </r>
  <r>
    <s v="TL103"/>
    <x v="19"/>
    <s v="May"/>
    <n v="6"/>
    <s v="F"/>
    <n v="1000"/>
    <n v="0.26676005284381482"/>
    <n v="0.26545848614676515"/>
    <n v="2.9600767643267231E-2"/>
    <n v="0.22212206251583086"/>
    <n v="0.32011132363366895"/>
    <n v="6966.102651973556"/>
    <n v="1849.2110643358662"/>
    <n v="1547.3250887533654"/>
    <n v="2229.9283404912667"/>
    <n v="8"/>
    <n v="14793.68851468693"/>
    <n v="12378.600710026923"/>
    <n v="17839.426723930133"/>
  </r>
  <r>
    <s v="TL103"/>
    <x v="19"/>
    <s v="May"/>
    <n v="7"/>
    <s v="G"/>
    <n v="1000"/>
    <n v="3.2256611805788491E-3"/>
    <n v="2.9802079957806146E-3"/>
    <n v="1.2533929210277292E-3"/>
    <n v="1.6173650530181328E-3"/>
    <n v="5.6619430710205818E-3"/>
    <n v="2532.5333267390947"/>
    <n v="7.54747606992873"/>
    <n v="4.0960308982715645"/>
    <n v="14.33905952145912"/>
    <n v="8"/>
    <n v="60.37980855942984"/>
    <n v="32.768247186172516"/>
    <n v="114.71247617167296"/>
  </r>
  <r>
    <s v="TL103"/>
    <x v="19"/>
    <s v="May"/>
    <n v="8"/>
    <s v="H"/>
    <n v="1000"/>
    <n v="0.3688267690878706"/>
    <n v="0.20431453398903995"/>
    <n v="0.54291243523611976"/>
    <n v="0.13831975519148609"/>
    <n v="1.8979887319425943"/>
    <n v="13775.148973606703"/>
    <n v="2814.4631431720554"/>
    <n v="1905.3752337555302"/>
    <n v="26145.077532736115"/>
    <n v="7.6"/>
    <n v="21389.919888107619"/>
    <n v="14480.851776542029"/>
    <n v="198702.58924879448"/>
  </r>
  <r>
    <s v="TL103"/>
    <x v="19"/>
    <s v="May"/>
    <n v="9"/>
    <s v="I"/>
    <n v="1000"/>
    <n v="4.957390784042949E-2"/>
    <n v="4.4670724764016789E-2"/>
    <n v="1.9782953372887498E-2"/>
    <n v="2.531549100485276E-2"/>
    <n v="8.9136130159139348E-2"/>
    <n v="5560.7756961151099"/>
    <n v="248.40388059559194"/>
    <n v="140.77376711500591"/>
    <n v="495.66602623469515"/>
    <n v="11.4"/>
    <n v="2831.8042387897481"/>
    <n v="1604.8209451110674"/>
    <n v="5650.5926990755252"/>
  </r>
  <r>
    <s v="TL103"/>
    <x v="19"/>
    <s v="May"/>
    <n v="10"/>
    <s v="J"/>
    <n v="1000"/>
    <n v="5.5158973080740893E-2"/>
    <n v="5.2150739820215092E-2"/>
    <n v="1.4826104282202619E-2"/>
    <n v="4.2476066129311402E-2"/>
    <n v="7.7009222300203517E-2"/>
    <n v="10828.706776282988"/>
    <n v="564.72506967933418"/>
    <n v="459.96086512431867"/>
    <n v="833.91028735849682"/>
    <n v="10.199999999999999"/>
    <n v="5760.1957107292083"/>
    <n v="4691.60082426805"/>
    <n v="8505.8849310566675"/>
  </r>
  <r>
    <s v="TL103"/>
    <x v="19"/>
    <s v="May"/>
    <n v="11"/>
    <s v="K"/>
    <n v="1000"/>
    <n v="4.8597757789620834E-3"/>
    <n v="4.6472779899609414E-3"/>
    <n v="1.1016274933230629E-3"/>
    <n v="3.4861360452019124E-3"/>
    <n v="7.1976516179492536E-3"/>
    <n v="11753.048720473937"/>
    <n v="54.619684633597132"/>
    <n v="40.972726785458406"/>
    <n v="84.59435013875563"/>
    <n v="7.1"/>
    <n v="387.7997608985396"/>
    <n v="290.90636017675467"/>
    <n v="600.61988598516496"/>
  </r>
  <r>
    <s v="TL103"/>
    <x v="19"/>
    <s v="May"/>
    <n v="12"/>
    <s v="L"/>
    <n v="1000"/>
    <n v="0.15067619862412757"/>
    <n v="0.14921972423313809"/>
    <n v="1.84026843014947E-2"/>
    <n v="0.12359490487492092"/>
    <n v="0.18403642734013348"/>
    <n v="30959.729118353116"/>
    <n v="4619.8022413733079"/>
    <n v="3826.4647753361728"/>
    <n v="5697.7179383600078"/>
    <n v="7.4"/>
    <n v="34186.536586162481"/>
    <n v="28315.83933748768"/>
    <n v="42163.112743864061"/>
  </r>
  <r>
    <s v="TL103"/>
    <x v="19"/>
    <s v="May"/>
    <n v="13"/>
    <s v="M"/>
    <n v="1000"/>
    <n v="8.6587391672276037E-3"/>
    <n v="8.187945507878493E-3"/>
    <n v="3.4019781099586307E-3"/>
    <n v="4.0547157861445075E-3"/>
    <n v="1.4711860085534189E-2"/>
    <n v="5410.2633795388801"/>
    <n v="44.298941734934886"/>
    <n v="21.937080332215832"/>
    <n v="79.595037865665361"/>
    <n v="8.8000000000000007"/>
    <n v="389.83068726742704"/>
    <n v="193.04630692349934"/>
    <n v="700.43633321785524"/>
  </r>
  <r>
    <s v="TL116"/>
    <x v="20"/>
    <s v="May"/>
    <n v="1"/>
    <s v="A"/>
    <n v="1000"/>
    <n v="0.74438225808471659"/>
    <n v="0.71318600797699827"/>
    <n v="0.18881954241731538"/>
    <n v="0.49668355928512531"/>
    <n v="1.0873766874663238"/>
    <n v="20710.167560200389"/>
    <n v="14770.201726794045"/>
    <n v="10286.399737191668"/>
    <n v="22519.753398483215"/>
    <n v="15.8"/>
    <n v="233369.18728334591"/>
    <n v="162525.11584762836"/>
    <n v="355812.10369603481"/>
  </r>
  <r>
    <s v="TL116"/>
    <x v="20"/>
    <s v="May"/>
    <n v="2"/>
    <s v="B"/>
    <n v="1000"/>
    <n v="1.1646877215854456"/>
    <n v="1.1137870947994879"/>
    <n v="0.41688843151575666"/>
    <n v="0.55585417056269548"/>
    <n v="1.9219799340860297"/>
    <n v="12937.515211791189"/>
    <n v="14409.63748166509"/>
    <n v="7191.3717871924473"/>
    <n v="24865.644633995438"/>
    <n v="11"/>
    <n v="158506.012298316"/>
    <n v="79105.089659116915"/>
    <n v="273522.09097394982"/>
  </r>
  <r>
    <s v="TL116"/>
    <x v="20"/>
    <s v="May"/>
    <n v="3"/>
    <s v="C"/>
    <n v="1000"/>
    <n v="0.68879387961199923"/>
    <n v="0.66197383510455521"/>
    <n v="0.14206902924906459"/>
    <n v="0.52126757861147976"/>
    <n v="0.95640895117339597"/>
    <n v="10953.043037802479"/>
    <n v="7250.6279057993552"/>
    <n v="5709.4662227426252"/>
    <n v="10475.588403941736"/>
    <n v="14.5"/>
    <n v="105134.10463409065"/>
    <n v="82787.260229768071"/>
    <n v="151896.03185715518"/>
  </r>
  <r>
    <s v="TL116"/>
    <x v="20"/>
    <s v="May"/>
    <n v="5"/>
    <s v="E"/>
    <n v="1000"/>
    <n v="0.40781866896453212"/>
    <n v="0.3955107878709061"/>
    <n v="6.3345572943373896E-2"/>
    <n v="0.32976214972560919"/>
    <n v="0.53107250192886157"/>
    <n v="13991.101427824766"/>
    <n v="5533.631548900732"/>
    <n v="4613.7356838685346"/>
    <n v="7430.289240015366"/>
    <n v="18.100000000000001"/>
    <n v="100158.73103510325"/>
    <n v="83508.615878020486"/>
    <n v="134488.23524427813"/>
  </r>
  <r>
    <s v="TL116"/>
    <x v="20"/>
    <s v="May"/>
    <n v="6"/>
    <s v="F"/>
    <n v="1000"/>
    <n v="0.13174350976674512"/>
    <n v="0.12959648640359156"/>
    <n v="1.790372223662156E-2"/>
    <n v="0.10542304274490752"/>
    <n v="0.16306938570440854"/>
    <n v="6966.102651973556"/>
    <n v="902.78242762251409"/>
    <n v="734.3877376444218"/>
    <n v="1135.9580802111791"/>
    <n v="16"/>
    <n v="14444.518841960225"/>
    <n v="11750.203802310749"/>
    <n v="18175.329283378866"/>
  </r>
  <r>
    <s v="TL116"/>
    <x v="20"/>
    <s v="May"/>
    <n v="7"/>
    <s v="G"/>
    <n v="1000"/>
    <n v="0.14256605631521102"/>
    <n v="0.13899250752361222"/>
    <n v="2.0968987108763621E-2"/>
    <n v="0.116057613784706"/>
    <n v="0.18459393405663457"/>
    <n v="2532.5333267390947"/>
    <n v="352.00315747058232"/>
    <n v="293.91977473158249"/>
    <n v="467.49028991230585"/>
    <n v="9.3000000000000007"/>
    <n v="3273.629364476416"/>
    <n v="2733.4539050037174"/>
    <n v="4347.6596961844443"/>
  </r>
  <r>
    <s v="TL116"/>
    <x v="20"/>
    <s v="May"/>
    <n v="8"/>
    <s v="H"/>
    <n v="1000"/>
    <n v="0.12727179403655187"/>
    <n v="0.11789601161112732"/>
    <n v="3.1247653509828641E-2"/>
    <n v="9.8553190936620225E-2"/>
    <n v="0.20586110877476341"/>
    <n v="13775.148973606703"/>
    <n v="1624.0351233373444"/>
    <n v="1357.5848869762494"/>
    <n v="2835.7674412442202"/>
    <n v="13.4"/>
    <n v="21762.070652720417"/>
    <n v="18191.637485481744"/>
    <n v="37999.28371267255"/>
  </r>
  <r>
    <s v="TL116"/>
    <x v="20"/>
    <s v="May"/>
    <n v="9"/>
    <s v="I"/>
    <n v="1000"/>
    <n v="0.14097874457308004"/>
    <n v="0.13881534603990561"/>
    <n v="2.2104254787546435E-2"/>
    <n v="0.10914659456064907"/>
    <n v="0.18183374021585483"/>
    <n v="5560.7756961151099"/>
    <n v="771.92100250651595"/>
    <n v="606.939730346587"/>
    <n v="1011.1366433260342"/>
    <n v="18.399999999999999"/>
    <n v="14203.346446119893"/>
    <n v="11167.691038377199"/>
    <n v="18604.914237199027"/>
  </r>
  <r>
    <s v="TL116"/>
    <x v="20"/>
    <s v="May"/>
    <n v="10"/>
    <s v="J"/>
    <n v="1000"/>
    <n v="0.35549061561555084"/>
    <n v="0.34624442849739767"/>
    <n v="7.0895258137904399E-2"/>
    <n v="0.24999729235482349"/>
    <n v="0.48329606127933822"/>
    <n v="10828.706776282988"/>
    <n v="3749.3793891200007"/>
    <n v="2707.1473737750762"/>
    <n v="5233.4713337264484"/>
    <n v="12.5"/>
    <n v="46867.242364000012"/>
    <n v="33839.342172188452"/>
    <n v="65418.391671580604"/>
  </r>
  <r>
    <s v="TL116"/>
    <x v="20"/>
    <s v="May"/>
    <n v="11"/>
    <s v="K"/>
    <n v="1000"/>
    <n v="0.24320544033145894"/>
    <n v="0.17132010065743608"/>
    <n v="0.23116863490793799"/>
    <n v="3.1176943891566854E-2"/>
    <n v="0.74932974054513601"/>
    <n v="11753.048720473937"/>
    <n v="2013.5334898233452"/>
    <n v="366.42414051306753"/>
    <n v="8806.9089483270782"/>
    <n v="10.4"/>
    <n v="20940.74829416279"/>
    <n v="3810.8110613359022"/>
    <n v="91591.853062601615"/>
  </r>
  <r>
    <s v="TL116"/>
    <x v="20"/>
    <s v="May"/>
    <n v="12"/>
    <s v="L"/>
    <n v="1000"/>
    <n v="3.9295705904376102E-2"/>
    <n v="3.0633885366140874E-2"/>
    <n v="2.8084883899102565E-2"/>
    <n v="1.8177894362462171E-2"/>
    <n v="0.11241084742502339"/>
    <n v="30959.729118353116"/>
    <n v="948.41679277840308"/>
    <n v="562.78268540386705"/>
    <n v="3480.2093862432457"/>
    <n v="20.2"/>
    <n v="19158.019214123742"/>
    <n v="11368.210245158114"/>
    <n v="70300.229602113555"/>
  </r>
  <r>
    <s v="TL116"/>
    <x v="20"/>
    <s v="May"/>
    <n v="13"/>
    <s v="M"/>
    <n v="1000"/>
    <n v="0.25220789038115082"/>
    <n v="0.24091649043297519"/>
    <n v="5.3555942922243846E-2"/>
    <n v="0.1841507573525267"/>
    <n v="0.35517284929904797"/>
    <n v="5410.2633795388801"/>
    <n v="1303.4216657165546"/>
    <n v="996.30409881872538"/>
    <n v="1921.5786599691207"/>
    <n v="19.2"/>
    <n v="25025.695981757846"/>
    <n v="19129.038697319527"/>
    <n v="36894.310271407114"/>
  </r>
  <r>
    <s v="TL131"/>
    <x v="21"/>
    <s v="May"/>
    <n v="1"/>
    <s v="A"/>
    <n v="1000"/>
    <n v="1.8267757859750564"/>
    <n v="1.7661714726365392"/>
    <n v="0.30404555251285359"/>
    <n v="1.4305647609878773"/>
    <n v="2.4477900827042935"/>
    <n v="20710.167560200389"/>
    <n v="36577.707138348604"/>
    <n v="29627.235905776961"/>
    <n v="50694.142765002689"/>
    <n v="7.5"/>
    <n v="274332.80353761453"/>
    <n v="222204.2692933272"/>
    <n v="380206.07073752017"/>
  </r>
  <r>
    <s v="TL131"/>
    <x v="21"/>
    <s v="May"/>
    <n v="2"/>
    <s v="B"/>
    <n v="1000"/>
    <n v="1.5632358413938527"/>
    <n v="1.5398496500630308"/>
    <n v="0.20879858068206875"/>
    <n v="1.2494808938896984"/>
    <n v="1.950061733550839"/>
    <n v="12937.515211791189"/>
    <n v="19921.828271561801"/>
    <n v="16165.178071540426"/>
    <n v="25228.953341745877"/>
    <n v="4.9000000000000004"/>
    <n v="97616.958530652832"/>
    <n v="79209.372550548098"/>
    <n v="123621.8713745548"/>
  </r>
  <r>
    <s v="TL131"/>
    <x v="21"/>
    <s v="May"/>
    <n v="3"/>
    <s v="C"/>
    <n v="1000"/>
    <n v="2.9540531348286798"/>
    <n v="2.9442674070996997"/>
    <n v="0.22012310160889986"/>
    <n v="2.6108695878307504"/>
    <n v="3.3364479075638451"/>
    <n v="10953.043037802479"/>
    <n v="32248.687624762126"/>
    <n v="28596.966961599828"/>
    <n v="36544.257524932822"/>
    <n v="7.2"/>
    <n v="232190.5508982873"/>
    <n v="205898.16212351876"/>
    <n v="263118.65417951631"/>
  </r>
  <r>
    <s v="TL131"/>
    <x v="21"/>
    <s v="May"/>
    <n v="5"/>
    <s v="E"/>
    <n v="1000"/>
    <n v="1.8449629460698365"/>
    <n v="1.8429699250551828"/>
    <n v="9.3881734768359343E-2"/>
    <n v="1.6896650306995022"/>
    <n v="2.004205610616494"/>
    <n v="13991.101427824766"/>
    <n v="25785.179149877669"/>
    <n v="23640.274823565382"/>
    <n v="28041.043980350838"/>
    <n v="10.5"/>
    <n v="270744.38107371551"/>
    <n v="248222.88564743652"/>
    <n v="294430.96179368382"/>
  </r>
  <r>
    <s v="TL131"/>
    <x v="21"/>
    <s v="May"/>
    <n v="6"/>
    <s v="F"/>
    <n v="1000"/>
    <n v="0.35859344793515879"/>
    <n v="0.34637451520857543"/>
    <n v="6.9288966832660268E-2"/>
    <n v="0.26961251811247527"/>
    <n v="0.48790596170328382"/>
    <n v="6966.102651973556"/>
    <n v="2412.8804289705122"/>
    <n v="1878.1484774285825"/>
    <n v="3398.8030137349538"/>
    <n v="18.3"/>
    <n v="44155.711850160376"/>
    <n v="34370.117136943059"/>
    <n v="62198.095151349655"/>
  </r>
  <r>
    <s v="TL131"/>
    <x v="21"/>
    <s v="May"/>
    <n v="7"/>
    <s v="G"/>
    <n v="1000"/>
    <n v="0.12786761380374317"/>
    <n v="0.12468815919238348"/>
    <n v="1.6408939588604017E-2"/>
    <n v="0.10751152297174588"/>
    <n v="0.16052620117227878"/>
    <n v="2532.5333267390947"/>
    <n v="315.77691860446077"/>
    <n v="272.27651493442221"/>
    <n v="406.53795428362037"/>
    <n v="5.0999999999999996"/>
    <n v="1610.4622848827498"/>
    <n v="1388.6102261655531"/>
    <n v="2073.3435668464635"/>
  </r>
  <r>
    <s v="TL131"/>
    <x v="21"/>
    <s v="May"/>
    <n v="8"/>
    <s v="H"/>
    <n v="1000"/>
    <n v="0"/>
    <n v="0"/>
    <n v="0"/>
    <n v="0"/>
    <n v="0"/>
    <n v="13775.148973606703"/>
    <n v="0"/>
    <n v="0"/>
    <n v="0"/>
    <n v="5.0999999999999996"/>
    <n v="0"/>
    <n v="0"/>
    <n v="0"/>
  </r>
  <r>
    <s v="TL131"/>
    <x v="21"/>
    <s v="May"/>
    <n v="9"/>
    <s v="I"/>
    <n v="1000"/>
    <n v="0.63709019465368832"/>
    <n v="0.63401552114087723"/>
    <n v="7.3350437840586494E-2"/>
    <n v="0.52664750318401421"/>
    <n v="0.76040220353173837"/>
    <n v="5560.7756961151099"/>
    <n v="3525.6181009199458"/>
    <n v="2928.5686361253711"/>
    <n v="4228.4260926716661"/>
    <n v="12.4"/>
    <n v="43717.664451407327"/>
    <n v="36314.251087954603"/>
    <n v="52432.483549128658"/>
  </r>
  <r>
    <s v="TL131"/>
    <x v="21"/>
    <s v="May"/>
    <n v="10"/>
    <s v="J"/>
    <n v="1000"/>
    <n v="9.5012566498267597E-3"/>
    <n v="9.4819091901346911E-3"/>
    <n v="1.2511626641368043E-3"/>
    <n v="7.5800033132925665E-3"/>
    <n v="1.1533426464073373E-2"/>
    <n v="10828.706776282988"/>
    <n v="102.67681429931147"/>
    <n v="82.081633242898718"/>
    <n v="124.89209330527288"/>
    <n v="7.7"/>
    <n v="790.61147010469836"/>
    <n v="632.02857597032016"/>
    <n v="961.66911845060122"/>
  </r>
  <r>
    <s v="TL131"/>
    <x v="21"/>
    <s v="May"/>
    <n v="11"/>
    <s v="K"/>
    <n v="1000"/>
    <n v="0.57719842970434521"/>
    <n v="0.57657091987453568"/>
    <n v="2.9492158163729413E-2"/>
    <n v="0.52908341707400208"/>
    <n v="0.62778768869843526"/>
    <n v="11753.048720473937"/>
    <m/>
    <m/>
    <m/>
    <m/>
    <m/>
    <n v="0"/>
    <n v="0"/>
  </r>
  <r>
    <s v="TL131"/>
    <x v="21"/>
    <s v="May"/>
    <n v="12"/>
    <s v="L"/>
    <n v="1000"/>
    <n v="1.1258598632597286E-3"/>
    <n v="1.0504040530694429E-3"/>
    <n v="5.1547049118751403E-4"/>
    <n v="4.5125426667898624E-4"/>
    <n v="2.0892309068374468E-3"/>
    <n v="15500"/>
    <n v="16.281262822576366"/>
    <n v="6.9944411335242869"/>
    <n v="32.383079055980424"/>
    <n v="7.5"/>
    <n v="122.10947116932275"/>
    <n v="52.45830850143215"/>
    <n v="242.87309291985318"/>
  </r>
  <r>
    <s v="TL131"/>
    <x v="21"/>
    <s v="May"/>
    <n v="13"/>
    <s v="M"/>
    <n v="1000"/>
    <n v="0.19850775491776218"/>
    <n v="0.18667820645783501"/>
    <n v="6.549835929242015E-2"/>
    <n v="0.11570815814415472"/>
    <n v="0.32095777664764708"/>
    <n v="5410.2633795388801"/>
    <n v="1009.9782641568232"/>
    <n v="626.01161072121374"/>
    <n v="1736.4661053749842"/>
    <n v="17.399999999999999"/>
    <n v="17573.621796328724"/>
    <n v="10892.602026549119"/>
    <n v="30214.510233524721"/>
  </r>
  <r>
    <s v="TL147"/>
    <x v="22"/>
    <s v="May"/>
    <n v="1"/>
    <s v="A"/>
    <n v="1000"/>
    <n v="0.16697000000000001"/>
    <n v="0.15081"/>
    <n v="9.4369999999999996E-2"/>
    <n v="5.5E-2"/>
    <n v="0.34331"/>
    <n v="20710.167560200389"/>
    <n v="3123.3003697538206"/>
    <n v="1139.0592158110214"/>
    <n v="7110.0076250923958"/>
    <n v="7.7969072164948496"/>
    <n v="24352.083192214595"/>
    <n v="8881.1390197719174"/>
    <n v="55436.069761416307"/>
  </r>
  <r>
    <s v="TL147"/>
    <x v="22"/>
    <s v="May"/>
    <n v="2"/>
    <s v="B"/>
    <n v="1000"/>
    <n v="1.2286831946000001"/>
    <n v="1.2023312415"/>
    <n v="0.21715599999999999"/>
    <n v="0.93304050000000005"/>
    <n v="1.626566"/>
    <n v="12937.515211791189"/>
    <n v="15555.178726518037"/>
    <n v="12071.225661967257"/>
    <n v="21043.722367982347"/>
    <n v="9.9385542168674696"/>
    <n v="154595.98712656301"/>
    <n v="119970.53070550349"/>
    <n v="209144.17567889925"/>
  </r>
  <r>
    <s v="TL147"/>
    <x v="22"/>
    <s v="May"/>
    <n v="3"/>
    <s v="C"/>
    <n v="1000"/>
    <n v="1.4523200000000001"/>
    <n v="1.43852"/>
    <n v="0.13467000000000001"/>
    <n v="1.25278"/>
    <n v="1.68754"/>
    <n v="10953.043037802479"/>
    <n v="15756.171470739622"/>
    <n v="13721.75325689819"/>
    <n v="18483.698248013196"/>
    <n v="12.181147540983611"/>
    <n v="191928.24936611607"/>
    <n v="167146.70094324925"/>
    <n v="225152.65546206903"/>
  </r>
  <r>
    <s v="TL147"/>
    <x v="22"/>
    <s v="May"/>
    <n v="5"/>
    <s v="E"/>
    <n v="1000"/>
    <n v="0.22588"/>
    <n v="0.22223000000000001"/>
    <n v="2.4979999999999999E-2"/>
    <n v="0.19225999999999999"/>
    <n v="0.27312999999999998"/>
    <n v="13991.101427824766"/>
    <n v="3109.242470305498"/>
    <n v="2689.9291605135891"/>
    <n v="3821.3895329817778"/>
    <n v="18.804166666666664"/>
    <n v="58466.713618702961"/>
    <n v="50581.876255824274"/>
    <n v="71858.045676444832"/>
  </r>
  <r>
    <s v="TL147"/>
    <x v="22"/>
    <s v="May"/>
    <n v="6"/>
    <s v="F"/>
    <n v="1000"/>
    <n v="4.4220000000000002E-2"/>
    <n v="4.3060000000000001E-2"/>
    <n v="6.7499999999999999E-3"/>
    <n v="3.508E-2"/>
    <n v="5.6820000000000002E-2"/>
    <n v="6966.102651973556"/>
    <n v="299.96038019398134"/>
    <n v="244.37088103123236"/>
    <n v="395.81395268513745"/>
    <n v="17.177500000000002"/>
    <n v="5152.569430782115"/>
    <n v="4197.680808913994"/>
    <n v="6799.0941722489497"/>
  </r>
  <r>
    <s v="TL147"/>
    <x v="22"/>
    <s v="May"/>
    <n v="7"/>
    <s v="G"/>
    <n v="1000"/>
    <n v="0"/>
    <n v="0"/>
    <n v="0"/>
    <n v="0"/>
    <n v="0"/>
    <n v="2532.5333267390947"/>
    <m/>
    <n v="0"/>
    <n v="0"/>
    <m/>
    <n v="0"/>
    <n v="0"/>
    <n v="0"/>
  </r>
  <r>
    <s v="TL147"/>
    <x v="22"/>
    <s v="May"/>
    <n v="8"/>
    <s v="H"/>
    <n v="1000"/>
    <n v="6.28E-3"/>
    <n v="2.96E-3"/>
    <n v="1.307E-2"/>
    <n v="1.5299999999999999E-3"/>
    <n v="4.861E-2"/>
    <n v="13775.148973606703"/>
    <n v="40.77444096187584"/>
    <n v="21.075977929618254"/>
    <n v="669.60999160702181"/>
    <n v="8.1019999999999985"/>
    <n v="330.35452067311797"/>
    <n v="170.75757318576706"/>
    <n v="5425.1801520000899"/>
  </r>
  <r>
    <s v="TL147"/>
    <x v="22"/>
    <s v="May"/>
    <n v="9"/>
    <s v="I"/>
    <n v="1000"/>
    <n v="0"/>
    <n v="0"/>
    <n v="0"/>
    <n v="0"/>
    <n v="0"/>
    <n v="5560.7756961151099"/>
    <n v="0"/>
    <n v="0"/>
    <n v="0"/>
    <n v="7.8650793650793656"/>
    <n v="0"/>
    <n v="0"/>
    <n v="0"/>
  </r>
  <r>
    <s v="TL147"/>
    <x v="22"/>
    <s v="May"/>
    <n v="10"/>
    <s v="J"/>
    <n v="1000"/>
    <n v="0.66442999999999997"/>
    <n v="0.65813999999999995"/>
    <n v="0.12601000000000001"/>
    <n v="0.47305999999999998"/>
    <n v="0.88283"/>
    <n v="10828.706776282999"/>
    <n v="7126.8050777428925"/>
    <n v="5122.6280275884355"/>
    <n v="9559.9072033059201"/>
    <n v="11.030817610062892"/>
    <n v="78614.486955051936"/>
    <n v="56506.77545652425"/>
    <n v="105453.59272879403"/>
  </r>
  <r>
    <s v="TL147"/>
    <x v="22"/>
    <s v="May"/>
    <n v="11"/>
    <s v="K"/>
    <n v="1000"/>
    <n v="1.5211300000000001"/>
    <n v="1.46024"/>
    <n v="0.40353"/>
    <n v="0.97350999999999999"/>
    <n v="2.27684"/>
    <n v="11753.048720473937"/>
    <n v="17162.271863584861"/>
    <n v="11441.710459868582"/>
    <n v="26759.811448723878"/>
    <n v="8.1599999999999984"/>
    <n v="140044.13840685243"/>
    <n v="93364.357352527615"/>
    <n v="218360.06142158681"/>
  </r>
  <r>
    <s v="TL147"/>
    <x v="22"/>
    <s v="May"/>
    <n v="12"/>
    <s v="L"/>
    <n v="1000"/>
    <n v="3.0200000000000001E-3"/>
    <n v="2.98E-3"/>
    <n v="3.6000000000000002E-4"/>
    <n v="2.49E-3"/>
    <n v="3.6800000000000001E-3"/>
    <n v="30959.729118353116"/>
    <n v="92.259992772692286"/>
    <n v="77.08972550469926"/>
    <n v="113.93180315553947"/>
    <m/>
    <n v="0"/>
    <n v="0"/>
    <n v="0"/>
  </r>
  <r>
    <s v="TL147"/>
    <x v="22"/>
    <s v="May"/>
    <n v="13"/>
    <s v="M"/>
    <n v="1000"/>
    <n v="6.5009999999999998E-2"/>
    <n v="6.4860000000000001E-2"/>
    <n v="5.0200000000000002E-3"/>
    <n v="5.7209999999999997E-2"/>
    <n v="7.3459999999999998E-2"/>
    <n v="5410.2633795388801"/>
    <n v="350.90968279689179"/>
    <n v="309.5211679434193"/>
    <n v="397.4379478609261"/>
    <n v="22.152000000000001"/>
    <n v="7773.3512933167476"/>
    <n v="6856.5129122826247"/>
    <n v="8804.0454210152348"/>
  </r>
  <r>
    <s v="TL175"/>
    <x v="23"/>
    <s v="May"/>
    <n v="1"/>
    <s v="A"/>
    <n v="1000"/>
    <n v="4.3599700000000002E-5"/>
    <n v="3.5002300000000002E-5"/>
    <n v="4.1405400000000002E-5"/>
    <n v="1.36904E-5"/>
    <n v="7.66439E-5"/>
    <n v="20710.167560200389"/>
    <n v="0.72490349799240206"/>
    <n v="0.28353047796616743"/>
    <n v="1.5873080114672427"/>
    <n v="13.2"/>
    <n v="9.5687261734997069"/>
    <n v="3.7426023091534097"/>
    <n v="20.952465751367601"/>
  </r>
  <r>
    <s v="TL175"/>
    <x v="23"/>
    <s v="May"/>
    <n v="2"/>
    <s v="B"/>
    <n v="1000"/>
    <n v="5.5530912199999997E-2"/>
    <n v="5.4924740200000002E-2"/>
    <n v="7.0423114999999996E-3"/>
    <n v="4.47076291E-2"/>
    <n v="6.79037683E-2"/>
    <n v="12937.515211791189"/>
    <n v="710.58966184117912"/>
    <n v="578.40563156436849"/>
    <n v="878.50603531919432"/>
    <n v="9"/>
    <n v="6395.3069565706119"/>
    <n v="5205.6506840793163"/>
    <n v="7906.5543178727494"/>
  </r>
  <r>
    <s v="TL175"/>
    <x v="23"/>
    <s v="May"/>
    <n v="3"/>
    <s v="C"/>
    <n v="1000"/>
    <n v="0.10117"/>
    <n v="0.10079"/>
    <n v="1.1820000000000001E-2"/>
    <n v="8.1309999999999993E-2"/>
    <n v="0.12106"/>
    <n v="10953.043037802479"/>
    <n v="1103.957207780112"/>
    <n v="890.59192940371952"/>
    <n v="1325.9753901563681"/>
    <n v="8.9"/>
    <n v="9825.2191492429974"/>
    <n v="7926.2681716931038"/>
    <n v="11801.180972391678"/>
  </r>
  <r>
    <s v="TL175"/>
    <x v="23"/>
    <s v="May"/>
    <n v="5"/>
    <s v="E"/>
    <n v="1000"/>
    <n v="1.4080751900000001E-2"/>
    <n v="1.3831902300000001E-2"/>
    <n v="1.8617944999999999E-3"/>
    <n v="1.1558901599999999E-2"/>
    <n v="1.7545522300000001E-2"/>
    <n v="13991.101427824766"/>
    <n v="193.52354801906267"/>
    <n v="161.72176467984596"/>
    <n v="245.48118210346129"/>
    <n v="11.3"/>
    <n v="2186.8160926154083"/>
    <n v="1827.4559408822595"/>
    <n v="2773.9373577691126"/>
  </r>
  <r>
    <s v="TL175"/>
    <x v="23"/>
    <s v="May"/>
    <n v="6"/>
    <s v="F"/>
    <n v="1000"/>
    <n v="0.76379867960000003"/>
    <n v="0.70210383430000001"/>
    <n v="0.1855337161"/>
    <n v="0.57864943349999998"/>
    <n v="1.1623997226"/>
    <n v="6966.102651973556"/>
    <n v="4890.9273820780318"/>
    <n v="4030.9313532673459"/>
    <n v="8097.3957902571856"/>
    <n v="7.2"/>
    <n v="35214.677150961827"/>
    <n v="29022.70574352489"/>
    <n v="58301.249689851735"/>
  </r>
  <r>
    <s v="TL175"/>
    <x v="23"/>
    <s v="May"/>
    <n v="7"/>
    <s v="G"/>
    <n v="1000"/>
    <n v="0.20223556200000001"/>
    <n v="0.1407502612"/>
    <n v="0.17999255929999999"/>
    <n v="2.3923264400000002E-2"/>
    <n v="0.58679626519999994"/>
    <n v="2532.5333267390947"/>
    <n v="356.45472723623254"/>
    <n v="60.586464377390953"/>
    <n v="1486.081097625032"/>
    <n v="7.2"/>
    <n v="2566.4740361008744"/>
    <n v="436.22254351721489"/>
    <n v="10699.783902900232"/>
  </r>
  <r>
    <s v="TL175"/>
    <x v="23"/>
    <s v="May"/>
    <n v="8"/>
    <s v="H"/>
    <n v="1000"/>
    <n v="0.344434132"/>
    <n v="0.34397488510000002"/>
    <n v="2.0829076700000001E-2"/>
    <n v="0.3099412842"/>
    <n v="0.37851072590000001"/>
    <n v="13775.148973606703"/>
    <n v="4738.3052854317493"/>
    <n v="4269.4873629259737"/>
    <n v="5214.0416373805137"/>
    <n v="7.85"/>
    <n v="37195.696490639231"/>
    <n v="33515.475798968895"/>
    <n v="40930.226853437031"/>
  </r>
  <r>
    <s v="TL175"/>
    <x v="23"/>
    <s v="May"/>
    <n v="9"/>
    <s v="I"/>
    <n v="1000"/>
    <n v="0.1137164739"/>
    <n v="0.10636037800000001"/>
    <n v="3.9028996500000003E-2"/>
    <n v="6.3009203499999999E-2"/>
    <n v="0.1897422634"/>
    <n v="5560.7756961151099"/>
    <n v="591.44620501201621"/>
    <n v="350.38004745437109"/>
    <n v="1055.1141668405915"/>
    <n v="8.9600000000000009"/>
    <n v="5299.3579969076654"/>
    <n v="3139.4052251911653"/>
    <n v="9453.8229348917012"/>
  </r>
  <r>
    <s v="TL175"/>
    <x v="23"/>
    <s v="May"/>
    <n v="10"/>
    <s v="J"/>
    <n v="1000"/>
    <n v="0.51812672410000005"/>
    <n v="0.51509863379999998"/>
    <n v="3.19288707E-2"/>
    <n v="0.47024208360000003"/>
    <n v="0.57438204550000005"/>
    <n v="10828.706776282988"/>
    <n v="5577.8520662841693"/>
    <n v="5092.1136371727516"/>
    <n v="6219.8147482811346"/>
    <n v="9.9"/>
    <n v="55220.735456213275"/>
    <n v="50411.925008010243"/>
    <n v="61576.166007983236"/>
  </r>
  <r>
    <s v="TL175"/>
    <x v="23"/>
    <s v="May"/>
    <n v="11"/>
    <s v="K"/>
    <n v="1000"/>
    <n v="1.8744109700000001E-2"/>
    <n v="1.52950207E-2"/>
    <n v="1.15741344E-2"/>
    <n v="5.3471059000000003E-3"/>
    <n v="4.1169175699999998E-2"/>
    <n v="11753.048720473937"/>
    <n v="179.76312346775737"/>
    <n v="62.844796156233642"/>
    <n v="483.86332778385167"/>
    <n v="9.6999999999999993"/>
    <n v="1743.7022976372464"/>
    <n v="609.59452271546627"/>
    <n v="4693.4742795033608"/>
  </r>
  <r>
    <s v="TL175"/>
    <x v="23"/>
    <s v="May"/>
    <n v="12"/>
    <s v="L"/>
    <n v="1000"/>
    <n v="0"/>
    <n v="0"/>
    <n v="0"/>
    <n v="0"/>
    <n v="0"/>
    <n v="30959.729118353116"/>
    <n v="0"/>
    <n v="0"/>
    <n v="0"/>
    <n v="14"/>
    <n v="0"/>
    <n v="0"/>
    <n v="0"/>
  </r>
  <r>
    <s v="TL175"/>
    <x v="23"/>
    <s v="May"/>
    <n v="13"/>
    <s v="M"/>
    <n v="1000"/>
    <n v="3.0344606100000001E-2"/>
    <n v="2.80668718E-2"/>
    <n v="7.4053458999999997E-3"/>
    <n v="2.32772043E-2"/>
    <n v="4.7894454199999999E-2"/>
    <n v="5410.2633795388801"/>
    <n v="151.84916867775249"/>
    <n v="125.93580600233496"/>
    <n v="259.12161164126212"/>
    <n v="13"/>
    <n v="1974.0391928107824"/>
    <n v="1637.1654780303545"/>
    <n v="3368.5809513364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J1:AR16" firstHeaderRow="1" firstDataRow="2" firstDataCol="1"/>
  <pivotFields count="6">
    <pivotField axis="axisCol" compact="0" outline="0" subtotalTop="0" showAll="0" includeNewItemsInFilter="1">
      <items count="27">
        <item h="1" x="16"/>
        <item h="1" x="17"/>
        <item h="1" x="18"/>
        <item h="1" x="19"/>
        <item h="1" x="20"/>
        <item h="1" x="21"/>
        <item h="1" x="0"/>
        <item h="1" x="1"/>
        <item h="1" x="2"/>
        <item h="1" x="3"/>
        <item h="1" x="4"/>
        <item h="1" x="22"/>
        <item h="1" x="23"/>
        <item h="1" x="24"/>
        <item h="1" x="5"/>
        <item h="1" x="25"/>
        <item h="1" x="6"/>
        <item h="1" x="7"/>
        <item x="8"/>
        <item x="9"/>
        <item x="11"/>
        <item x="12"/>
        <item x="13"/>
        <item x="14"/>
        <item x="15"/>
        <item h="1"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8"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mean" fld="5" subtotal="average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4" asteriskTotals="1" showItems="0" showMultipleLabel="0" showMemberPropertyTips="0" useAutoFormatting="1" rowGrandTotals="0" itemPrintTitles="1" indent="0" compact="0" compactData="0" gridDropZones="1">
  <location ref="A1:H33" firstHeaderRow="1" firstDataRow="2" firstDataCol="1"/>
  <pivotFields count="18">
    <pivotField axis="axisRow" compact="0" outline="0" subtotalTop="0" showAll="0" includeNewItemsInFilter="1">
      <items count="34">
        <item x="20"/>
        <item x="21"/>
        <item x="22"/>
        <item x="23"/>
        <item x="24"/>
        <item x="25"/>
        <item x="0"/>
        <item x="1"/>
        <item x="2"/>
        <item x="3"/>
        <item x="4"/>
        <item x="26"/>
        <item x="27"/>
        <item x="28"/>
        <item x="5"/>
        <item x="29"/>
        <item x="30"/>
        <item x="6"/>
        <item x="7"/>
        <item x="8"/>
        <item x="9"/>
        <item x="11"/>
        <item x="12"/>
        <item x="13"/>
        <item h="1" x="10"/>
        <item x="31"/>
        <item x="14"/>
        <item x="15"/>
        <item x="16"/>
        <item m="1" x="32"/>
        <item x="17"/>
        <item x="18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0"/>
    </i>
    <i>
      <x v="31"/>
    </i>
    <i>
      <x v="3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NUMBERS (millions)" fld="11" baseField="0" baseItem="0" numFmtId="1"/>
    <dataField name="Sum of lower" fld="12" baseField="0" baseItem="0" numFmtId="1"/>
    <dataField name="Sum of upper" fld="13" baseField="0" baseItem="0" numFmtId="1"/>
    <dataField name="Sum of Biomass (tons)" fld="15" baseField="0" baseItem="0" numFmtId="1"/>
    <dataField name="Sum of Biomass lwr" fld="16" baseField="0" baseItem="0" numFmtId="1"/>
    <dataField name="Sum of Biomass upper" fld="17" baseField="0" baseItem="0" numFmtId="1"/>
    <dataField name="Sum of km2 (thousands)" fld="10" baseField="0" baseItem="0"/>
  </dataFields>
  <formats count="3">
    <format dxfId="7">
      <pivotArea outline="0" fieldPosition="0">
        <references count="2">
          <reference field="4294967294" count="1" selected="0">
            <x v="6"/>
          </reference>
          <reference field="0" count="22" selected="0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6">
      <pivotArea outline="0" fieldPosition="0">
        <references count="2">
          <reference field="4294967294" count="1" selected="0">
            <x v="6"/>
          </reference>
          <reference field="0" count="4" selected="0">
            <x v="28"/>
            <x v="30"/>
            <x v="31"/>
            <x v="32"/>
          </reference>
        </references>
      </pivotArea>
    </format>
    <format dxfId="5">
      <pivotArea outline="0" fieldPosition="0">
        <references count="1">
          <reference field="4294967294" count="6" selected="0">
            <x v="0"/>
            <x v="1"/>
            <x v="2"/>
            <x v="3"/>
            <x v="4"/>
            <x v="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3:H28" firstHeaderRow="1" firstDataRow="2" firstDataCol="1"/>
  <pivotFields count="19">
    <pivotField compact="0" outline="0" subtotalTop="0" showAll="0" includeNewItemsInFilter="1"/>
    <pivotField axis="axisRow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h="1" x="10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NUMBERS (millions)" fld="12" baseField="0" baseItem="0"/>
    <dataField name="Sum of lower" fld="13" baseField="0" baseItem="0"/>
    <dataField name="Sum of upper" fld="14" baseField="0" baseItem="0"/>
    <dataField name="Sum of Biomass (tons)" fld="16" baseField="0" baseItem="0"/>
    <dataField name="Sum of Biomass lwr" fld="17" baseField="0" baseItem="0"/>
    <dataField name="Sum of Biomass upper" fld="18" baseField="0" baseItem="0"/>
    <dataField name="Sum of km2 (thousands)" fld="11" baseField="0" baseItem="0"/>
  </dataFields>
  <formats count="4">
    <format dxfId="4">
      <pivotArea outline="0" fieldPosition="0"/>
    </format>
    <format dxfId="3">
      <pivotArea field="-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4" indent="0" compact="0" compactData="0" gridDropZones="1" chartFormat="1">
  <location ref="A2:N30" firstHeaderRow="1" firstDataRow="2" firstDataCol="1"/>
  <pivotFields count="1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7"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  <item x="1"/>
        <item x="2"/>
        <item x="3"/>
        <item x="4"/>
        <item x="5"/>
        <item x="21"/>
        <item x="6"/>
        <item x="7"/>
        <item x="8"/>
        <item x="9"/>
        <item x="22"/>
        <item x="23"/>
        <item x="24"/>
        <item x="25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NUMBERS (millions)" fld="13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3:I23" firstHeaderRow="1" firstDataRow="1" firstDataCol="1" rowPageCount="1" colPageCount="1"/>
  <pivotFields count="5">
    <pivotField axis="axisRow" showAll="0">
      <items count="38">
        <item h="1" x="0"/>
        <item h="1" x="1"/>
        <item h="1" x="2"/>
        <item h="1" x="3"/>
        <item h="1"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t="default"/>
      </items>
    </pivotField>
    <pivotField showAll="0"/>
    <pivotField multipleItemSelectionAllowed="1" showAll="0"/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2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3" hier="-1"/>
  </pageFields>
  <dataFields count="1">
    <dataField name="Sum of Biomass (ton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Relationship Id="rId4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4"/>
  <sheetViews>
    <sheetView zoomScale="75" workbookViewId="0">
      <selection activeCell="G1" sqref="G1:AG16"/>
    </sheetView>
  </sheetViews>
  <sheetFormatPr defaultColWidth="9.109375" defaultRowHeight="13.2" x14ac:dyDescent="0.25"/>
  <cols>
    <col min="1" max="6" width="9.109375" style="64"/>
    <col min="7" max="7" width="3" style="64" customWidth="1"/>
    <col min="8" max="12" width="4.5546875" style="64" customWidth="1"/>
    <col min="13" max="15" width="1.44140625" style="64" customWidth="1"/>
    <col min="16" max="16" width="4.33203125" style="64" customWidth="1"/>
    <col min="17" max="18" width="1.33203125" style="64" customWidth="1"/>
    <col min="19" max="25" width="5" style="64" customWidth="1"/>
    <col min="26" max="26" width="1.33203125" style="64" customWidth="1"/>
    <col min="27" max="32" width="4.88671875" style="64" customWidth="1"/>
    <col min="33" max="33" width="5.6640625" style="64" customWidth="1"/>
    <col min="34" max="34" width="11.109375" style="64" customWidth="1"/>
    <col min="35" max="35" width="12" style="64" bestFit="1" customWidth="1"/>
    <col min="36" max="36" width="15.109375" style="64" customWidth="1"/>
    <col min="37" max="59" width="12" style="64" bestFit="1" customWidth="1"/>
    <col min="60" max="16384" width="9.109375" style="64"/>
  </cols>
  <sheetData>
    <row r="1" spans="1:63" ht="18" x14ac:dyDescent="0.35">
      <c r="A1" s="64" t="s">
        <v>66</v>
      </c>
      <c r="B1" s="64" t="s">
        <v>114</v>
      </c>
      <c r="C1" s="64" t="s">
        <v>115</v>
      </c>
      <c r="D1" s="82" t="s">
        <v>119</v>
      </c>
      <c r="E1" s="82"/>
      <c r="F1" s="82"/>
      <c r="G1" s="93" t="s">
        <v>139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9" t="s">
        <v>116</v>
      </c>
      <c r="AJ1" s="34" t="s">
        <v>118</v>
      </c>
      <c r="AK1" s="34" t="s">
        <v>21</v>
      </c>
      <c r="AL1" s="35"/>
      <c r="AM1" s="35"/>
      <c r="AN1" s="35"/>
      <c r="AO1" s="35"/>
      <c r="AP1" s="35"/>
      <c r="AQ1" s="35"/>
      <c r="AR1" s="36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x14ac:dyDescent="0.25">
      <c r="A2">
        <v>1988</v>
      </c>
      <c r="B2" s="4" t="s">
        <v>7</v>
      </c>
      <c r="C2">
        <v>3</v>
      </c>
      <c r="D2" s="9">
        <v>10715</v>
      </c>
      <c r="E2" s="9"/>
      <c r="F2" s="9"/>
      <c r="G2" s="28"/>
      <c r="H2" s="74">
        <v>1988</v>
      </c>
      <c r="I2" s="74">
        <v>1989</v>
      </c>
      <c r="J2" s="28">
        <v>1990</v>
      </c>
      <c r="K2" s="74">
        <v>1991</v>
      </c>
      <c r="L2" s="74">
        <v>1992</v>
      </c>
      <c r="M2" s="28">
        <v>1993</v>
      </c>
      <c r="N2" s="74">
        <v>1994</v>
      </c>
      <c r="O2" s="74">
        <v>1995</v>
      </c>
      <c r="P2" s="28">
        <v>1996</v>
      </c>
      <c r="Q2" s="74">
        <v>1997</v>
      </c>
      <c r="R2" s="74">
        <v>1998</v>
      </c>
      <c r="S2" s="28">
        <v>1999</v>
      </c>
      <c r="T2" s="74">
        <v>2000</v>
      </c>
      <c r="U2" s="74">
        <v>2001</v>
      </c>
      <c r="V2" s="28">
        <v>2002</v>
      </c>
      <c r="W2" s="74">
        <v>2003</v>
      </c>
      <c r="X2" s="74">
        <v>2004</v>
      </c>
      <c r="Y2" s="28">
        <v>2005</v>
      </c>
      <c r="Z2" s="74">
        <v>2006</v>
      </c>
      <c r="AA2" s="74">
        <v>2007</v>
      </c>
      <c r="AB2" s="28">
        <v>2008</v>
      </c>
      <c r="AC2" s="28">
        <v>2009</v>
      </c>
      <c r="AD2" s="28">
        <v>2010</v>
      </c>
      <c r="AE2" s="28">
        <v>2011</v>
      </c>
      <c r="AF2" s="28">
        <v>2012</v>
      </c>
      <c r="AG2" s="89" t="s">
        <v>123</v>
      </c>
      <c r="AH2" s="82"/>
      <c r="AJ2" s="34" t="s">
        <v>20</v>
      </c>
      <c r="AK2" s="5">
        <v>2001</v>
      </c>
      <c r="AL2" s="7">
        <v>2002</v>
      </c>
      <c r="AM2" s="7">
        <v>2003</v>
      </c>
      <c r="AN2" s="7">
        <v>2004</v>
      </c>
      <c r="AO2" s="7">
        <v>2005</v>
      </c>
      <c r="AP2" s="7">
        <v>2007</v>
      </c>
      <c r="AQ2" s="7">
        <v>2008</v>
      </c>
      <c r="AR2" s="66" t="s">
        <v>28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x14ac:dyDescent="0.25">
      <c r="A3">
        <v>1988</v>
      </c>
      <c r="B3" s="4" t="s">
        <v>8</v>
      </c>
      <c r="C3">
        <v>2</v>
      </c>
      <c r="D3" s="9">
        <v>19686</v>
      </c>
      <c r="E3" s="9"/>
      <c r="F3" s="9"/>
      <c r="G3" s="28" t="s">
        <v>7</v>
      </c>
      <c r="H3" s="75"/>
      <c r="I3" s="76"/>
      <c r="J3" s="76"/>
      <c r="K3" s="76"/>
      <c r="L3" s="76"/>
      <c r="M3" s="80"/>
      <c r="N3" s="80"/>
      <c r="O3" s="80"/>
      <c r="P3" s="77"/>
      <c r="Q3" s="80"/>
      <c r="R3" s="80"/>
      <c r="S3" s="79"/>
      <c r="T3" s="77"/>
      <c r="U3" s="77"/>
      <c r="V3" s="77"/>
      <c r="W3" s="79"/>
      <c r="X3" s="77"/>
      <c r="Y3" s="77"/>
      <c r="Z3" s="80"/>
      <c r="AA3" s="77"/>
      <c r="AB3" s="77"/>
      <c r="AC3" s="77"/>
      <c r="AD3" s="77"/>
      <c r="AE3" s="77"/>
      <c r="AF3" s="77"/>
      <c r="AG3" s="89" t="s">
        <v>117</v>
      </c>
      <c r="AJ3" s="5" t="s">
        <v>7</v>
      </c>
      <c r="AK3" s="37">
        <v>5.8622268121275353E-3</v>
      </c>
      <c r="AL3" s="38">
        <v>6.7286033629636961E-3</v>
      </c>
      <c r="AM3" s="38"/>
      <c r="AN3" s="38">
        <v>4.0619747694862268E-3</v>
      </c>
      <c r="AO3" s="38">
        <v>0.15190086662369928</v>
      </c>
      <c r="AP3" s="38">
        <v>7.8052971045370165E-2</v>
      </c>
      <c r="AQ3" s="38">
        <v>0.19136102721490633</v>
      </c>
      <c r="AR3" s="67">
        <v>7.2994611638092205E-2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x14ac:dyDescent="0.25">
      <c r="A4">
        <v>1988</v>
      </c>
      <c r="B4" s="4" t="s">
        <v>9</v>
      </c>
      <c r="C4">
        <v>4</v>
      </c>
      <c r="D4" s="9">
        <v>10897</v>
      </c>
      <c r="E4" s="9"/>
      <c r="F4" s="9"/>
      <c r="G4" s="28" t="s">
        <v>8</v>
      </c>
      <c r="H4" s="76"/>
      <c r="I4" s="76"/>
      <c r="J4" s="76"/>
      <c r="K4" s="75"/>
      <c r="L4" s="76"/>
      <c r="M4" s="80"/>
      <c r="N4" s="80"/>
      <c r="O4" s="80"/>
      <c r="P4" s="77"/>
      <c r="Q4" s="80"/>
      <c r="R4" s="80"/>
      <c r="S4" s="77"/>
      <c r="T4" s="75"/>
      <c r="U4" s="77"/>
      <c r="V4" s="77"/>
      <c r="W4" s="77"/>
      <c r="X4" s="77"/>
      <c r="Y4" s="77"/>
      <c r="Z4" s="80"/>
      <c r="AA4" s="77"/>
      <c r="AB4" s="77"/>
      <c r="AC4" s="77"/>
      <c r="AD4" s="77"/>
      <c r="AE4" s="77"/>
      <c r="AF4" s="77"/>
      <c r="AG4" s="89" t="s">
        <v>117</v>
      </c>
      <c r="AJ4" s="6" t="s">
        <v>8</v>
      </c>
      <c r="AK4" s="39">
        <v>1.5184562548149906E-2</v>
      </c>
      <c r="AL4" s="40">
        <v>1.7034098755724123E-2</v>
      </c>
      <c r="AM4" s="40">
        <v>0.15121700355972029</v>
      </c>
      <c r="AN4" s="40">
        <v>0.23055732501273593</v>
      </c>
      <c r="AO4" s="40">
        <v>1.6637451549716897E-3</v>
      </c>
      <c r="AP4" s="40">
        <v>0.61643789225818235</v>
      </c>
      <c r="AQ4" s="40">
        <v>0.46761530615591929</v>
      </c>
      <c r="AR4" s="68">
        <v>0.2142442762064862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5">
      <c r="A5">
        <v>1988</v>
      </c>
      <c r="B5" s="4" t="s">
        <v>10</v>
      </c>
      <c r="C5">
        <v>1</v>
      </c>
      <c r="D5" s="9">
        <v>28029</v>
      </c>
      <c r="E5" s="9"/>
      <c r="F5" s="9"/>
      <c r="G5" s="28" t="s">
        <v>9</v>
      </c>
      <c r="H5" s="76"/>
      <c r="I5" s="76"/>
      <c r="J5" s="76"/>
      <c r="K5" s="78"/>
      <c r="L5" s="76"/>
      <c r="M5" s="80"/>
      <c r="N5" s="80"/>
      <c r="O5" s="80"/>
      <c r="P5" s="77"/>
      <c r="Q5" s="80"/>
      <c r="R5" s="80"/>
      <c r="S5" s="75"/>
      <c r="T5" s="77"/>
      <c r="U5" s="77"/>
      <c r="V5" s="77"/>
      <c r="W5" s="77"/>
      <c r="X5" s="77"/>
      <c r="Y5" s="77"/>
      <c r="Z5" s="80"/>
      <c r="AA5" s="79"/>
      <c r="AB5" s="77"/>
      <c r="AC5" s="77"/>
      <c r="AD5" s="77"/>
      <c r="AE5" s="77"/>
      <c r="AF5" s="77"/>
      <c r="AG5" s="89" t="s">
        <v>117</v>
      </c>
      <c r="AJ5" s="6" t="s">
        <v>9</v>
      </c>
      <c r="AK5" s="39">
        <v>0.52584448887725721</v>
      </c>
      <c r="AL5" s="40">
        <v>0.15637788808116776</v>
      </c>
      <c r="AM5" s="40">
        <v>0.44316723881301839</v>
      </c>
      <c r="AN5" s="40">
        <v>0.48858352211529038</v>
      </c>
      <c r="AO5" s="40">
        <v>0.16207951885731939</v>
      </c>
      <c r="AP5" s="40">
        <v>0.33087802059523863</v>
      </c>
      <c r="AQ5" s="40">
        <v>0.8354649724626072</v>
      </c>
      <c r="AR5" s="68">
        <v>0.42034223568598555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5">
      <c r="A6" s="55">
        <v>1989</v>
      </c>
      <c r="B6" s="58" t="s">
        <v>7</v>
      </c>
      <c r="C6" s="55">
        <v>2</v>
      </c>
      <c r="D6" s="59">
        <f>35*375.3</f>
        <v>13135.5</v>
      </c>
      <c r="E6" s="59"/>
      <c r="F6" s="59"/>
      <c r="G6" s="28" t="s">
        <v>10</v>
      </c>
      <c r="H6" s="78"/>
      <c r="I6" s="78"/>
      <c r="J6" s="78"/>
      <c r="K6" s="78"/>
      <c r="L6" s="78"/>
      <c r="M6" s="80"/>
      <c r="N6" s="80"/>
      <c r="O6" s="80"/>
      <c r="P6" s="79"/>
      <c r="Q6" s="80"/>
      <c r="R6" s="80"/>
      <c r="S6" s="79"/>
      <c r="T6" s="79"/>
      <c r="U6" s="79"/>
      <c r="V6" s="79"/>
      <c r="W6" s="79"/>
      <c r="X6" s="77"/>
      <c r="Y6" s="79"/>
      <c r="Z6" s="80"/>
      <c r="AA6" s="79"/>
      <c r="AB6" s="79"/>
      <c r="AC6" s="79"/>
      <c r="AD6" s="79"/>
      <c r="AE6" s="79"/>
      <c r="AF6" s="79"/>
      <c r="AG6" s="89"/>
      <c r="AJ6" s="6" t="s">
        <v>10</v>
      </c>
      <c r="AK6" s="39">
        <v>0.11560276701427423</v>
      </c>
      <c r="AL6" s="40"/>
      <c r="AM6" s="40"/>
      <c r="AN6" s="40">
        <v>0.11522592139256951</v>
      </c>
      <c r="AO6" s="40"/>
      <c r="AP6" s="40"/>
      <c r="AQ6" s="40">
        <v>0.10995052790905452</v>
      </c>
      <c r="AR6" s="68">
        <v>0.11359307210529941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5">
      <c r="A7" s="55">
        <v>1989</v>
      </c>
      <c r="B7" s="58" t="s">
        <v>8</v>
      </c>
      <c r="C7" s="55">
        <v>4</v>
      </c>
      <c r="D7" s="59">
        <f>30*379</f>
        <v>11370</v>
      </c>
      <c r="E7" s="59"/>
      <c r="F7" s="59"/>
      <c r="G7" s="28" t="s">
        <v>11</v>
      </c>
      <c r="H7" s="78"/>
      <c r="I7" s="78"/>
      <c r="J7" s="78"/>
      <c r="K7" s="78"/>
      <c r="L7" s="78"/>
      <c r="M7" s="80"/>
      <c r="N7" s="80"/>
      <c r="O7" s="80"/>
      <c r="P7" s="77"/>
      <c r="Q7" s="80"/>
      <c r="R7" s="80"/>
      <c r="S7" s="75"/>
      <c r="T7" s="75"/>
      <c r="U7" s="77"/>
      <c r="V7" s="77"/>
      <c r="W7" s="77"/>
      <c r="X7" s="77"/>
      <c r="Y7" s="77"/>
      <c r="Z7" s="80"/>
      <c r="AA7" s="75"/>
      <c r="AB7" s="77"/>
      <c r="AC7" s="77"/>
      <c r="AD7" s="77"/>
      <c r="AE7" s="77"/>
      <c r="AF7" s="77"/>
      <c r="AG7" s="89" t="s">
        <v>117</v>
      </c>
      <c r="AI7" s="83"/>
      <c r="AJ7" s="73" t="s">
        <v>11</v>
      </c>
      <c r="AK7" s="39">
        <v>0.13958515751941605</v>
      </c>
      <c r="AL7" s="40">
        <v>9.9051799515496211E-2</v>
      </c>
      <c r="AM7" s="40">
        <v>8.9396778957507764E-2</v>
      </c>
      <c r="AN7" s="40">
        <v>6.28637965272687E-2</v>
      </c>
      <c r="AO7" s="40">
        <v>0.18518327848590674</v>
      </c>
      <c r="AP7" s="40">
        <v>0.50330761414107461</v>
      </c>
      <c r="AQ7" s="40">
        <v>0.1903975953394903</v>
      </c>
      <c r="AR7" s="68">
        <v>0.18139800292659433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5">
      <c r="A8" s="55">
        <v>1989</v>
      </c>
      <c r="B8" s="58" t="s">
        <v>9</v>
      </c>
      <c r="C8" s="55">
        <v>3</v>
      </c>
      <c r="D8" s="59">
        <f>30*429.1</f>
        <v>12873</v>
      </c>
      <c r="E8" s="59"/>
      <c r="F8" s="59"/>
      <c r="G8" s="28" t="s">
        <v>12</v>
      </c>
      <c r="H8" s="75"/>
      <c r="I8" s="76"/>
      <c r="J8" s="75"/>
      <c r="K8" s="78"/>
      <c r="L8" s="75"/>
      <c r="M8" s="80"/>
      <c r="N8" s="80"/>
      <c r="O8" s="80"/>
      <c r="P8" s="77"/>
      <c r="Q8" s="80"/>
      <c r="R8" s="80"/>
      <c r="S8" s="77"/>
      <c r="T8" s="77"/>
      <c r="U8" s="77"/>
      <c r="V8" s="77"/>
      <c r="W8" s="77"/>
      <c r="X8" s="77"/>
      <c r="Y8" s="77"/>
      <c r="Z8" s="80"/>
      <c r="AA8" s="77"/>
      <c r="AB8" s="77"/>
      <c r="AC8" s="77"/>
      <c r="AD8" s="77"/>
      <c r="AE8" s="77"/>
      <c r="AF8" s="77"/>
      <c r="AG8" s="89" t="s">
        <v>117</v>
      </c>
      <c r="AJ8" s="6" t="s">
        <v>12</v>
      </c>
      <c r="AK8" s="39">
        <v>2.9209475275453943E-2</v>
      </c>
      <c r="AL8" s="40">
        <v>4.8179383564428073E-2</v>
      </c>
      <c r="AM8" s="40">
        <v>8.3374207940841369E-2</v>
      </c>
      <c r="AN8" s="40">
        <v>0.2296340281408141</v>
      </c>
      <c r="AO8" s="40">
        <v>0.11291222360936216</v>
      </c>
      <c r="AP8" s="40">
        <v>0.64233319478569773</v>
      </c>
      <c r="AQ8" s="40">
        <v>0.14320121455690349</v>
      </c>
      <c r="AR8" s="68">
        <v>0.18412053255335725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5">
      <c r="A9" s="55">
        <v>1989</v>
      </c>
      <c r="B9" s="58" t="s">
        <v>10</v>
      </c>
      <c r="C9" s="55">
        <v>1</v>
      </c>
      <c r="D9" s="59">
        <f>30*363.2</f>
        <v>10896</v>
      </c>
      <c r="E9" s="59"/>
      <c r="F9" s="59"/>
      <c r="G9" s="28" t="s">
        <v>13</v>
      </c>
      <c r="H9" s="78"/>
      <c r="I9" s="75"/>
      <c r="J9" s="78"/>
      <c r="K9" s="78"/>
      <c r="L9" s="78"/>
      <c r="M9" s="80"/>
      <c r="N9" s="80"/>
      <c r="O9" s="80"/>
      <c r="P9" s="77"/>
      <c r="Q9" s="80"/>
      <c r="R9" s="80"/>
      <c r="S9" s="77"/>
      <c r="T9" s="77"/>
      <c r="U9" s="77"/>
      <c r="V9" s="77"/>
      <c r="W9" s="77"/>
      <c r="X9" s="77"/>
      <c r="Y9" s="77"/>
      <c r="Z9" s="80"/>
      <c r="AA9" s="77"/>
      <c r="AB9" s="77"/>
      <c r="AC9" s="77"/>
      <c r="AD9" s="77"/>
      <c r="AE9" s="77"/>
      <c r="AF9" s="77"/>
      <c r="AG9" s="89" t="s">
        <v>117</v>
      </c>
      <c r="AJ9" s="6" t="s">
        <v>13</v>
      </c>
      <c r="AK9" s="39">
        <v>1.3003348687654239E-2</v>
      </c>
      <c r="AL9" s="40">
        <v>4.5520943490250147E-2</v>
      </c>
      <c r="AM9" s="40">
        <v>5.6304687703999691E-2</v>
      </c>
      <c r="AN9" s="40">
        <v>1.4682866892843404E-2</v>
      </c>
      <c r="AO9" s="40">
        <v>3.4749660038418215E-2</v>
      </c>
      <c r="AP9" s="40">
        <v>1.4204472062771012</v>
      </c>
      <c r="AQ9" s="40">
        <v>4.1690264776408012E-2</v>
      </c>
      <c r="AR9" s="68">
        <v>0.23234271112381069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5">
      <c r="A10" s="55">
        <v>1989</v>
      </c>
      <c r="B10" s="58" t="s">
        <v>11</v>
      </c>
      <c r="C10" s="55">
        <v>5</v>
      </c>
      <c r="D10" s="59">
        <f>30*322.1</f>
        <v>9663</v>
      </c>
      <c r="E10" s="59"/>
      <c r="F10" s="59"/>
      <c r="G10" s="28" t="s">
        <v>14</v>
      </c>
      <c r="H10" s="76"/>
      <c r="I10" s="76"/>
      <c r="J10" s="76"/>
      <c r="K10" s="75"/>
      <c r="L10" s="76"/>
      <c r="M10" s="80"/>
      <c r="N10" s="80"/>
      <c r="O10" s="80"/>
      <c r="P10" s="77"/>
      <c r="Q10" s="80"/>
      <c r="R10" s="80"/>
      <c r="S10" s="77"/>
      <c r="T10" s="75"/>
      <c r="U10" s="77"/>
      <c r="V10" s="77"/>
      <c r="W10" s="77"/>
      <c r="X10" s="77"/>
      <c r="Y10" s="75"/>
      <c r="Z10" s="80"/>
      <c r="AA10" s="77"/>
      <c r="AB10" s="77"/>
      <c r="AC10" s="77"/>
      <c r="AD10" s="77"/>
      <c r="AE10" s="77"/>
      <c r="AF10" s="77"/>
      <c r="AG10" s="89" t="s">
        <v>117</v>
      </c>
      <c r="AJ10" s="6" t="s">
        <v>14</v>
      </c>
      <c r="AK10" s="39">
        <v>2.8853490071401307E-2</v>
      </c>
      <c r="AL10" s="40">
        <v>2.8372660377824623E-2</v>
      </c>
      <c r="AM10" s="40">
        <v>3.5582634195367412E-2</v>
      </c>
      <c r="AN10" s="40">
        <v>1.286660968187384E-2</v>
      </c>
      <c r="AO10" s="40">
        <v>3.7793398987877747E-3</v>
      </c>
      <c r="AP10" s="40">
        <v>0.25700896980312882</v>
      </c>
      <c r="AQ10" s="40">
        <v>1.0163269862964903</v>
      </c>
      <c r="AR10" s="68">
        <v>0.19754152718926773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5">
      <c r="A11" s="55">
        <v>1989</v>
      </c>
      <c r="B11" s="58" t="s">
        <v>12</v>
      </c>
      <c r="C11" s="55">
        <v>6</v>
      </c>
      <c r="D11" s="59">
        <f>30*275.2</f>
        <v>8256</v>
      </c>
      <c r="E11" s="59"/>
      <c r="F11" s="59"/>
      <c r="G11" s="28" t="s">
        <v>15</v>
      </c>
      <c r="H11" s="78"/>
      <c r="I11" s="78"/>
      <c r="J11" s="78"/>
      <c r="K11" s="78"/>
      <c r="L11" s="76"/>
      <c r="M11" s="80"/>
      <c r="N11" s="80"/>
      <c r="O11" s="80"/>
      <c r="P11" s="77"/>
      <c r="Q11" s="80"/>
      <c r="R11" s="80"/>
      <c r="S11" s="75"/>
      <c r="T11" s="77"/>
      <c r="U11" s="75"/>
      <c r="V11" s="77"/>
      <c r="W11" s="79"/>
      <c r="X11" s="77"/>
      <c r="Y11" s="79"/>
      <c r="Z11" s="80"/>
      <c r="AA11" s="77"/>
      <c r="AB11" s="77"/>
      <c r="AC11" s="77"/>
      <c r="AD11" s="77"/>
      <c r="AE11" s="77"/>
      <c r="AF11" s="77"/>
      <c r="AG11" s="89" t="s">
        <v>117</v>
      </c>
      <c r="AJ11" s="6" t="s">
        <v>15</v>
      </c>
      <c r="AK11" s="39">
        <v>6.3344536944064361E-2</v>
      </c>
      <c r="AL11" s="40">
        <v>6.6113801044227719E-2</v>
      </c>
      <c r="AM11" s="40">
        <v>4.9987708054311325E-2</v>
      </c>
      <c r="AN11" s="40">
        <v>5.4564304416470193E-2</v>
      </c>
      <c r="AO11" s="40">
        <v>0.15209274533152795</v>
      </c>
      <c r="AP11" s="40">
        <v>0.26815613819125234</v>
      </c>
      <c r="AQ11" s="40">
        <v>9.4950529795357549E-2</v>
      </c>
      <c r="AR11" s="68">
        <v>0.10702996625388735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5">
      <c r="A12">
        <v>1990</v>
      </c>
      <c r="B12" s="4" t="s">
        <v>7</v>
      </c>
      <c r="C12">
        <v>3</v>
      </c>
      <c r="D12" s="9">
        <f>35*409.2</f>
        <v>14322</v>
      </c>
      <c r="E12" s="9"/>
      <c r="F12" s="9"/>
      <c r="G12" s="28" t="s">
        <v>16</v>
      </c>
      <c r="H12" s="78"/>
      <c r="I12" s="78"/>
      <c r="J12" s="78"/>
      <c r="K12" s="78"/>
      <c r="L12" s="76"/>
      <c r="M12" s="80"/>
      <c r="N12" s="80"/>
      <c r="O12" s="80"/>
      <c r="P12" s="77"/>
      <c r="Q12" s="80"/>
      <c r="R12" s="80"/>
      <c r="S12" s="75"/>
      <c r="T12" s="77"/>
      <c r="U12" s="75"/>
      <c r="V12" s="77"/>
      <c r="W12" s="79"/>
      <c r="X12" s="77"/>
      <c r="Y12" s="79"/>
      <c r="Z12" s="80"/>
      <c r="AA12" s="77"/>
      <c r="AB12" s="77"/>
      <c r="AC12" s="77"/>
      <c r="AD12" s="77"/>
      <c r="AE12" s="77"/>
      <c r="AF12" s="77"/>
      <c r="AG12" s="89" t="s">
        <v>117</v>
      </c>
      <c r="AJ12" s="6" t="s">
        <v>16</v>
      </c>
      <c r="AK12" s="39">
        <v>0.14903983196873805</v>
      </c>
      <c r="AL12" s="40">
        <v>0.16313012413424868</v>
      </c>
      <c r="AM12" s="40">
        <v>6.7005195365554437E-2</v>
      </c>
      <c r="AN12" s="40">
        <v>5.9437690542769324E-2</v>
      </c>
      <c r="AO12" s="40">
        <v>3.8103023458412488E-2</v>
      </c>
      <c r="AP12" s="40">
        <v>0.66065861146768179</v>
      </c>
      <c r="AQ12" s="40">
        <v>0.59617764859525579</v>
      </c>
      <c r="AR12" s="68">
        <v>0.24765030364752297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5">
      <c r="A13">
        <v>1990</v>
      </c>
      <c r="B13" s="4" t="s">
        <v>8</v>
      </c>
      <c r="C13">
        <v>4</v>
      </c>
      <c r="D13" s="9">
        <f>30*447.6</f>
        <v>13428</v>
      </c>
      <c r="E13" s="9"/>
      <c r="F13" s="9"/>
      <c r="G13" s="28" t="s">
        <v>17</v>
      </c>
      <c r="H13" s="78"/>
      <c r="I13" s="78"/>
      <c r="J13" s="78"/>
      <c r="K13" s="78"/>
      <c r="L13" s="78"/>
      <c r="M13" s="80"/>
      <c r="N13" s="80"/>
      <c r="O13" s="80"/>
      <c r="P13" s="77"/>
      <c r="Q13" s="80"/>
      <c r="R13" s="80"/>
      <c r="S13" s="79"/>
      <c r="T13" s="75"/>
      <c r="U13" s="79"/>
      <c r="V13" s="77"/>
      <c r="W13" s="79"/>
      <c r="X13" s="77"/>
      <c r="Y13" s="79"/>
      <c r="Z13" s="80"/>
      <c r="AA13" s="77"/>
      <c r="AB13" s="77"/>
      <c r="AC13" s="77"/>
      <c r="AD13" s="77"/>
      <c r="AE13" s="77"/>
      <c r="AF13" s="77"/>
      <c r="AG13" s="89"/>
      <c r="AJ13" s="6" t="s">
        <v>17</v>
      </c>
      <c r="AK13" s="39"/>
      <c r="AL13" s="40">
        <v>2.8599368926743285E-3</v>
      </c>
      <c r="AM13" s="40"/>
      <c r="AN13" s="40">
        <v>9.3607832857788421E-4</v>
      </c>
      <c r="AO13" s="40"/>
      <c r="AP13" s="40">
        <v>1.1058633415244061E-2</v>
      </c>
      <c r="AQ13" s="40">
        <v>2.019995509742371E-2</v>
      </c>
      <c r="AR13" s="68">
        <v>8.763650933479996E-3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5">
      <c r="A14">
        <v>1990</v>
      </c>
      <c r="B14" s="4" t="s">
        <v>9</v>
      </c>
      <c r="C14">
        <v>2</v>
      </c>
      <c r="D14" s="9">
        <f>30*429.1</f>
        <v>12873</v>
      </c>
      <c r="E14" s="9"/>
      <c r="F14" s="9"/>
      <c r="G14" s="28" t="s">
        <v>18</v>
      </c>
      <c r="H14" s="75"/>
      <c r="I14" s="78"/>
      <c r="J14" s="78"/>
      <c r="K14" s="78"/>
      <c r="L14" s="78"/>
      <c r="M14" s="80"/>
      <c r="N14" s="80"/>
      <c r="O14" s="80"/>
      <c r="P14" s="77"/>
      <c r="Q14" s="80"/>
      <c r="R14" s="80"/>
      <c r="S14" s="79"/>
      <c r="T14" s="77"/>
      <c r="U14" s="79"/>
      <c r="V14" s="77"/>
      <c r="W14" s="79"/>
      <c r="X14" s="79"/>
      <c r="Y14" s="79"/>
      <c r="Z14" s="80"/>
      <c r="AA14" s="77"/>
      <c r="AB14" s="77"/>
      <c r="AC14" s="77"/>
      <c r="AD14" s="77"/>
      <c r="AE14" s="77"/>
      <c r="AF14" s="77"/>
      <c r="AG14" s="74"/>
      <c r="AJ14" s="6" t="s">
        <v>18</v>
      </c>
      <c r="AK14" s="39"/>
      <c r="AL14" s="40">
        <v>5.1425398840402312E-4</v>
      </c>
      <c r="AM14" s="40"/>
      <c r="AN14" s="40"/>
      <c r="AO14" s="40">
        <v>2.2752905997190504E-2</v>
      </c>
      <c r="AP14" s="40">
        <v>9.9735670551059658E-4</v>
      </c>
      <c r="AQ14" s="40">
        <v>8.7704842948760617E-2</v>
      </c>
      <c r="AR14" s="68">
        <v>2.7992339909966434E-2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5">
      <c r="A15">
        <v>1990</v>
      </c>
      <c r="B15" s="4" t="s">
        <v>10</v>
      </c>
      <c r="C15">
        <v>1</v>
      </c>
      <c r="D15" s="9">
        <f>30*363.2</f>
        <v>10896</v>
      </c>
      <c r="E15" s="9"/>
      <c r="F15" s="9"/>
      <c r="G15" s="28" t="s">
        <v>19</v>
      </c>
      <c r="H15" s="78"/>
      <c r="I15" s="78"/>
      <c r="J15" s="78"/>
      <c r="K15" s="78"/>
      <c r="L15" s="78"/>
      <c r="M15" s="80"/>
      <c r="N15" s="80"/>
      <c r="O15" s="80"/>
      <c r="P15" s="78"/>
      <c r="Q15" s="80"/>
      <c r="R15" s="80"/>
      <c r="S15" s="79"/>
      <c r="T15" s="75"/>
      <c r="U15" s="77"/>
      <c r="V15" s="77"/>
      <c r="W15" s="77"/>
      <c r="X15" s="77"/>
      <c r="Y15" s="77"/>
      <c r="Z15" s="80"/>
      <c r="AA15" s="77"/>
      <c r="AB15" s="77"/>
      <c r="AC15" s="77"/>
      <c r="AD15" s="77"/>
      <c r="AE15" s="77"/>
      <c r="AF15" s="77"/>
      <c r="AG15" s="89" t="s">
        <v>117</v>
      </c>
      <c r="AJ15" s="6" t="s">
        <v>19</v>
      </c>
      <c r="AK15" s="39">
        <v>0.20314106352534064</v>
      </c>
      <c r="AL15" s="40">
        <v>3.0157177292140899E-2</v>
      </c>
      <c r="AM15" s="40"/>
      <c r="AN15" s="40">
        <v>2.2239278296399597E-2</v>
      </c>
      <c r="AO15" s="40">
        <v>8.3963286985296315E-3</v>
      </c>
      <c r="AP15" s="40">
        <v>0.59070833054405236</v>
      </c>
      <c r="AQ15" s="40">
        <v>0.26021794328337877</v>
      </c>
      <c r="AR15" s="68">
        <v>0.18581002027330698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5">
      <c r="A16">
        <v>1990</v>
      </c>
      <c r="B16" s="4" t="s">
        <v>11</v>
      </c>
      <c r="C16">
        <v>6</v>
      </c>
      <c r="D16" s="9">
        <f>30*319.7</f>
        <v>9591</v>
      </c>
      <c r="E16" s="9"/>
      <c r="F16" s="9"/>
      <c r="G16" s="28" t="s">
        <v>29</v>
      </c>
      <c r="H16" s="78"/>
      <c r="I16" s="78"/>
      <c r="J16" s="78"/>
      <c r="K16" s="78"/>
      <c r="L16" s="78"/>
      <c r="M16" s="81"/>
      <c r="N16" s="81"/>
      <c r="O16" s="81"/>
      <c r="P16" s="78"/>
      <c r="Q16" s="80"/>
      <c r="R16" s="80"/>
      <c r="S16" s="77"/>
      <c r="T16" s="77"/>
      <c r="U16" s="77"/>
      <c r="V16" s="77"/>
      <c r="W16" s="77"/>
      <c r="X16" s="77"/>
      <c r="Y16" s="77"/>
      <c r="Z16" s="80"/>
      <c r="AA16" s="77"/>
      <c r="AB16" s="77"/>
      <c r="AC16" s="77"/>
      <c r="AD16" s="77"/>
      <c r="AE16" s="77"/>
      <c r="AF16" s="77"/>
      <c r="AG16" s="74"/>
      <c r="AJ16" s="69" t="s">
        <v>28</v>
      </c>
      <c r="AK16" s="70">
        <v>0.11715190447671614</v>
      </c>
      <c r="AL16" s="71">
        <v>5.533672254162917E-2</v>
      </c>
      <c r="AM16" s="71">
        <v>0.12200443182379009</v>
      </c>
      <c r="AN16" s="71">
        <v>0.10797111634309159</v>
      </c>
      <c r="AO16" s="71">
        <v>7.9419421468556892E-2</v>
      </c>
      <c r="AP16" s="71">
        <v>0.44833707826912778</v>
      </c>
      <c r="AQ16" s="71">
        <v>0.31194298572553508</v>
      </c>
      <c r="AR16" s="72">
        <v>0.18396604886413245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21" x14ac:dyDescent="0.25">
      <c r="A17">
        <v>1990</v>
      </c>
      <c r="B17" s="4" t="s">
        <v>12</v>
      </c>
      <c r="C17">
        <v>5</v>
      </c>
      <c r="D17" s="9">
        <f>30*272.7</f>
        <v>8181</v>
      </c>
      <c r="E17" s="9"/>
      <c r="F17" s="9"/>
    </row>
    <row r="18" spans="1:21" x14ac:dyDescent="0.25">
      <c r="A18" s="55">
        <v>1991</v>
      </c>
      <c r="B18" s="58" t="s">
        <v>9</v>
      </c>
      <c r="C18" s="55">
        <v>1</v>
      </c>
      <c r="D18" s="59">
        <f>30*544.3</f>
        <v>16328.999999999998</v>
      </c>
      <c r="E18" s="59"/>
      <c r="F18" s="59"/>
    </row>
    <row r="19" spans="1:21" x14ac:dyDescent="0.25">
      <c r="A19" s="55">
        <v>1991</v>
      </c>
      <c r="B19" s="58" t="s">
        <v>10</v>
      </c>
      <c r="C19" s="55">
        <v>3</v>
      </c>
      <c r="D19" s="59">
        <f>30*363.2</f>
        <v>10896</v>
      </c>
      <c r="E19" s="59"/>
      <c r="F19" s="59"/>
    </row>
    <row r="20" spans="1:21" x14ac:dyDescent="0.25">
      <c r="A20" s="55">
        <v>1991</v>
      </c>
      <c r="B20" s="58" t="s">
        <v>11</v>
      </c>
      <c r="C20" s="55">
        <v>4</v>
      </c>
      <c r="D20" s="59">
        <f>30*319.7</f>
        <v>9591</v>
      </c>
      <c r="E20" s="59"/>
      <c r="F20" s="59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55">
        <v>1991</v>
      </c>
      <c r="B21" s="58" t="s">
        <v>12</v>
      </c>
      <c r="C21" s="55">
        <v>2</v>
      </c>
      <c r="D21" s="59">
        <f>30*272.7</f>
        <v>8181</v>
      </c>
      <c r="E21" s="59"/>
      <c r="F21" s="59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>
        <v>1992</v>
      </c>
      <c r="B22" s="4" t="s">
        <v>7</v>
      </c>
      <c r="C22">
        <v>1</v>
      </c>
      <c r="D22" s="9">
        <f>35*408.8</f>
        <v>14308</v>
      </c>
      <c r="E22" s="9"/>
      <c r="F22" s="9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>
        <v>1992</v>
      </c>
      <c r="B23" s="4" t="s">
        <v>8</v>
      </c>
      <c r="C23">
        <v>2</v>
      </c>
      <c r="D23" s="9">
        <f>30*447.6</f>
        <v>13428</v>
      </c>
      <c r="E23" s="9"/>
      <c r="F23" s="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>
        <v>1992</v>
      </c>
      <c r="B24" s="4" t="s">
        <v>9</v>
      </c>
      <c r="C24">
        <v>3</v>
      </c>
      <c r="D24" s="9">
        <f>30*728.5</f>
        <v>21855</v>
      </c>
      <c r="E24" s="9"/>
      <c r="F24" s="9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>
        <v>1992</v>
      </c>
      <c r="B25" s="4" t="s">
        <v>10</v>
      </c>
      <c r="C25">
        <v>4</v>
      </c>
      <c r="D25" s="9">
        <f>30*735.7</f>
        <v>22071</v>
      </c>
      <c r="E25" s="9"/>
      <c r="F25" s="9"/>
    </row>
    <row r="26" spans="1:21" x14ac:dyDescent="0.25">
      <c r="A26">
        <v>1992</v>
      </c>
      <c r="B26" s="4" t="s">
        <v>11</v>
      </c>
      <c r="C26">
        <v>5</v>
      </c>
      <c r="D26" s="9">
        <f>30*319.7</f>
        <v>9591</v>
      </c>
      <c r="E26" s="9"/>
      <c r="F26" s="9"/>
    </row>
    <row r="27" spans="1:21" x14ac:dyDescent="0.25">
      <c r="A27">
        <v>1992</v>
      </c>
      <c r="B27" s="4" t="s">
        <v>12</v>
      </c>
      <c r="C27">
        <v>6</v>
      </c>
      <c r="D27" s="9">
        <f>3*263.4</f>
        <v>790.19999999999993</v>
      </c>
      <c r="E27" s="9"/>
      <c r="F27" s="9"/>
    </row>
    <row r="28" spans="1:21" x14ac:dyDescent="0.25">
      <c r="A28" s="55">
        <v>1996</v>
      </c>
      <c r="B28" s="58" t="s">
        <v>7</v>
      </c>
      <c r="C28" s="55">
        <v>5</v>
      </c>
      <c r="D28" s="59">
        <f>120*739</f>
        <v>88680</v>
      </c>
      <c r="E28" s="59"/>
      <c r="F28" s="59"/>
    </row>
    <row r="29" spans="1:21" x14ac:dyDescent="0.25">
      <c r="A29" s="55">
        <v>1996</v>
      </c>
      <c r="B29" s="58" t="s">
        <v>8</v>
      </c>
      <c r="C29" s="55">
        <v>2</v>
      </c>
      <c r="D29" s="59">
        <f>30*463.6</f>
        <v>13908</v>
      </c>
      <c r="E29" s="59"/>
      <c r="F29" s="59"/>
    </row>
    <row r="30" spans="1:21" x14ac:dyDescent="0.25">
      <c r="A30" s="55">
        <v>1996</v>
      </c>
      <c r="B30" s="58" t="s">
        <v>9</v>
      </c>
      <c r="C30" s="55">
        <v>4</v>
      </c>
      <c r="D30" s="59">
        <f>30*409.3</f>
        <v>12279</v>
      </c>
      <c r="E30" s="59"/>
      <c r="F30" s="59"/>
    </row>
    <row r="31" spans="1:21" x14ac:dyDescent="0.25">
      <c r="A31" s="55">
        <v>1996</v>
      </c>
      <c r="B31" s="58" t="s">
        <v>10</v>
      </c>
      <c r="C31" s="55">
        <v>1</v>
      </c>
      <c r="D31" s="59">
        <f>30*396.3</f>
        <v>11889</v>
      </c>
      <c r="E31" s="59"/>
      <c r="F31" s="59"/>
    </row>
    <row r="32" spans="1:21" x14ac:dyDescent="0.25">
      <c r="A32" s="55">
        <v>1996</v>
      </c>
      <c r="B32" s="58" t="s">
        <v>11</v>
      </c>
      <c r="C32" s="55">
        <v>3</v>
      </c>
      <c r="D32" s="59">
        <f>30*206.1</f>
        <v>6183</v>
      </c>
      <c r="E32" s="59"/>
      <c r="F32" s="59"/>
    </row>
    <row r="33" spans="1:6" x14ac:dyDescent="0.25">
      <c r="A33">
        <v>1999</v>
      </c>
      <c r="B33" s="4" t="s">
        <v>7</v>
      </c>
      <c r="C33" s="16">
        <v>2</v>
      </c>
      <c r="D33" s="9">
        <v>16607.070930057202</v>
      </c>
      <c r="E33" s="9"/>
      <c r="F33" s="9"/>
    </row>
    <row r="34" spans="1:6" x14ac:dyDescent="0.25">
      <c r="A34">
        <v>1999</v>
      </c>
      <c r="B34" s="4" t="s">
        <v>8</v>
      </c>
      <c r="C34" s="16">
        <v>1</v>
      </c>
      <c r="D34" s="9">
        <v>10396.801867846863</v>
      </c>
      <c r="E34" s="9"/>
      <c r="F34" s="9"/>
    </row>
    <row r="35" spans="1:6" x14ac:dyDescent="0.25">
      <c r="A35">
        <v>1999</v>
      </c>
      <c r="B35" s="4" t="s">
        <v>9</v>
      </c>
      <c r="C35" s="16">
        <v>5</v>
      </c>
      <c r="D35" s="9">
        <v>11620.532441749217</v>
      </c>
      <c r="E35" s="9"/>
      <c r="F35" s="9"/>
    </row>
    <row r="36" spans="1:6" x14ac:dyDescent="0.25">
      <c r="A36">
        <v>1999</v>
      </c>
      <c r="B36" s="4" t="s">
        <v>10</v>
      </c>
      <c r="C36" s="16">
        <v>3</v>
      </c>
      <c r="D36" s="9">
        <v>10426.249929785692</v>
      </c>
      <c r="E36" s="9"/>
      <c r="F36" s="9"/>
    </row>
    <row r="37" spans="1:6" x14ac:dyDescent="0.25">
      <c r="A37">
        <v>1999</v>
      </c>
      <c r="B37" s="4" t="s">
        <v>11</v>
      </c>
      <c r="C37" s="16">
        <v>6</v>
      </c>
      <c r="D37" s="9">
        <v>3638.4716528861413</v>
      </c>
      <c r="E37" s="9"/>
      <c r="F37" s="9"/>
    </row>
    <row r="38" spans="1:6" x14ac:dyDescent="0.25">
      <c r="A38">
        <v>1999</v>
      </c>
      <c r="B38" s="4" t="s">
        <v>12</v>
      </c>
      <c r="C38" s="16">
        <v>4</v>
      </c>
      <c r="D38" s="9">
        <v>18478.658866613743</v>
      </c>
      <c r="E38" s="9"/>
      <c r="F38" s="9"/>
    </row>
    <row r="39" spans="1:6" x14ac:dyDescent="0.25">
      <c r="A39" s="55">
        <v>2000</v>
      </c>
      <c r="B39" s="58" t="s">
        <v>7</v>
      </c>
      <c r="C39" s="55">
        <v>6</v>
      </c>
      <c r="D39" s="55">
        <v>26709.392178515798</v>
      </c>
      <c r="E39" s="55"/>
      <c r="F39" s="55"/>
    </row>
    <row r="40" spans="1:6" x14ac:dyDescent="0.25">
      <c r="A40" s="55">
        <v>2000</v>
      </c>
      <c r="B40" s="58" t="s">
        <v>8</v>
      </c>
      <c r="C40" s="55">
        <v>11</v>
      </c>
      <c r="D40" s="55">
        <v>6005.7686320795974</v>
      </c>
      <c r="E40" s="55"/>
      <c r="F40" s="55"/>
    </row>
    <row r="41" spans="1:6" x14ac:dyDescent="0.25">
      <c r="A41" s="55">
        <v>2000</v>
      </c>
      <c r="B41" s="58" t="s">
        <v>9</v>
      </c>
      <c r="C41" s="55">
        <v>8</v>
      </c>
      <c r="D41" s="55">
        <v>17333.456457881595</v>
      </c>
      <c r="E41" s="55"/>
      <c r="F41" s="55"/>
    </row>
    <row r="42" spans="1:6" x14ac:dyDescent="0.25">
      <c r="A42" s="55">
        <v>2000</v>
      </c>
      <c r="B42" s="58" t="s">
        <v>10</v>
      </c>
      <c r="C42" s="55">
        <v>7</v>
      </c>
      <c r="D42" s="55">
        <v>12219.309701172027</v>
      </c>
      <c r="E42" s="55"/>
      <c r="F42" s="55"/>
    </row>
    <row r="43" spans="1:6" x14ac:dyDescent="0.25">
      <c r="A43" s="55">
        <v>2000</v>
      </c>
      <c r="B43" s="58" t="s">
        <v>11</v>
      </c>
      <c r="C43" s="55">
        <v>10</v>
      </c>
      <c r="D43" s="55">
        <v>24378.087275025355</v>
      </c>
      <c r="E43" s="55"/>
      <c r="F43" s="55"/>
    </row>
    <row r="44" spans="1:6" x14ac:dyDescent="0.25">
      <c r="A44" s="55">
        <v>2000</v>
      </c>
      <c r="B44" s="58" t="s">
        <v>12</v>
      </c>
      <c r="C44" s="55">
        <v>9</v>
      </c>
      <c r="D44" s="55">
        <v>28396.111726234154</v>
      </c>
      <c r="E44" s="55"/>
      <c r="F44" s="55"/>
    </row>
    <row r="45" spans="1:6" x14ac:dyDescent="0.25">
      <c r="A45">
        <v>2001</v>
      </c>
      <c r="B45" s="4" t="s">
        <v>7</v>
      </c>
      <c r="C45" s="16">
        <v>10</v>
      </c>
      <c r="D45">
        <v>20710.167560200389</v>
      </c>
      <c r="E45"/>
      <c r="F45"/>
    </row>
    <row r="46" spans="1:6" x14ac:dyDescent="0.25">
      <c r="A46">
        <v>2001</v>
      </c>
      <c r="B46" s="4" t="s">
        <v>8</v>
      </c>
      <c r="C46" s="16">
        <v>7</v>
      </c>
      <c r="D46">
        <v>12937.515211791189</v>
      </c>
      <c r="E46"/>
      <c r="F46"/>
    </row>
    <row r="47" spans="1:6" x14ac:dyDescent="0.25">
      <c r="A47">
        <v>2001</v>
      </c>
      <c r="B47" s="4" t="s">
        <v>9</v>
      </c>
      <c r="C47" s="16">
        <v>1</v>
      </c>
      <c r="D47">
        <v>10953.043037802479</v>
      </c>
      <c r="E47"/>
      <c r="F47"/>
    </row>
    <row r="48" spans="1:6" x14ac:dyDescent="0.25">
      <c r="A48">
        <v>2001</v>
      </c>
      <c r="B48" s="4" t="s">
        <v>10</v>
      </c>
      <c r="C48" s="16">
        <v>8</v>
      </c>
      <c r="D48">
        <v>5346.4592453380883</v>
      </c>
      <c r="E48"/>
      <c r="F48"/>
    </row>
    <row r="49" spans="1:6" x14ac:dyDescent="0.25">
      <c r="A49">
        <v>2001</v>
      </c>
      <c r="B49" s="4" t="s">
        <v>11</v>
      </c>
      <c r="C49" s="16">
        <v>3</v>
      </c>
      <c r="D49">
        <v>13991.101427824766</v>
      </c>
      <c r="E49"/>
      <c r="F49"/>
    </row>
    <row r="50" spans="1:6" x14ac:dyDescent="0.25">
      <c r="A50">
        <v>2001</v>
      </c>
      <c r="B50" s="4" t="s">
        <v>12</v>
      </c>
      <c r="C50" s="16">
        <v>9</v>
      </c>
      <c r="D50">
        <v>6966.102651973556</v>
      </c>
      <c r="E50"/>
      <c r="F50"/>
    </row>
    <row r="51" spans="1:6" x14ac:dyDescent="0.25">
      <c r="A51">
        <v>2001</v>
      </c>
      <c r="B51" s="4" t="s">
        <v>13</v>
      </c>
      <c r="C51" s="16">
        <v>11</v>
      </c>
      <c r="D51">
        <v>2532.5333267390947</v>
      </c>
      <c r="E51"/>
      <c r="F51"/>
    </row>
    <row r="52" spans="1:6" x14ac:dyDescent="0.25">
      <c r="A52">
        <v>2001</v>
      </c>
      <c r="B52" s="4" t="s">
        <v>14</v>
      </c>
      <c r="C52" s="16">
        <v>5</v>
      </c>
      <c r="D52">
        <v>13775.148973606703</v>
      </c>
      <c r="E52"/>
      <c r="F52"/>
    </row>
    <row r="53" spans="1:6" x14ac:dyDescent="0.25">
      <c r="A53">
        <v>2001</v>
      </c>
      <c r="B53" s="4" t="s">
        <v>15</v>
      </c>
      <c r="C53" s="16">
        <v>6</v>
      </c>
      <c r="D53">
        <v>5560.7756961151053</v>
      </c>
      <c r="E53"/>
      <c r="F53"/>
    </row>
    <row r="54" spans="1:6" x14ac:dyDescent="0.25">
      <c r="A54">
        <v>2001</v>
      </c>
      <c r="B54" s="4" t="s">
        <v>16</v>
      </c>
      <c r="C54" s="16">
        <v>2</v>
      </c>
      <c r="D54">
        <v>10828.706776282988</v>
      </c>
      <c r="E54"/>
      <c r="F54"/>
    </row>
    <row r="55" spans="1:6" x14ac:dyDescent="0.25">
      <c r="A55">
        <v>2001</v>
      </c>
      <c r="B55" s="4" t="s">
        <v>17</v>
      </c>
      <c r="C55" s="16">
        <v>12</v>
      </c>
      <c r="D55">
        <v>11753.048720473937</v>
      </c>
      <c r="E55"/>
      <c r="F55"/>
    </row>
    <row r="56" spans="1:6" x14ac:dyDescent="0.25">
      <c r="A56">
        <v>2001</v>
      </c>
      <c r="B56" s="4" t="s">
        <v>18</v>
      </c>
      <c r="C56" s="16">
        <v>13</v>
      </c>
      <c r="D56">
        <v>30959.729118353116</v>
      </c>
      <c r="E56"/>
      <c r="F56"/>
    </row>
    <row r="57" spans="1:6" x14ac:dyDescent="0.25">
      <c r="A57">
        <v>2001</v>
      </c>
      <c r="B57" s="4" t="s">
        <v>19</v>
      </c>
      <c r="C57" s="16">
        <v>4</v>
      </c>
      <c r="D57">
        <v>5410.2633795388801</v>
      </c>
      <c r="E57"/>
      <c r="F57"/>
    </row>
    <row r="58" spans="1:6" x14ac:dyDescent="0.25">
      <c r="A58" s="55">
        <v>2002</v>
      </c>
      <c r="B58" s="58" t="s">
        <v>7</v>
      </c>
      <c r="C58" s="55">
        <v>9</v>
      </c>
      <c r="D58" s="59">
        <v>21727.53118530977</v>
      </c>
      <c r="E58" s="59"/>
      <c r="F58" s="59"/>
    </row>
    <row r="59" spans="1:6" x14ac:dyDescent="0.25">
      <c r="A59" s="55">
        <v>2002</v>
      </c>
      <c r="B59" s="58" t="s">
        <v>8</v>
      </c>
      <c r="C59" s="55">
        <v>10</v>
      </c>
      <c r="D59" s="59">
        <v>11555.924996488471</v>
      </c>
      <c r="E59" s="59"/>
      <c r="F59" s="59"/>
    </row>
    <row r="60" spans="1:6" x14ac:dyDescent="0.25">
      <c r="A60" s="55">
        <v>2002</v>
      </c>
      <c r="B60" s="58" t="s">
        <v>9</v>
      </c>
      <c r="C60" s="55">
        <v>3</v>
      </c>
      <c r="D60" s="59">
        <v>8875.6810357629201</v>
      </c>
      <c r="E60" s="59"/>
      <c r="F60" s="59"/>
    </row>
    <row r="61" spans="1:6" x14ac:dyDescent="0.25">
      <c r="A61" s="55"/>
      <c r="B61" s="58" t="s">
        <v>10</v>
      </c>
      <c r="C61" s="55"/>
      <c r="D61" s="59"/>
      <c r="E61" s="59"/>
      <c r="F61" s="59"/>
    </row>
    <row r="62" spans="1:6" x14ac:dyDescent="0.25">
      <c r="A62" s="55">
        <v>2002</v>
      </c>
      <c r="B62" s="58" t="s">
        <v>11</v>
      </c>
      <c r="C62" s="55">
        <v>2</v>
      </c>
      <c r="D62" s="59">
        <v>12042.09009683687</v>
      </c>
      <c r="E62" s="59"/>
      <c r="F62" s="59"/>
    </row>
    <row r="63" spans="1:6" x14ac:dyDescent="0.25">
      <c r="A63" s="55">
        <v>2002</v>
      </c>
      <c r="B63" s="58" t="s">
        <v>12</v>
      </c>
      <c r="C63" s="55">
        <v>6</v>
      </c>
      <c r="D63" s="59">
        <v>7874.607443882147</v>
      </c>
      <c r="E63" s="59"/>
      <c r="F63" s="59"/>
    </row>
    <row r="64" spans="1:6" x14ac:dyDescent="0.25">
      <c r="A64" s="55">
        <v>2002</v>
      </c>
      <c r="B64" s="58" t="s">
        <v>13</v>
      </c>
      <c r="C64" s="55">
        <v>8</v>
      </c>
      <c r="D64" s="59">
        <v>3143.2289068933196</v>
      </c>
      <c r="E64" s="59"/>
      <c r="F64" s="59"/>
    </row>
    <row r="65" spans="1:6" x14ac:dyDescent="0.25">
      <c r="A65" s="55">
        <v>2002</v>
      </c>
      <c r="B65" s="58" t="s">
        <v>14</v>
      </c>
      <c r="C65" s="55">
        <v>4</v>
      </c>
      <c r="D65" s="59">
        <v>14985.197005970756</v>
      </c>
      <c r="E65" s="59"/>
      <c r="F65" s="59"/>
    </row>
    <row r="66" spans="1:6" x14ac:dyDescent="0.25">
      <c r="A66" s="55">
        <v>2002</v>
      </c>
      <c r="B66" s="58" t="s">
        <v>15</v>
      </c>
      <c r="C66" s="55">
        <v>5</v>
      </c>
      <c r="D66" s="59">
        <v>7110.1259590049967</v>
      </c>
      <c r="E66" s="59"/>
      <c r="F66" s="59"/>
    </row>
    <row r="67" spans="1:6" x14ac:dyDescent="0.25">
      <c r="A67" s="55">
        <v>2002</v>
      </c>
      <c r="B67" s="58" t="s">
        <v>16</v>
      </c>
      <c r="C67" s="55">
        <v>1</v>
      </c>
      <c r="D67" s="59">
        <v>11841.968099077438</v>
      </c>
      <c r="E67" s="59"/>
      <c r="F67" s="59"/>
    </row>
    <row r="68" spans="1:6" x14ac:dyDescent="0.25">
      <c r="A68" s="55">
        <v>2002</v>
      </c>
      <c r="B68" s="58" t="s">
        <v>17</v>
      </c>
      <c r="C68" s="55">
        <v>11</v>
      </c>
      <c r="D68" s="59">
        <v>12208.214535131379</v>
      </c>
      <c r="E68" s="59"/>
      <c r="F68" s="59"/>
    </row>
    <row r="69" spans="1:6" x14ac:dyDescent="0.25">
      <c r="A69" s="55">
        <v>2002</v>
      </c>
      <c r="B69" s="58" t="s">
        <v>18</v>
      </c>
      <c r="C69" s="55">
        <v>12</v>
      </c>
      <c r="D69" s="59">
        <v>23285.2375462481</v>
      </c>
      <c r="E69" s="59"/>
      <c r="F69" s="59"/>
    </row>
    <row r="70" spans="1:6" x14ac:dyDescent="0.25">
      <c r="A70" s="55">
        <v>2002</v>
      </c>
      <c r="B70" s="58" t="s">
        <v>19</v>
      </c>
      <c r="C70" s="55">
        <v>7</v>
      </c>
      <c r="D70" s="59">
        <v>4906.4659682331812</v>
      </c>
      <c r="E70" s="59"/>
      <c r="F70" s="59"/>
    </row>
    <row r="71" spans="1:6" x14ac:dyDescent="0.25">
      <c r="A71">
        <v>2003</v>
      </c>
      <c r="B71" s="4" t="s">
        <v>7</v>
      </c>
      <c r="C71" s="16">
        <v>10</v>
      </c>
      <c r="D71">
        <v>20710.167560200389</v>
      </c>
      <c r="E71"/>
      <c r="F71"/>
    </row>
    <row r="72" spans="1:6" x14ac:dyDescent="0.25">
      <c r="A72">
        <v>2003</v>
      </c>
      <c r="B72" s="3" t="s">
        <v>8</v>
      </c>
      <c r="C72" s="16">
        <v>2</v>
      </c>
      <c r="D72">
        <v>12937.515211791189</v>
      </c>
      <c r="E72"/>
      <c r="F72"/>
    </row>
    <row r="73" spans="1:6" x14ac:dyDescent="0.25">
      <c r="A73">
        <v>2003</v>
      </c>
      <c r="B73" s="3" t="s">
        <v>9</v>
      </c>
      <c r="C73" s="16">
        <v>1</v>
      </c>
      <c r="D73">
        <v>10953.043037802479</v>
      </c>
      <c r="E73"/>
      <c r="F73"/>
    </row>
    <row r="74" spans="1:6" x14ac:dyDescent="0.25">
      <c r="A74">
        <v>2003</v>
      </c>
      <c r="B74" s="3" t="s">
        <v>10</v>
      </c>
      <c r="C74" s="16">
        <v>11</v>
      </c>
      <c r="D74">
        <v>5346.4592453380883</v>
      </c>
      <c r="E74"/>
      <c r="F74"/>
    </row>
    <row r="75" spans="1:6" x14ac:dyDescent="0.25">
      <c r="A75">
        <v>2003</v>
      </c>
      <c r="B75" s="3" t="s">
        <v>11</v>
      </c>
      <c r="C75" s="16">
        <v>3</v>
      </c>
      <c r="D75">
        <v>13991.101427824766</v>
      </c>
      <c r="E75"/>
      <c r="F75"/>
    </row>
    <row r="76" spans="1:6" x14ac:dyDescent="0.25">
      <c r="A76">
        <v>2003</v>
      </c>
      <c r="B76" s="3" t="s">
        <v>12</v>
      </c>
      <c r="C76" s="16">
        <v>5</v>
      </c>
      <c r="D76">
        <v>6966.102651973556</v>
      </c>
      <c r="E76"/>
      <c r="F76"/>
    </row>
    <row r="77" spans="1:6" x14ac:dyDescent="0.25">
      <c r="A77">
        <v>2003</v>
      </c>
      <c r="B77" s="3" t="s">
        <v>13</v>
      </c>
      <c r="C77" s="16">
        <v>8</v>
      </c>
      <c r="D77">
        <v>2532.5333267390947</v>
      </c>
      <c r="E77"/>
      <c r="F77"/>
    </row>
    <row r="78" spans="1:6" x14ac:dyDescent="0.25">
      <c r="A78">
        <v>2003</v>
      </c>
      <c r="B78" s="3" t="s">
        <v>14</v>
      </c>
      <c r="C78" s="16">
        <v>6</v>
      </c>
      <c r="D78">
        <v>13775.148973606703</v>
      </c>
      <c r="E78"/>
      <c r="F78"/>
    </row>
    <row r="79" spans="1:6" x14ac:dyDescent="0.25">
      <c r="A79">
        <v>2003</v>
      </c>
      <c r="B79" s="3" t="s">
        <v>15</v>
      </c>
      <c r="C79" s="16">
        <v>7</v>
      </c>
      <c r="D79">
        <v>5560.7756961151053</v>
      </c>
      <c r="E79"/>
      <c r="F79"/>
    </row>
    <row r="80" spans="1:6" x14ac:dyDescent="0.25">
      <c r="A80">
        <v>2003</v>
      </c>
      <c r="B80" s="3" t="s">
        <v>16</v>
      </c>
      <c r="C80" s="16">
        <v>4</v>
      </c>
      <c r="D80">
        <v>10828.706776282988</v>
      </c>
      <c r="E80"/>
      <c r="F80"/>
    </row>
    <row r="81" spans="1:6" x14ac:dyDescent="0.25">
      <c r="A81">
        <v>2003</v>
      </c>
      <c r="B81" s="3" t="s">
        <v>17</v>
      </c>
      <c r="C81" s="16">
        <v>12</v>
      </c>
      <c r="D81">
        <v>11753.048720473937</v>
      </c>
      <c r="E81"/>
      <c r="F81"/>
    </row>
    <row r="82" spans="1:6" x14ac:dyDescent="0.25">
      <c r="A82">
        <v>2003</v>
      </c>
      <c r="B82" s="3" t="s">
        <v>18</v>
      </c>
      <c r="C82" s="16">
        <v>13</v>
      </c>
      <c r="D82">
        <v>30959.729118353116</v>
      </c>
      <c r="E82"/>
      <c r="F82"/>
    </row>
    <row r="83" spans="1:6" x14ac:dyDescent="0.25">
      <c r="A83">
        <v>2003</v>
      </c>
      <c r="B83" s="3" t="s">
        <v>19</v>
      </c>
      <c r="C83" s="16">
        <v>9</v>
      </c>
      <c r="D83">
        <v>5410.2633795388801</v>
      </c>
      <c r="E83"/>
      <c r="F83"/>
    </row>
    <row r="84" spans="1:6" x14ac:dyDescent="0.25">
      <c r="A84" s="55">
        <v>2004</v>
      </c>
      <c r="B84" s="63" t="s">
        <v>7</v>
      </c>
      <c r="C84" s="55">
        <v>10</v>
      </c>
      <c r="D84" s="55">
        <v>20710.167560200389</v>
      </c>
      <c r="E84" s="55"/>
      <c r="F84" s="55"/>
    </row>
    <row r="85" spans="1:6" x14ac:dyDescent="0.25">
      <c r="A85" s="55">
        <v>2004</v>
      </c>
      <c r="B85" s="63" t="s">
        <v>8</v>
      </c>
      <c r="C85" s="55">
        <v>3</v>
      </c>
      <c r="D85" s="55">
        <v>12937.515211791189</v>
      </c>
      <c r="E85" s="55"/>
      <c r="F85" s="55"/>
    </row>
    <row r="86" spans="1:6" x14ac:dyDescent="0.25">
      <c r="A86" s="55">
        <v>2004</v>
      </c>
      <c r="B86" s="63" t="s">
        <v>9</v>
      </c>
      <c r="C86" s="55">
        <v>1</v>
      </c>
      <c r="D86" s="55">
        <v>10953.043037802479</v>
      </c>
      <c r="E86" s="55"/>
      <c r="F86" s="55"/>
    </row>
    <row r="87" spans="1:6" x14ac:dyDescent="0.25">
      <c r="A87" s="55">
        <v>2004</v>
      </c>
      <c r="B87" s="63" t="s">
        <v>10</v>
      </c>
      <c r="C87" s="55">
        <v>6</v>
      </c>
      <c r="D87" s="55">
        <v>5346.4592453380883</v>
      </c>
      <c r="E87" s="55"/>
      <c r="F87" s="55"/>
    </row>
    <row r="88" spans="1:6" x14ac:dyDescent="0.25">
      <c r="A88" s="55">
        <v>2004</v>
      </c>
      <c r="B88" s="63" t="s">
        <v>11</v>
      </c>
      <c r="C88" s="55">
        <v>4</v>
      </c>
      <c r="D88" s="55">
        <v>13991.101427824766</v>
      </c>
      <c r="E88" s="55"/>
      <c r="F88" s="55"/>
    </row>
    <row r="89" spans="1:6" x14ac:dyDescent="0.25">
      <c r="A89" s="55">
        <v>2004</v>
      </c>
      <c r="B89" s="63" t="s">
        <v>12</v>
      </c>
      <c r="C89" s="55">
        <v>2</v>
      </c>
      <c r="D89" s="55">
        <v>6966.102651973556</v>
      </c>
      <c r="E89" s="55"/>
      <c r="F89" s="55"/>
    </row>
    <row r="90" spans="1:6" x14ac:dyDescent="0.25">
      <c r="A90" s="55">
        <v>2004</v>
      </c>
      <c r="B90" s="63" t="s">
        <v>13</v>
      </c>
      <c r="C90" s="55">
        <v>11</v>
      </c>
      <c r="D90" s="55">
        <v>2532.5333267390947</v>
      </c>
      <c r="E90" s="55"/>
      <c r="F90" s="55"/>
    </row>
    <row r="91" spans="1:6" x14ac:dyDescent="0.25">
      <c r="A91" s="55">
        <v>2004</v>
      </c>
      <c r="B91" s="63" t="s">
        <v>14</v>
      </c>
      <c r="C91" s="55">
        <v>8</v>
      </c>
      <c r="D91" s="55">
        <v>13775.148973606703</v>
      </c>
      <c r="E91" s="55"/>
      <c r="F91" s="55"/>
    </row>
    <row r="92" spans="1:6" x14ac:dyDescent="0.25">
      <c r="A92" s="55">
        <v>2004</v>
      </c>
      <c r="B92" s="63" t="s">
        <v>15</v>
      </c>
      <c r="C92" s="55">
        <v>7</v>
      </c>
      <c r="D92" s="55">
        <v>5560.7756961151053</v>
      </c>
      <c r="E92" s="55"/>
      <c r="F92" s="55"/>
    </row>
    <row r="93" spans="1:6" x14ac:dyDescent="0.25">
      <c r="A93" s="55">
        <v>2004</v>
      </c>
      <c r="B93" s="63" t="s">
        <v>16</v>
      </c>
      <c r="C93" s="55">
        <v>5</v>
      </c>
      <c r="D93" s="55">
        <v>10828.706776282988</v>
      </c>
      <c r="E93" s="55"/>
      <c r="F93" s="55"/>
    </row>
    <row r="94" spans="1:6" x14ac:dyDescent="0.25">
      <c r="A94" s="55">
        <v>2004</v>
      </c>
      <c r="B94" s="63" t="s">
        <v>17</v>
      </c>
      <c r="C94" s="55">
        <v>12</v>
      </c>
      <c r="D94" s="55">
        <v>11753.048720473937</v>
      </c>
      <c r="E94" s="55"/>
      <c r="F94" s="55"/>
    </row>
    <row r="95" spans="1:6" x14ac:dyDescent="0.25">
      <c r="A95" s="55">
        <v>2004</v>
      </c>
      <c r="B95" s="63" t="s">
        <v>18</v>
      </c>
      <c r="C95" s="55">
        <v>13</v>
      </c>
      <c r="D95" s="55">
        <v>30959.729118353116</v>
      </c>
      <c r="E95" s="55"/>
      <c r="F95" s="55"/>
    </row>
    <row r="96" spans="1:6" x14ac:dyDescent="0.25">
      <c r="A96" s="55">
        <v>2004</v>
      </c>
      <c r="B96" s="63" t="s">
        <v>19</v>
      </c>
      <c r="C96" s="55">
        <v>9</v>
      </c>
      <c r="D96" s="55">
        <v>5410.2633795388801</v>
      </c>
      <c r="E96" s="55"/>
      <c r="F96" s="55"/>
    </row>
    <row r="97" spans="1:6" x14ac:dyDescent="0.25">
      <c r="A97" s="16">
        <v>2005</v>
      </c>
      <c r="B97" s="43" t="s">
        <v>7</v>
      </c>
      <c r="C97" s="16">
        <v>3</v>
      </c>
      <c r="D97" s="25">
        <v>20710.167560200389</v>
      </c>
      <c r="E97" s="25"/>
      <c r="F97" s="25"/>
    </row>
    <row r="98" spans="1:6" x14ac:dyDescent="0.25">
      <c r="A98" s="16">
        <v>2005</v>
      </c>
      <c r="B98" s="43" t="s">
        <v>8</v>
      </c>
      <c r="C98" s="16">
        <v>7</v>
      </c>
      <c r="D98" s="25">
        <v>12937.515211791189</v>
      </c>
      <c r="E98" s="25"/>
      <c r="F98" s="25"/>
    </row>
    <row r="99" spans="1:6" x14ac:dyDescent="0.25">
      <c r="A99" s="16">
        <v>2005</v>
      </c>
      <c r="B99" s="43" t="s">
        <v>9</v>
      </c>
      <c r="C99" s="16">
        <v>2</v>
      </c>
      <c r="D99" s="25">
        <v>10953.043037802479</v>
      </c>
      <c r="E99" s="25"/>
      <c r="F99" s="25"/>
    </row>
    <row r="100" spans="1:6" x14ac:dyDescent="0.25">
      <c r="A100" s="16">
        <v>2005</v>
      </c>
      <c r="B100" s="43" t="s">
        <v>10</v>
      </c>
      <c r="C100" s="16">
        <v>12</v>
      </c>
      <c r="D100" s="25">
        <v>5346.4592453380883</v>
      </c>
      <c r="E100" s="25"/>
      <c r="F100" s="25"/>
    </row>
    <row r="101" spans="1:6" x14ac:dyDescent="0.25">
      <c r="A101" s="16">
        <v>2005</v>
      </c>
      <c r="B101" s="43" t="s">
        <v>11</v>
      </c>
      <c r="C101" s="16">
        <v>1</v>
      </c>
      <c r="D101" s="25">
        <v>13991.101427824766</v>
      </c>
      <c r="E101" s="25"/>
      <c r="F101" s="25"/>
    </row>
    <row r="102" spans="1:6" x14ac:dyDescent="0.25">
      <c r="A102" s="16">
        <v>2005</v>
      </c>
      <c r="B102" s="43" t="s">
        <v>12</v>
      </c>
      <c r="C102" s="16">
        <v>4</v>
      </c>
      <c r="D102" s="25">
        <v>6966.102651973556</v>
      </c>
      <c r="E102" s="25"/>
      <c r="F102" s="25"/>
    </row>
    <row r="103" spans="1:6" x14ac:dyDescent="0.25">
      <c r="A103" s="16">
        <v>2005</v>
      </c>
      <c r="B103" s="43" t="s">
        <v>13</v>
      </c>
      <c r="C103" s="16">
        <v>5</v>
      </c>
      <c r="D103" s="25">
        <v>2532.5333267390947</v>
      </c>
      <c r="E103" s="25"/>
      <c r="F103" s="25"/>
    </row>
    <row r="104" spans="1:6" x14ac:dyDescent="0.25">
      <c r="A104" s="16">
        <v>2005</v>
      </c>
      <c r="B104" s="43" t="s">
        <v>14</v>
      </c>
      <c r="C104" s="16">
        <v>6</v>
      </c>
      <c r="D104" s="25">
        <v>14985.197005970756</v>
      </c>
      <c r="E104" s="25"/>
      <c r="F104" s="25"/>
    </row>
    <row r="105" spans="1:6" x14ac:dyDescent="0.25">
      <c r="A105" s="16">
        <v>2005</v>
      </c>
      <c r="B105" s="43" t="s">
        <v>15</v>
      </c>
      <c r="C105" s="16">
        <v>9</v>
      </c>
      <c r="D105" s="25"/>
      <c r="E105" s="25"/>
      <c r="F105" s="25"/>
    </row>
    <row r="106" spans="1:6" x14ac:dyDescent="0.25">
      <c r="A106" s="16">
        <v>2005</v>
      </c>
      <c r="B106" s="43" t="s">
        <v>16</v>
      </c>
      <c r="C106" s="16">
        <v>10</v>
      </c>
      <c r="D106" s="25"/>
      <c r="E106" s="25"/>
      <c r="F106" s="25"/>
    </row>
    <row r="107" spans="1:6" x14ac:dyDescent="0.25">
      <c r="A107" s="16">
        <v>2005</v>
      </c>
      <c r="B107" s="43" t="s">
        <v>18</v>
      </c>
      <c r="C107" s="16">
        <v>11</v>
      </c>
      <c r="D107" s="25"/>
      <c r="E107" s="25"/>
      <c r="F107" s="25"/>
    </row>
    <row r="108" spans="1:6" x14ac:dyDescent="0.25">
      <c r="A108" s="16">
        <v>2005</v>
      </c>
      <c r="B108" s="43" t="s">
        <v>19</v>
      </c>
      <c r="C108" s="16">
        <v>8</v>
      </c>
      <c r="D108" s="25">
        <v>4906.4659682331812</v>
      </c>
      <c r="E108" s="25"/>
      <c r="F108" s="25"/>
    </row>
    <row r="109" spans="1:6" x14ac:dyDescent="0.25">
      <c r="A109" s="62">
        <v>2007</v>
      </c>
      <c r="B109" s="63" t="s">
        <v>7</v>
      </c>
      <c r="C109" s="55">
        <v>8</v>
      </c>
      <c r="D109" s="59">
        <v>20710.167560200389</v>
      </c>
      <c r="E109" s="59"/>
      <c r="F109" s="59"/>
    </row>
    <row r="110" spans="1:6" x14ac:dyDescent="0.25">
      <c r="A110" s="62">
        <v>2007</v>
      </c>
      <c r="B110" s="63" t="s">
        <v>8</v>
      </c>
      <c r="C110" s="55">
        <v>2</v>
      </c>
      <c r="D110" s="59">
        <v>12937.515211791189</v>
      </c>
      <c r="E110" s="59"/>
      <c r="F110" s="59"/>
    </row>
    <row r="111" spans="1:6" x14ac:dyDescent="0.25">
      <c r="A111" s="62">
        <v>2007</v>
      </c>
      <c r="B111" s="63" t="s">
        <v>9</v>
      </c>
      <c r="C111" s="55">
        <v>11</v>
      </c>
      <c r="D111" s="59">
        <v>10953.043037802479</v>
      </c>
      <c r="E111" s="59"/>
      <c r="F111" s="59"/>
    </row>
    <row r="112" spans="1:6" x14ac:dyDescent="0.25">
      <c r="A112" s="62">
        <v>2007</v>
      </c>
      <c r="B112" s="63" t="s">
        <v>10</v>
      </c>
      <c r="C112" s="55">
        <v>13</v>
      </c>
      <c r="D112" s="59">
        <v>5346.4592453380883</v>
      </c>
      <c r="E112" s="59"/>
      <c r="F112" s="59"/>
    </row>
    <row r="113" spans="1:6" x14ac:dyDescent="0.25">
      <c r="A113" s="62">
        <v>2007</v>
      </c>
      <c r="B113" s="63" t="s">
        <v>11</v>
      </c>
      <c r="C113" s="55">
        <v>12</v>
      </c>
      <c r="D113" s="59">
        <v>6445.8535577209514</v>
      </c>
      <c r="E113" s="59"/>
      <c r="F113" s="59"/>
    </row>
    <row r="114" spans="1:6" x14ac:dyDescent="0.25">
      <c r="A114" s="62">
        <v>2007</v>
      </c>
      <c r="B114" s="63" t="s">
        <v>12</v>
      </c>
      <c r="C114" s="55">
        <v>3</v>
      </c>
      <c r="D114" s="59">
        <v>5721.1040333376059</v>
      </c>
      <c r="E114" s="59"/>
      <c r="F114" s="59"/>
    </row>
    <row r="115" spans="1:6" x14ac:dyDescent="0.25">
      <c r="A115" s="62">
        <v>2007</v>
      </c>
      <c r="B115" s="63" t="s">
        <v>13</v>
      </c>
      <c r="C115" s="55">
        <v>5</v>
      </c>
      <c r="D115" s="59">
        <v>1865.0439227923566</v>
      </c>
      <c r="E115" s="59"/>
      <c r="F115" s="59"/>
    </row>
    <row r="116" spans="1:6" x14ac:dyDescent="0.25">
      <c r="A116" s="62">
        <v>2007</v>
      </c>
      <c r="B116" s="63" t="s">
        <v>14</v>
      </c>
      <c r="C116" s="55">
        <v>4</v>
      </c>
      <c r="D116" s="59">
        <v>13775.148973606703</v>
      </c>
      <c r="E116" s="59"/>
      <c r="F116" s="59"/>
    </row>
    <row r="117" spans="1:6" x14ac:dyDescent="0.25">
      <c r="A117" s="62">
        <v>2007</v>
      </c>
      <c r="B117" s="63" t="s">
        <v>15</v>
      </c>
      <c r="C117" s="55">
        <v>6</v>
      </c>
      <c r="D117" s="59">
        <v>5560.7756961151053</v>
      </c>
      <c r="E117" s="59"/>
      <c r="F117" s="59"/>
    </row>
    <row r="118" spans="1:6" x14ac:dyDescent="0.25">
      <c r="A118" s="62">
        <v>2007</v>
      </c>
      <c r="B118" s="63" t="s">
        <v>16</v>
      </c>
      <c r="C118" s="55">
        <v>1</v>
      </c>
      <c r="D118" s="59">
        <v>10828.706776282988</v>
      </c>
      <c r="E118" s="59"/>
      <c r="F118" s="59"/>
    </row>
    <row r="119" spans="1:6" x14ac:dyDescent="0.25">
      <c r="A119" s="62">
        <v>2007</v>
      </c>
      <c r="B119" s="63" t="s">
        <v>17</v>
      </c>
      <c r="C119" s="55">
        <v>9</v>
      </c>
      <c r="D119" s="59">
        <v>11753.048720473937</v>
      </c>
      <c r="E119" s="59"/>
      <c r="F119" s="59"/>
    </row>
    <row r="120" spans="1:6" x14ac:dyDescent="0.25">
      <c r="A120" s="62">
        <v>2007</v>
      </c>
      <c r="B120" s="63" t="s">
        <v>18</v>
      </c>
      <c r="C120" s="55">
        <v>10</v>
      </c>
      <c r="D120" s="59">
        <v>30959.729118353116</v>
      </c>
      <c r="E120" s="59"/>
      <c r="F120" s="59"/>
    </row>
    <row r="121" spans="1:6" x14ac:dyDescent="0.25">
      <c r="A121" s="62">
        <v>2007</v>
      </c>
      <c r="B121" s="63" t="s">
        <v>19</v>
      </c>
      <c r="C121" s="55">
        <v>7</v>
      </c>
      <c r="D121" s="59">
        <v>2740.3057637519273</v>
      </c>
      <c r="E121" s="59"/>
      <c r="F121" s="59"/>
    </row>
    <row r="122" spans="1:6" x14ac:dyDescent="0.25">
      <c r="A122" s="48">
        <v>2008</v>
      </c>
      <c r="B122" s="43" t="s">
        <v>7</v>
      </c>
      <c r="C122" s="16">
        <v>5</v>
      </c>
      <c r="D122" s="25">
        <v>20710.167560200389</v>
      </c>
      <c r="E122" s="25"/>
      <c r="F122" s="25"/>
    </row>
    <row r="123" spans="1:6" x14ac:dyDescent="0.25">
      <c r="A123" s="48">
        <v>2008</v>
      </c>
      <c r="B123" s="43" t="s">
        <v>8</v>
      </c>
      <c r="C123" s="16">
        <v>6</v>
      </c>
      <c r="D123" s="25">
        <v>12937.515211791189</v>
      </c>
      <c r="E123" s="25"/>
      <c r="F123" s="25"/>
    </row>
    <row r="124" spans="1:6" x14ac:dyDescent="0.25">
      <c r="A124" s="48">
        <v>2008</v>
      </c>
      <c r="B124" s="43" t="s">
        <v>9</v>
      </c>
      <c r="C124" s="16">
        <v>2</v>
      </c>
      <c r="D124" s="25">
        <v>10953.043037802479</v>
      </c>
      <c r="E124" s="25"/>
      <c r="F124" s="25"/>
    </row>
    <row r="125" spans="1:6" x14ac:dyDescent="0.25">
      <c r="A125" s="48">
        <v>2008</v>
      </c>
      <c r="B125" s="43" t="s">
        <v>10</v>
      </c>
      <c r="C125" s="16">
        <v>9</v>
      </c>
      <c r="D125" s="25">
        <v>5346.4592453380883</v>
      </c>
      <c r="E125" s="25"/>
      <c r="F125" s="25"/>
    </row>
    <row r="126" spans="1:6" x14ac:dyDescent="0.25">
      <c r="A126" s="48">
        <v>2008</v>
      </c>
      <c r="B126" s="43" t="s">
        <v>11</v>
      </c>
      <c r="C126" s="16">
        <v>4</v>
      </c>
      <c r="D126" s="25">
        <v>13991.101427824766</v>
      </c>
      <c r="E126" s="25"/>
      <c r="F126" s="25"/>
    </row>
    <row r="127" spans="1:6" x14ac:dyDescent="0.25">
      <c r="A127" s="48">
        <v>2008</v>
      </c>
      <c r="B127" s="43" t="s">
        <v>12</v>
      </c>
      <c r="C127" s="16">
        <v>8</v>
      </c>
      <c r="D127" s="25">
        <v>6966.102651973556</v>
      </c>
      <c r="E127" s="25"/>
      <c r="F127" s="25"/>
    </row>
    <row r="128" spans="1:6" x14ac:dyDescent="0.25">
      <c r="A128" s="48">
        <v>2008</v>
      </c>
      <c r="B128" s="43" t="s">
        <v>13</v>
      </c>
      <c r="C128" s="16">
        <v>13</v>
      </c>
      <c r="D128" s="25">
        <v>2532.5333267390947</v>
      </c>
      <c r="E128" s="25"/>
      <c r="F128" s="25"/>
    </row>
    <row r="129" spans="1:6" x14ac:dyDescent="0.25">
      <c r="A129" s="48">
        <v>2008</v>
      </c>
      <c r="B129" s="43" t="s">
        <v>14</v>
      </c>
      <c r="C129" s="16">
        <v>1</v>
      </c>
      <c r="D129" s="25">
        <v>13775.148973606703</v>
      </c>
      <c r="E129" s="25"/>
      <c r="F129" s="25"/>
    </row>
    <row r="130" spans="1:6" x14ac:dyDescent="0.25">
      <c r="A130" s="48">
        <v>2008</v>
      </c>
      <c r="B130" s="43" t="s">
        <v>15</v>
      </c>
      <c r="C130" s="16">
        <v>11</v>
      </c>
      <c r="D130" s="25">
        <v>5560.7756961151053</v>
      </c>
      <c r="E130" s="25"/>
      <c r="F130" s="25"/>
    </row>
    <row r="131" spans="1:6" x14ac:dyDescent="0.25">
      <c r="A131" s="48">
        <v>2008</v>
      </c>
      <c r="B131" s="43" t="s">
        <v>16</v>
      </c>
      <c r="C131" s="16">
        <v>3</v>
      </c>
      <c r="D131" s="25">
        <v>10828.706776282988</v>
      </c>
      <c r="E131" s="25"/>
      <c r="F131" s="25"/>
    </row>
    <row r="132" spans="1:6" x14ac:dyDescent="0.25">
      <c r="A132" s="48">
        <v>2008</v>
      </c>
      <c r="B132" s="43" t="s">
        <v>17</v>
      </c>
      <c r="C132" s="16">
        <v>12</v>
      </c>
      <c r="D132" s="25">
        <v>11753.048720473937</v>
      </c>
      <c r="E132" s="25"/>
      <c r="F132" s="25"/>
    </row>
    <row r="133" spans="1:6" x14ac:dyDescent="0.25">
      <c r="A133" s="48">
        <v>2008</v>
      </c>
      <c r="B133" s="43" t="s">
        <v>18</v>
      </c>
      <c r="C133" s="16">
        <v>10</v>
      </c>
      <c r="D133" s="25">
        <v>30959.729118353116</v>
      </c>
      <c r="E133" s="25"/>
      <c r="F133" s="25"/>
    </row>
    <row r="134" spans="1:6" x14ac:dyDescent="0.25">
      <c r="A134" s="48">
        <v>2008</v>
      </c>
      <c r="B134" s="43" t="s">
        <v>19</v>
      </c>
      <c r="C134" s="16">
        <v>7</v>
      </c>
      <c r="D134" s="25">
        <v>5410.2633795388801</v>
      </c>
      <c r="E134" s="25"/>
      <c r="F134" s="25"/>
    </row>
    <row r="135" spans="1:6" x14ac:dyDescent="0.25">
      <c r="A135"/>
      <c r="B135" s="3"/>
      <c r="C135"/>
    </row>
    <row r="136" spans="1:6" x14ac:dyDescent="0.25">
      <c r="A136"/>
      <c r="B136" s="3"/>
      <c r="C136"/>
    </row>
    <row r="137" spans="1:6" x14ac:dyDescent="0.25">
      <c r="A137"/>
      <c r="B137" s="3"/>
      <c r="C137"/>
    </row>
    <row r="138" spans="1:6" x14ac:dyDescent="0.25">
      <c r="A138"/>
      <c r="B138" s="3"/>
      <c r="C138"/>
    </row>
    <row r="139" spans="1:6" x14ac:dyDescent="0.25">
      <c r="A139"/>
      <c r="B139" s="3"/>
      <c r="C139"/>
    </row>
    <row r="140" spans="1:6" x14ac:dyDescent="0.25">
      <c r="A140"/>
      <c r="B140" s="3"/>
      <c r="C140"/>
    </row>
    <row r="141" spans="1:6" x14ac:dyDescent="0.25">
      <c r="A141"/>
      <c r="B141" s="3"/>
      <c r="C141"/>
    </row>
    <row r="142" spans="1:6" x14ac:dyDescent="0.25">
      <c r="A142"/>
      <c r="B142" s="3"/>
      <c r="C142"/>
    </row>
    <row r="143" spans="1:6" x14ac:dyDescent="0.25">
      <c r="A143"/>
      <c r="B143" s="3"/>
      <c r="C143"/>
    </row>
    <row r="144" spans="1:6" x14ac:dyDescent="0.25">
      <c r="A144"/>
      <c r="B144" s="3"/>
      <c r="C144"/>
    </row>
    <row r="145" spans="1:3" x14ac:dyDescent="0.25">
      <c r="A145"/>
      <c r="B145" s="3"/>
      <c r="C145"/>
    </row>
    <row r="146" spans="1:3" x14ac:dyDescent="0.25">
      <c r="A146"/>
      <c r="B146" s="3"/>
      <c r="C146"/>
    </row>
    <row r="147" spans="1:3" x14ac:dyDescent="0.25">
      <c r="A147" s="1"/>
      <c r="B147" s="4"/>
      <c r="C147"/>
    </row>
    <row r="148" spans="1:3" x14ac:dyDescent="0.25">
      <c r="A148" s="1"/>
      <c r="B148" s="4"/>
      <c r="C148"/>
    </row>
    <row r="149" spans="1:3" x14ac:dyDescent="0.25">
      <c r="A149" s="1"/>
      <c r="B149" s="4"/>
      <c r="C149"/>
    </row>
    <row r="150" spans="1:3" x14ac:dyDescent="0.25">
      <c r="A150" s="1"/>
      <c r="B150" s="4"/>
      <c r="C150"/>
    </row>
    <row r="151" spans="1:3" x14ac:dyDescent="0.25">
      <c r="A151" s="1"/>
      <c r="B151" s="4"/>
      <c r="C151"/>
    </row>
    <row r="152" spans="1:3" x14ac:dyDescent="0.25">
      <c r="A152" s="1"/>
      <c r="B152" s="4"/>
      <c r="C152"/>
    </row>
    <row r="153" spans="1:3" x14ac:dyDescent="0.25">
      <c r="A153" s="1"/>
      <c r="B153" s="4"/>
      <c r="C153"/>
    </row>
    <row r="154" spans="1:3" x14ac:dyDescent="0.25">
      <c r="A154" s="1"/>
      <c r="B154" s="4"/>
      <c r="C154"/>
    </row>
  </sheetData>
  <phoneticPr fontId="10" type="noConversion"/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2"/>
  <sheetViews>
    <sheetView workbookViewId="0">
      <pane ySplit="1" topLeftCell="A120" activePane="bottomLeft" state="frozen"/>
      <selection activeCell="E1" sqref="E1"/>
      <selection pane="bottomLeft" activeCell="N142" sqref="N142"/>
    </sheetView>
  </sheetViews>
  <sheetFormatPr defaultRowHeight="12.6" x14ac:dyDescent="0.25"/>
  <cols>
    <col min="14" max="14" width="11.33203125" customWidth="1"/>
  </cols>
  <sheetData>
    <row r="1" spans="1:29" ht="15.6" x14ac:dyDescent="0.25">
      <c r="A1" t="s">
        <v>113</v>
      </c>
      <c r="B1" t="s">
        <v>47</v>
      </c>
      <c r="C1" t="s">
        <v>21</v>
      </c>
      <c r="D1" s="31" t="s">
        <v>44</v>
      </c>
      <c r="E1" s="1" t="s">
        <v>0</v>
      </c>
      <c r="F1" s="4" t="s">
        <v>20</v>
      </c>
      <c r="G1" s="1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47" t="s">
        <v>90</v>
      </c>
      <c r="N1" s="65" t="s">
        <v>73</v>
      </c>
      <c r="O1" s="12" t="s">
        <v>23</v>
      </c>
      <c r="P1" s="12" t="s">
        <v>24</v>
      </c>
      <c r="Q1" t="s">
        <v>30</v>
      </c>
      <c r="R1" s="45" t="s">
        <v>31</v>
      </c>
      <c r="S1" s="45" t="s">
        <v>128</v>
      </c>
      <c r="T1" s="45" t="s">
        <v>127</v>
      </c>
      <c r="U1" t="s">
        <v>112</v>
      </c>
    </row>
    <row r="2" spans="1:29" x14ac:dyDescent="0.25">
      <c r="A2">
        <v>38</v>
      </c>
      <c r="B2" s="55" t="s">
        <v>49</v>
      </c>
      <c r="C2" s="55">
        <v>2000</v>
      </c>
      <c r="D2" s="56" t="s">
        <v>45</v>
      </c>
      <c r="E2" s="55">
        <v>1</v>
      </c>
      <c r="F2" s="58" t="s">
        <v>7</v>
      </c>
      <c r="G2" s="57">
        <v>1000</v>
      </c>
      <c r="H2" s="57">
        <v>0.19334554600143763</v>
      </c>
      <c r="I2" s="57">
        <v>0.19204153900273002</v>
      </c>
      <c r="J2" s="57">
        <v>1.5817101305637671E-2</v>
      </c>
      <c r="K2" s="57">
        <v>0.17015079076981476</v>
      </c>
      <c r="L2" s="57">
        <v>0.22153952128045462</v>
      </c>
      <c r="M2" s="55">
        <v>26709.392178515798</v>
      </c>
      <c r="N2" s="113">
        <v>5129.3127797896541</v>
      </c>
      <c r="O2" s="60">
        <v>4544.6242001555684</v>
      </c>
      <c r="P2" s="60">
        <v>5917.1859569203089</v>
      </c>
      <c r="Q2" s="55">
        <v>11.2</v>
      </c>
      <c r="R2" s="61">
        <v>57448.30313364412</v>
      </c>
      <c r="S2" s="61"/>
      <c r="T2" s="61"/>
      <c r="U2" s="55">
        <v>6</v>
      </c>
    </row>
    <row r="3" spans="1:29" x14ac:dyDescent="0.25">
      <c r="A3">
        <v>39</v>
      </c>
      <c r="B3" s="55" t="s">
        <v>49</v>
      </c>
      <c r="C3" s="55">
        <v>2000</v>
      </c>
      <c r="D3" s="56" t="s">
        <v>45</v>
      </c>
      <c r="E3" s="55">
        <v>2</v>
      </c>
      <c r="F3" s="58" t="s">
        <v>8</v>
      </c>
      <c r="G3" s="57">
        <v>1000</v>
      </c>
      <c r="H3" s="57">
        <v>3.7042118726324032E-3</v>
      </c>
      <c r="I3" s="57">
        <v>2.0250927152073118E-3</v>
      </c>
      <c r="J3" s="57">
        <v>3.9118718504905165E-3</v>
      </c>
      <c r="K3" s="57">
        <v>9.4825543828373055E-4</v>
      </c>
      <c r="L3" s="57">
        <v>1.3292194265810572E-2</v>
      </c>
      <c r="M3" s="55">
        <v>6005.7686320795974</v>
      </c>
      <c r="N3" s="113">
        <v>12.162238306044975</v>
      </c>
      <c r="O3" s="60">
        <v>5.6950027664433192</v>
      </c>
      <c r="P3" s="60">
        <v>79.82984337311342</v>
      </c>
      <c r="Q3" s="55">
        <v>19.399999999999999</v>
      </c>
      <c r="R3" s="61">
        <v>235.94742313727249</v>
      </c>
      <c r="S3" s="61"/>
      <c r="T3" s="61"/>
      <c r="U3" s="55">
        <v>11</v>
      </c>
    </row>
    <row r="4" spans="1:29" x14ac:dyDescent="0.25">
      <c r="A4">
        <v>40</v>
      </c>
      <c r="B4" s="55" t="s">
        <v>49</v>
      </c>
      <c r="C4" s="55">
        <v>2000</v>
      </c>
      <c r="D4" s="56" t="s">
        <v>45</v>
      </c>
      <c r="E4" s="55">
        <v>3</v>
      </c>
      <c r="F4" s="58" t="s">
        <v>9</v>
      </c>
      <c r="G4" s="57">
        <v>1000</v>
      </c>
      <c r="H4" s="57">
        <v>0.15015765570185899</v>
      </c>
      <c r="I4" s="57">
        <v>0.14821783220864465</v>
      </c>
      <c r="J4" s="57">
        <v>3.0366791846684647E-2</v>
      </c>
      <c r="K4" s="57">
        <v>0.10210558694279045</v>
      </c>
      <c r="L4" s="57">
        <v>0.20331565098789553</v>
      </c>
      <c r="M4" s="55">
        <v>17333.456457881595</v>
      </c>
      <c r="N4" s="113">
        <v>2569.1273408701422</v>
      </c>
      <c r="O4" s="60">
        <v>1769.842745379302</v>
      </c>
      <c r="P4" s="60">
        <v>3524.1629836045381</v>
      </c>
      <c r="Q4" s="55">
        <v>11.6</v>
      </c>
      <c r="R4" s="61">
        <v>29801.87715409365</v>
      </c>
      <c r="S4" s="61"/>
      <c r="T4" s="61"/>
      <c r="U4" s="55">
        <v>8</v>
      </c>
    </row>
    <row r="5" spans="1:29" x14ac:dyDescent="0.25">
      <c r="A5">
        <v>42</v>
      </c>
      <c r="B5" s="55" t="s">
        <v>49</v>
      </c>
      <c r="C5" s="55">
        <v>2000</v>
      </c>
      <c r="D5" s="56" t="s">
        <v>45</v>
      </c>
      <c r="E5" s="55">
        <v>5</v>
      </c>
      <c r="F5" s="58" t="s">
        <v>11</v>
      </c>
      <c r="G5" s="57">
        <v>1000</v>
      </c>
      <c r="H5" s="57">
        <v>4.9688422757716202E-3</v>
      </c>
      <c r="I5" s="57">
        <v>4.7215802496159793E-3</v>
      </c>
      <c r="J5" s="57">
        <v>1.1211075652277096E-3</v>
      </c>
      <c r="K5" s="57">
        <v>3.579389550658319E-3</v>
      </c>
      <c r="L5" s="57">
        <v>7.0577272483722166E-3</v>
      </c>
      <c r="M5" s="55">
        <v>24378.087275025355</v>
      </c>
      <c r="N5" s="113">
        <v>115.10309540117434</v>
      </c>
      <c r="O5" s="60">
        <v>87.258670857262288</v>
      </c>
      <c r="P5" s="60">
        <v>172.05389082414246</v>
      </c>
      <c r="Q5" s="55">
        <v>10.9</v>
      </c>
      <c r="R5" s="61">
        <v>1254.6237398728003</v>
      </c>
      <c r="S5" s="61"/>
      <c r="T5" s="61"/>
      <c r="U5" s="55">
        <v>10</v>
      </c>
    </row>
    <row r="6" spans="1:29" x14ac:dyDescent="0.25">
      <c r="A6">
        <v>43</v>
      </c>
      <c r="B6" s="55" t="s">
        <v>49</v>
      </c>
      <c r="C6" s="55">
        <v>2000</v>
      </c>
      <c r="D6" s="56" t="s">
        <v>45</v>
      </c>
      <c r="E6" s="55">
        <v>6</v>
      </c>
      <c r="F6" s="58" t="s">
        <v>12</v>
      </c>
      <c r="G6" s="57">
        <v>1000</v>
      </c>
      <c r="H6" s="57">
        <v>5.9950867652771474E-3</v>
      </c>
      <c r="I6" s="57">
        <v>5.3922679403238562E-3</v>
      </c>
      <c r="J6" s="57">
        <v>2.3612762335199506E-3</v>
      </c>
      <c r="K6" s="57">
        <v>3.2535578149322968E-3</v>
      </c>
      <c r="L6" s="57">
        <v>1.0694734297099471E-2</v>
      </c>
      <c r="M6" s="55">
        <v>28396.111726234154</v>
      </c>
      <c r="N6" s="113">
        <v>153.11944289122675</v>
      </c>
      <c r="O6" s="60">
        <v>92.388391220579763</v>
      </c>
      <c r="P6" s="60">
        <v>303.68886998282488</v>
      </c>
      <c r="Q6" s="55">
        <v>11.5</v>
      </c>
      <c r="R6" s="61">
        <v>1760.8735932491077</v>
      </c>
      <c r="S6" s="61"/>
      <c r="T6" s="61"/>
      <c r="U6" s="55">
        <v>9</v>
      </c>
    </row>
    <row r="7" spans="1:29" x14ac:dyDescent="0.25">
      <c r="A7">
        <v>44</v>
      </c>
      <c r="B7" t="s">
        <v>50</v>
      </c>
      <c r="C7">
        <v>2001</v>
      </c>
      <c r="D7" s="31" t="s">
        <v>45</v>
      </c>
      <c r="E7" s="1">
        <v>1</v>
      </c>
      <c r="F7" s="4" t="s">
        <v>7</v>
      </c>
      <c r="G7" s="1">
        <v>1000</v>
      </c>
      <c r="H7" s="1">
        <v>5.8622268121275353E-3</v>
      </c>
      <c r="I7" s="1">
        <v>4.1414639788384579E-3</v>
      </c>
      <c r="J7" s="1">
        <v>4.8402642693663976E-3</v>
      </c>
      <c r="K7" s="1">
        <v>3.001791128363439E-3</v>
      </c>
      <c r="L7" s="1">
        <v>1.9360922113982028E-2</v>
      </c>
      <c r="M7">
        <v>20710.167560200389</v>
      </c>
      <c r="N7" s="65">
        <v>85.770412946278668</v>
      </c>
      <c r="O7" s="12">
        <v>62.167597249129813</v>
      </c>
      <c r="P7" s="12">
        <v>400.96794110055691</v>
      </c>
      <c r="Q7">
        <v>16</v>
      </c>
      <c r="R7" s="45">
        <v>1372.3266071404587</v>
      </c>
      <c r="S7" s="45"/>
      <c r="T7" s="45"/>
      <c r="U7" s="16">
        <v>10</v>
      </c>
      <c r="V7" s="57"/>
      <c r="W7" s="57"/>
      <c r="X7" s="57"/>
      <c r="Y7" s="57"/>
      <c r="Z7" s="57"/>
      <c r="AA7" s="57"/>
      <c r="AB7" s="57"/>
      <c r="AC7" s="57"/>
    </row>
    <row r="8" spans="1:29" x14ac:dyDescent="0.25">
      <c r="A8">
        <v>45</v>
      </c>
      <c r="B8" t="s">
        <v>50</v>
      </c>
      <c r="C8">
        <v>2001</v>
      </c>
      <c r="D8" s="31" t="s">
        <v>45</v>
      </c>
      <c r="E8" s="1">
        <v>2</v>
      </c>
      <c r="F8" s="4" t="s">
        <v>8</v>
      </c>
      <c r="G8" s="1">
        <v>1000</v>
      </c>
      <c r="H8" s="1">
        <v>1.5184562548149906E-2</v>
      </c>
      <c r="I8" s="1">
        <v>1.3727788988184492E-2</v>
      </c>
      <c r="J8" s="1">
        <v>5.6351174589603986E-3</v>
      </c>
      <c r="K8" s="1">
        <v>9.7238576245295659E-3</v>
      </c>
      <c r="L8" s="1">
        <v>2.7505621922670032E-2</v>
      </c>
      <c r="M8">
        <v>12937.515211791189</v>
      </c>
      <c r="N8" s="65">
        <v>177.60347885889644</v>
      </c>
      <c r="O8" s="12">
        <v>125.802555934643</v>
      </c>
      <c r="P8" s="12">
        <v>355.85440203432074</v>
      </c>
      <c r="Q8">
        <v>15.2</v>
      </c>
      <c r="R8" s="45">
        <v>2699.5728786552258</v>
      </c>
      <c r="S8" s="45"/>
      <c r="T8" s="45"/>
      <c r="U8" s="16">
        <v>7</v>
      </c>
    </row>
    <row r="9" spans="1:29" x14ac:dyDescent="0.25">
      <c r="A9">
        <v>46</v>
      </c>
      <c r="B9" t="s">
        <v>50</v>
      </c>
      <c r="C9">
        <v>2001</v>
      </c>
      <c r="D9" s="31" t="s">
        <v>45</v>
      </c>
      <c r="E9" s="1">
        <v>3</v>
      </c>
      <c r="F9" s="4" t="s">
        <v>9</v>
      </c>
      <c r="G9" s="1">
        <v>1000</v>
      </c>
      <c r="H9" s="1">
        <v>0.52584448887725721</v>
      </c>
      <c r="I9" s="1">
        <v>0.50443851518591021</v>
      </c>
      <c r="J9" s="1">
        <v>0.13846954577092449</v>
      </c>
      <c r="K9" s="1">
        <v>0.3330968502550119</v>
      </c>
      <c r="L9" s="1">
        <v>0.77475298907341539</v>
      </c>
      <c r="M9">
        <v>10953.043037802479</v>
      </c>
      <c r="N9" s="65">
        <v>5525.1367667564537</v>
      </c>
      <c r="O9" s="12">
        <v>3648.4241365995931</v>
      </c>
      <c r="P9" s="12">
        <v>8485.9028329872326</v>
      </c>
      <c r="Q9">
        <v>12.6</v>
      </c>
      <c r="R9" s="45">
        <v>69616.723261131308</v>
      </c>
      <c r="S9" s="45"/>
      <c r="T9" s="45"/>
      <c r="U9" s="16">
        <v>1</v>
      </c>
    </row>
    <row r="10" spans="1:29" x14ac:dyDescent="0.25">
      <c r="A10">
        <v>48</v>
      </c>
      <c r="B10" t="s">
        <v>50</v>
      </c>
      <c r="C10">
        <v>2001</v>
      </c>
      <c r="D10" s="31" t="s">
        <v>45</v>
      </c>
      <c r="E10" s="1">
        <v>5</v>
      </c>
      <c r="F10" s="4" t="s">
        <v>11</v>
      </c>
      <c r="G10" s="1">
        <v>1000</v>
      </c>
      <c r="H10" s="1">
        <v>0.13958515751941605</v>
      </c>
      <c r="I10" s="1">
        <v>6.897964610021419E-2</v>
      </c>
      <c r="J10" s="1">
        <v>0.28676010803144075</v>
      </c>
      <c r="K10" s="1">
        <v>5.1237694860886168E-2</v>
      </c>
      <c r="L10" s="1">
        <v>1.0832897959380876</v>
      </c>
      <c r="M10">
        <v>13991.101427824766</v>
      </c>
      <c r="N10" s="65">
        <v>965.10122504355377</v>
      </c>
      <c r="O10" s="12">
        <v>716.87178572659411</v>
      </c>
      <c r="P10" s="12">
        <v>15156.417410697377</v>
      </c>
      <c r="Q10">
        <v>11.6</v>
      </c>
      <c r="R10" s="45">
        <v>11195.174210505224</v>
      </c>
      <c r="S10" s="45"/>
      <c r="T10" s="45"/>
      <c r="U10" s="16">
        <v>3</v>
      </c>
    </row>
    <row r="11" spans="1:29" x14ac:dyDescent="0.25">
      <c r="A11">
        <v>49</v>
      </c>
      <c r="B11" t="s">
        <v>50</v>
      </c>
      <c r="C11">
        <v>2001</v>
      </c>
      <c r="D11" s="31" t="s">
        <v>45</v>
      </c>
      <c r="E11" s="1">
        <v>6</v>
      </c>
      <c r="F11" s="4" t="s">
        <v>12</v>
      </c>
      <c r="G11" s="1">
        <v>1000</v>
      </c>
      <c r="H11" s="1">
        <v>2.9209475275453943E-2</v>
      </c>
      <c r="I11" s="1">
        <v>1.8777124551072704E-2</v>
      </c>
      <c r="J11" s="1">
        <v>2.3533731247991616E-2</v>
      </c>
      <c r="K11" s="1">
        <v>8.7977820835280374E-3</v>
      </c>
      <c r="L11" s="1">
        <v>7.6175973880173373E-2</v>
      </c>
      <c r="M11">
        <v>6966.102651973556</v>
      </c>
      <c r="N11" s="65">
        <v>130.80337713166534</v>
      </c>
      <c r="O11" s="12">
        <v>61.286253103550102</v>
      </c>
      <c r="P11" s="12">
        <v>530.64965366334411</v>
      </c>
      <c r="Q11">
        <v>11.6</v>
      </c>
      <c r="R11" s="45">
        <v>1517.3191747273179</v>
      </c>
      <c r="S11" s="45"/>
      <c r="T11" s="45"/>
      <c r="U11" s="16">
        <v>9</v>
      </c>
      <c r="V11" s="57"/>
      <c r="W11" s="57"/>
      <c r="X11" s="57"/>
      <c r="Y11" s="57"/>
      <c r="Z11" s="57"/>
      <c r="AA11" s="57"/>
      <c r="AB11" s="57"/>
      <c r="AC11" s="57"/>
    </row>
    <row r="12" spans="1:29" x14ac:dyDescent="0.25">
      <c r="A12">
        <v>50</v>
      </c>
      <c r="B12" t="s">
        <v>50</v>
      </c>
      <c r="C12">
        <v>2001</v>
      </c>
      <c r="D12" s="31" t="s">
        <v>45</v>
      </c>
      <c r="E12" s="1">
        <v>7</v>
      </c>
      <c r="F12" s="4" t="s">
        <v>13</v>
      </c>
      <c r="G12" s="1">
        <v>1000</v>
      </c>
      <c r="H12" s="1">
        <v>1.3003348687654239E-2</v>
      </c>
      <c r="I12" s="1">
        <v>1.2755167923229862E-2</v>
      </c>
      <c r="J12" s="1">
        <v>4.0002115797094619E-3</v>
      </c>
      <c r="K12" s="1">
        <v>6.7084986470144501E-3</v>
      </c>
      <c r="L12" s="1">
        <v>2.0726717168338026E-2</v>
      </c>
      <c r="M12">
        <v>2532.5333267390947</v>
      </c>
      <c r="N12" s="65">
        <v>32.302887853733111</v>
      </c>
      <c r="O12" s="12">
        <v>16.989496395948223</v>
      </c>
      <c r="P12" s="12">
        <v>52.491101982711413</v>
      </c>
      <c r="Q12">
        <v>19.100000000000001</v>
      </c>
      <c r="R12" s="45">
        <v>616.98515800630241</v>
      </c>
      <c r="S12" s="45"/>
      <c r="T12" s="45"/>
      <c r="U12" s="16">
        <v>11</v>
      </c>
      <c r="V12" s="57"/>
      <c r="W12" s="57"/>
      <c r="X12" s="57"/>
      <c r="Y12" s="57"/>
      <c r="Z12" s="57"/>
      <c r="AA12" s="57"/>
      <c r="AB12" s="57"/>
      <c r="AC12" s="57"/>
    </row>
    <row r="13" spans="1:29" x14ac:dyDescent="0.25">
      <c r="A13">
        <v>51</v>
      </c>
      <c r="B13" t="s">
        <v>50</v>
      </c>
      <c r="C13">
        <v>2001</v>
      </c>
      <c r="D13" s="31" t="s">
        <v>45</v>
      </c>
      <c r="E13" s="1">
        <v>8</v>
      </c>
      <c r="F13" s="4" t="s">
        <v>14</v>
      </c>
      <c r="G13" s="1">
        <v>1000</v>
      </c>
      <c r="H13" s="1">
        <v>2.8853490071401307E-2</v>
      </c>
      <c r="I13" s="1">
        <v>2.8664781476841386E-2</v>
      </c>
      <c r="J13" s="1">
        <v>8.827453619413379E-3</v>
      </c>
      <c r="K13" s="1">
        <v>1.5806346434638387E-2</v>
      </c>
      <c r="L13" s="1">
        <v>4.3623163738825535E-2</v>
      </c>
      <c r="M13">
        <v>13775.148973606703</v>
      </c>
      <c r="N13" s="65">
        <v>394.86163513937208</v>
      </c>
      <c r="O13" s="12">
        <v>217.73477686558095</v>
      </c>
      <c r="P13" s="12">
        <v>600.91557920235971</v>
      </c>
      <c r="Q13">
        <v>13.2</v>
      </c>
      <c r="R13" s="45">
        <v>5212.1735838397108</v>
      </c>
      <c r="S13" s="45"/>
      <c r="T13" s="45"/>
      <c r="U13" s="16">
        <v>5</v>
      </c>
    </row>
    <row r="14" spans="1:29" x14ac:dyDescent="0.25">
      <c r="A14">
        <v>52</v>
      </c>
      <c r="B14" t="s">
        <v>50</v>
      </c>
      <c r="C14">
        <v>2001</v>
      </c>
      <c r="D14" s="31" t="s">
        <v>45</v>
      </c>
      <c r="E14" s="1">
        <v>9</v>
      </c>
      <c r="F14" s="4" t="s">
        <v>15</v>
      </c>
      <c r="G14" s="1">
        <v>1000</v>
      </c>
      <c r="H14" s="1">
        <v>6.3344536944064361E-2</v>
      </c>
      <c r="I14" s="1">
        <v>5.6354871010670382E-2</v>
      </c>
      <c r="J14" s="1">
        <v>2.3378192723356173E-2</v>
      </c>
      <c r="K14" s="1">
        <v>3.8597410773730377E-2</v>
      </c>
      <c r="L14" s="1">
        <v>0.11619566249259854</v>
      </c>
      <c r="M14">
        <v>5560.7756961151053</v>
      </c>
      <c r="N14" s="65">
        <v>313.37679707383757</v>
      </c>
      <c r="O14" s="12">
        <v>214.6315437635312</v>
      </c>
      <c r="P14" s="12">
        <v>646.13801598283544</v>
      </c>
      <c r="Q14">
        <v>15.6</v>
      </c>
      <c r="R14" s="45">
        <v>4888.6780343518658</v>
      </c>
      <c r="S14" s="45"/>
      <c r="T14" s="45"/>
      <c r="U14" s="16">
        <v>6</v>
      </c>
    </row>
    <row r="15" spans="1:29" x14ac:dyDescent="0.25">
      <c r="A15">
        <v>53</v>
      </c>
      <c r="B15" t="s">
        <v>50</v>
      </c>
      <c r="C15">
        <v>2001</v>
      </c>
      <c r="D15" s="31" t="s">
        <v>45</v>
      </c>
      <c r="E15" s="1">
        <v>10</v>
      </c>
      <c r="F15" s="4" t="s">
        <v>16</v>
      </c>
      <c r="G15" s="1">
        <v>1000</v>
      </c>
      <c r="H15" s="1">
        <v>0.14903983196873805</v>
      </c>
      <c r="I15" s="1">
        <v>0.14501489539831192</v>
      </c>
      <c r="J15" s="1">
        <v>2.49727628176463E-2</v>
      </c>
      <c r="K15" s="1">
        <v>0.11656132496382843</v>
      </c>
      <c r="L15" s="1">
        <v>0.19746788825331041</v>
      </c>
      <c r="M15">
        <v>10828.706776282988</v>
      </c>
      <c r="N15" s="65">
        <v>1570.323780461669</v>
      </c>
      <c r="O15" s="12">
        <v>1262.2084094883323</v>
      </c>
      <c r="P15" s="12">
        <v>2138.3218596269144</v>
      </c>
      <c r="Q15">
        <v>12.1</v>
      </c>
      <c r="R15" s="45">
        <v>19000.917743586193</v>
      </c>
      <c r="S15" s="45"/>
      <c r="T15" s="45"/>
      <c r="U15" s="16">
        <v>2</v>
      </c>
    </row>
    <row r="16" spans="1:29" x14ac:dyDescent="0.25">
      <c r="A16">
        <v>56</v>
      </c>
      <c r="B16" t="s">
        <v>50</v>
      </c>
      <c r="C16">
        <v>2001</v>
      </c>
      <c r="D16" s="31" t="s">
        <v>45</v>
      </c>
      <c r="E16" s="1">
        <v>13</v>
      </c>
      <c r="F16" s="4" t="s">
        <v>19</v>
      </c>
      <c r="G16" s="1">
        <v>1000</v>
      </c>
      <c r="H16" s="1">
        <v>0.20314106352534064</v>
      </c>
      <c r="I16" s="1">
        <v>0.17352071700362656</v>
      </c>
      <c r="J16" s="1">
        <v>0.10790203539542109</v>
      </c>
      <c r="K16" s="1">
        <v>8.5912145363866696E-2</v>
      </c>
      <c r="L16" s="1">
        <v>0.40233240647232482</v>
      </c>
      <c r="M16">
        <v>5410.2633795388801</v>
      </c>
      <c r="N16" s="65">
        <v>938.79278079605024</v>
      </c>
      <c r="O16" s="12">
        <v>464.80733391974894</v>
      </c>
      <c r="P16" s="12">
        <v>2176.7242851389706</v>
      </c>
      <c r="Q16">
        <v>11.6</v>
      </c>
      <c r="R16" s="45">
        <v>10889.996257234183</v>
      </c>
      <c r="S16" s="45"/>
      <c r="T16" s="45"/>
      <c r="U16" s="16">
        <v>4</v>
      </c>
    </row>
    <row r="17" spans="1:29" x14ac:dyDescent="0.25">
      <c r="A17">
        <v>57</v>
      </c>
      <c r="B17" s="55" t="s">
        <v>51</v>
      </c>
      <c r="C17" s="55">
        <v>2002</v>
      </c>
      <c r="D17" s="56" t="s">
        <v>45</v>
      </c>
      <c r="E17" s="57">
        <v>1</v>
      </c>
      <c r="F17" s="58" t="s">
        <v>7</v>
      </c>
      <c r="G17" s="57">
        <v>1000</v>
      </c>
      <c r="H17" s="57">
        <v>6.7286033629636961E-3</v>
      </c>
      <c r="I17" s="57">
        <v>5.6372691502914116E-3</v>
      </c>
      <c r="J17" s="57">
        <v>3.4160077895843783E-3</v>
      </c>
      <c r="K17" s="57">
        <v>4.1338005370532942E-3</v>
      </c>
      <c r="L17" s="57">
        <v>1.4877100416514417E-2</v>
      </c>
      <c r="M17" s="59">
        <v>21727.53118530977</v>
      </c>
      <c r="N17" s="113">
        <v>122.48394126294136</v>
      </c>
      <c r="O17" s="60">
        <v>89.817280082675722</v>
      </c>
      <c r="P17" s="60">
        <v>323.24266324680195</v>
      </c>
      <c r="Q17" s="55">
        <v>11.2</v>
      </c>
      <c r="R17" s="61">
        <v>1371.820142144943</v>
      </c>
      <c r="S17" s="61"/>
      <c r="T17" s="61"/>
      <c r="U17" s="55">
        <v>9</v>
      </c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>
        <v>58</v>
      </c>
      <c r="B18" s="55" t="s">
        <v>51</v>
      </c>
      <c r="C18" s="55">
        <v>2002</v>
      </c>
      <c r="D18" s="56" t="s">
        <v>45</v>
      </c>
      <c r="E18" s="57">
        <v>2</v>
      </c>
      <c r="F18" s="58" t="s">
        <v>8</v>
      </c>
      <c r="G18" s="57">
        <v>1000</v>
      </c>
      <c r="H18" s="57">
        <v>1.7034098755724123E-2</v>
      </c>
      <c r="I18" s="57">
        <v>1.5732487936215522E-2</v>
      </c>
      <c r="J18" s="57">
        <v>8.0328251325464829E-3</v>
      </c>
      <c r="K18" s="57">
        <v>6.8194970043115814E-3</v>
      </c>
      <c r="L18" s="57">
        <v>3.2371140377338417E-2</v>
      </c>
      <c r="M18" s="59">
        <v>11555.924996488471</v>
      </c>
      <c r="N18" s="113">
        <v>181.80345059906628</v>
      </c>
      <c r="O18" s="60">
        <v>78.805595895602451</v>
      </c>
      <c r="P18" s="60">
        <v>374.07847025132224</v>
      </c>
      <c r="Q18" s="55">
        <v>6.6</v>
      </c>
      <c r="R18" s="61">
        <v>1199.9027739538374</v>
      </c>
      <c r="S18" s="61"/>
      <c r="T18" s="61"/>
      <c r="U18" s="55">
        <v>10</v>
      </c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>
        <v>59</v>
      </c>
      <c r="B19" s="55" t="s">
        <v>51</v>
      </c>
      <c r="C19" s="55">
        <v>2002</v>
      </c>
      <c r="D19" s="56" t="s">
        <v>45</v>
      </c>
      <c r="E19" s="57">
        <v>3</v>
      </c>
      <c r="F19" s="58" t="s">
        <v>9</v>
      </c>
      <c r="G19" s="57">
        <v>1000</v>
      </c>
      <c r="H19" s="57">
        <v>0.15637788808116776</v>
      </c>
      <c r="I19" s="57">
        <v>0.15381938708501156</v>
      </c>
      <c r="J19" s="57">
        <v>1.9567124938122002E-2</v>
      </c>
      <c r="K19" s="57">
        <v>0.13146775454416593</v>
      </c>
      <c r="L19" s="57">
        <v>0.19419433287624402</v>
      </c>
      <c r="M19" s="59">
        <v>8875.6810357629201</v>
      </c>
      <c r="N19" s="113">
        <v>1365.251816883113</v>
      </c>
      <c r="O19" s="60">
        <v>1166.8658558219879</v>
      </c>
      <c r="P19" s="60">
        <v>1723.6069575623108</v>
      </c>
      <c r="Q19" s="55">
        <v>11.1</v>
      </c>
      <c r="R19" s="61">
        <v>15154.295167402553</v>
      </c>
      <c r="S19" s="61"/>
      <c r="T19" s="61"/>
      <c r="U19" s="55">
        <v>3</v>
      </c>
      <c r="V19" s="57"/>
      <c r="W19" s="57"/>
      <c r="X19" s="57"/>
      <c r="Y19" s="57"/>
      <c r="Z19" s="57"/>
      <c r="AA19" s="57"/>
      <c r="AB19" s="57"/>
      <c r="AC19" s="57"/>
    </row>
    <row r="20" spans="1:29" x14ac:dyDescent="0.25">
      <c r="A20">
        <v>61</v>
      </c>
      <c r="B20" s="55" t="s">
        <v>51</v>
      </c>
      <c r="C20" s="55">
        <v>2002</v>
      </c>
      <c r="D20" s="56" t="s">
        <v>45</v>
      </c>
      <c r="E20" s="57">
        <v>5</v>
      </c>
      <c r="F20" s="58" t="s">
        <v>11</v>
      </c>
      <c r="G20" s="57">
        <v>1000</v>
      </c>
      <c r="H20" s="57">
        <v>9.9051799515496211E-2</v>
      </c>
      <c r="I20" s="57">
        <v>9.6084769952419602E-2</v>
      </c>
      <c r="J20" s="57">
        <v>1.1636825983047825E-2</v>
      </c>
      <c r="K20" s="57">
        <v>8.5277655800826663E-2</v>
      </c>
      <c r="L20" s="57">
        <v>0.12363299653960805</v>
      </c>
      <c r="M20" s="59">
        <v>12042.09009683687</v>
      </c>
      <c r="N20" s="113">
        <v>1157.0614567008809</v>
      </c>
      <c r="O20" s="60">
        <v>1026.921214400598</v>
      </c>
      <c r="P20" s="60">
        <v>1488.7996832718811</v>
      </c>
      <c r="Q20" s="55">
        <v>16.899999999999999</v>
      </c>
      <c r="R20" s="61">
        <v>19554.338618244885</v>
      </c>
      <c r="S20" s="61"/>
      <c r="T20" s="61"/>
      <c r="U20" s="55">
        <v>2</v>
      </c>
      <c r="V20" s="57"/>
      <c r="W20" s="57"/>
      <c r="X20" s="57"/>
      <c r="Y20" s="57"/>
      <c r="Z20" s="57"/>
      <c r="AA20" s="57"/>
      <c r="AB20" s="57"/>
      <c r="AC20" s="57"/>
    </row>
    <row r="21" spans="1:29" x14ac:dyDescent="0.25">
      <c r="A21">
        <v>62</v>
      </c>
      <c r="B21" s="55" t="s">
        <v>51</v>
      </c>
      <c r="C21" s="55">
        <v>2002</v>
      </c>
      <c r="D21" s="56" t="s">
        <v>45</v>
      </c>
      <c r="E21" s="57">
        <v>6</v>
      </c>
      <c r="F21" s="58" t="s">
        <v>12</v>
      </c>
      <c r="G21" s="57">
        <v>1000</v>
      </c>
      <c r="H21" s="57">
        <v>4.8179383564428073E-2</v>
      </c>
      <c r="I21" s="57">
        <v>4.7727728264524615E-2</v>
      </c>
      <c r="J21" s="57">
        <v>4.8009131692554009E-3</v>
      </c>
      <c r="K21" s="57">
        <v>4.1227945478978581E-2</v>
      </c>
      <c r="L21" s="57">
        <v>5.6779578671171935E-2</v>
      </c>
      <c r="M21" s="59">
        <v>7874.607443882147</v>
      </c>
      <c r="N21" s="113">
        <v>375.83712427140989</v>
      </c>
      <c r="O21" s="60">
        <v>324.65388636473205</v>
      </c>
      <c r="P21" s="60">
        <v>447.11689286450252</v>
      </c>
      <c r="Q21" s="55">
        <v>12.7</v>
      </c>
      <c r="R21" s="61">
        <v>4773.1314782469053</v>
      </c>
      <c r="S21" s="61"/>
      <c r="T21" s="61"/>
      <c r="U21" s="55">
        <v>6</v>
      </c>
      <c r="V21" s="57"/>
      <c r="W21" s="57"/>
      <c r="X21" s="57"/>
      <c r="Y21" s="57"/>
      <c r="Z21" s="57"/>
      <c r="AA21" s="57"/>
      <c r="AB21" s="57"/>
      <c r="AC21" s="57"/>
    </row>
    <row r="22" spans="1:29" x14ac:dyDescent="0.25">
      <c r="A22">
        <v>63</v>
      </c>
      <c r="B22" s="55" t="s">
        <v>51</v>
      </c>
      <c r="C22" s="55">
        <v>2002</v>
      </c>
      <c r="D22" s="56" t="s">
        <v>45</v>
      </c>
      <c r="E22" s="57">
        <v>7</v>
      </c>
      <c r="F22" s="58" t="s">
        <v>13</v>
      </c>
      <c r="G22" s="57">
        <v>1000</v>
      </c>
      <c r="H22" s="57">
        <v>4.5520943490250147E-2</v>
      </c>
      <c r="I22" s="57">
        <v>4.4888161446463598E-2</v>
      </c>
      <c r="J22" s="57">
        <v>9.6494612151748812E-3</v>
      </c>
      <c r="K22" s="57">
        <v>3.0697420165893358E-2</v>
      </c>
      <c r="L22" s="57">
        <v>6.2323698903622021E-2</v>
      </c>
      <c r="M22" s="59">
        <v>3143.2289068933196</v>
      </c>
      <c r="N22" s="113">
        <v>141.09376663581864</v>
      </c>
      <c r="O22" s="60">
        <v>96.489018432485921</v>
      </c>
      <c r="P22" s="60">
        <v>195.89765197838022</v>
      </c>
      <c r="Q22" s="55">
        <v>12.7</v>
      </c>
      <c r="R22" s="61">
        <v>1791.8908362748966</v>
      </c>
      <c r="S22" s="61"/>
      <c r="T22" s="61"/>
      <c r="U22" s="55">
        <v>8</v>
      </c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>
        <v>64</v>
      </c>
      <c r="B23" s="55" t="s">
        <v>51</v>
      </c>
      <c r="C23" s="55">
        <v>2002</v>
      </c>
      <c r="D23" s="56" t="s">
        <v>45</v>
      </c>
      <c r="E23" s="57">
        <v>8</v>
      </c>
      <c r="F23" s="58" t="s">
        <v>14</v>
      </c>
      <c r="G23" s="57">
        <v>1000</v>
      </c>
      <c r="H23" s="57">
        <v>2.8372660377824623E-2</v>
      </c>
      <c r="I23" s="57">
        <v>2.8201529731948151E-2</v>
      </c>
      <c r="J23" s="57">
        <v>2.9558489846882498E-3</v>
      </c>
      <c r="K23" s="57">
        <v>2.400364747173107E-2</v>
      </c>
      <c r="L23" s="57">
        <v>3.3606246578110399E-2</v>
      </c>
      <c r="M23" s="59">
        <v>14985.197005970756</v>
      </c>
      <c r="N23" s="113">
        <v>422.60547890298471</v>
      </c>
      <c r="O23" s="60">
        <v>359.69938622576194</v>
      </c>
      <c r="P23" s="60">
        <v>503.59622560421491</v>
      </c>
      <c r="Q23" s="55">
        <v>15.9</v>
      </c>
      <c r="R23" s="61">
        <v>6719.4271145574567</v>
      </c>
      <c r="S23" s="61"/>
      <c r="T23" s="61"/>
      <c r="U23" s="55">
        <v>4</v>
      </c>
      <c r="V23" s="57"/>
      <c r="W23" s="57"/>
      <c r="X23" s="57"/>
      <c r="Y23" s="57"/>
      <c r="Z23" s="57"/>
      <c r="AA23" s="57"/>
      <c r="AB23" s="57"/>
      <c r="AC23" s="57"/>
    </row>
    <row r="24" spans="1:29" x14ac:dyDescent="0.25">
      <c r="A24">
        <v>65</v>
      </c>
      <c r="B24" s="55" t="s">
        <v>51</v>
      </c>
      <c r="C24" s="55">
        <v>2002</v>
      </c>
      <c r="D24" s="56" t="s">
        <v>45</v>
      </c>
      <c r="E24" s="57">
        <v>9</v>
      </c>
      <c r="F24" s="58" t="s">
        <v>15</v>
      </c>
      <c r="G24" s="57">
        <v>1000</v>
      </c>
      <c r="H24" s="57">
        <v>6.6113801044227719E-2</v>
      </c>
      <c r="I24" s="57">
        <v>6.5565720996550739E-2</v>
      </c>
      <c r="J24" s="57">
        <v>8.7687298072278361E-3</v>
      </c>
      <c r="K24" s="57">
        <v>5.252416490334437E-2</v>
      </c>
      <c r="L24" s="57">
        <v>8.1414682695005042E-2</v>
      </c>
      <c r="M24" s="59">
        <v>7110.1259590049967</v>
      </c>
      <c r="N24" s="113">
        <v>466.18053487845435</v>
      </c>
      <c r="O24" s="60">
        <v>373.45342835432797</v>
      </c>
      <c r="P24" s="60">
        <v>578.86864887391027</v>
      </c>
      <c r="Q24" s="55">
        <v>10.4</v>
      </c>
      <c r="R24" s="61">
        <v>4848.2775627359251</v>
      </c>
      <c r="S24" s="61"/>
      <c r="T24" s="61"/>
      <c r="U24" s="55">
        <v>5</v>
      </c>
      <c r="V24" s="57"/>
      <c r="W24" s="57"/>
      <c r="X24" s="57"/>
      <c r="Y24" s="57"/>
      <c r="Z24" s="57"/>
      <c r="AA24" s="57"/>
      <c r="AB24" s="57"/>
      <c r="AC24" s="57"/>
    </row>
    <row r="25" spans="1:29" x14ac:dyDescent="0.25">
      <c r="A25">
        <v>66</v>
      </c>
      <c r="B25" s="55" t="s">
        <v>51</v>
      </c>
      <c r="C25" s="55">
        <v>2002</v>
      </c>
      <c r="D25" s="56" t="s">
        <v>45</v>
      </c>
      <c r="E25" s="57">
        <v>10</v>
      </c>
      <c r="F25" s="58" t="s">
        <v>16</v>
      </c>
      <c r="G25" s="57">
        <v>1000</v>
      </c>
      <c r="H25" s="57">
        <v>0.16313012413424868</v>
      </c>
      <c r="I25" s="57">
        <v>0.16118339617056293</v>
      </c>
      <c r="J25" s="57">
        <v>1.9872212925697512E-2</v>
      </c>
      <c r="K25" s="57">
        <v>0.13380260081587092</v>
      </c>
      <c r="L25" s="57">
        <v>0.2004529893262845</v>
      </c>
      <c r="M25" s="59">
        <v>11841.968099077438</v>
      </c>
      <c r="N25" s="113">
        <v>1908.7286355527667</v>
      </c>
      <c r="O25" s="60">
        <v>1584.4861304351361</v>
      </c>
      <c r="P25" s="60">
        <v>2373.757904966571</v>
      </c>
      <c r="Q25" s="55">
        <v>13.3</v>
      </c>
      <c r="R25" s="61">
        <v>25386.090852851798</v>
      </c>
      <c r="S25" s="61"/>
      <c r="T25" s="61"/>
      <c r="U25" s="55">
        <v>1</v>
      </c>
      <c r="V25" s="57"/>
      <c r="W25" s="57"/>
      <c r="X25" s="57"/>
      <c r="Y25" s="57"/>
      <c r="Z25" s="57"/>
      <c r="AA25" s="57"/>
      <c r="AB25" s="57"/>
      <c r="AC25" s="57"/>
    </row>
    <row r="26" spans="1:29" x14ac:dyDescent="0.25">
      <c r="A26">
        <v>69</v>
      </c>
      <c r="B26" s="55" t="s">
        <v>51</v>
      </c>
      <c r="C26" s="55">
        <v>2002</v>
      </c>
      <c r="D26" s="56" t="s">
        <v>45</v>
      </c>
      <c r="E26" s="57">
        <v>13</v>
      </c>
      <c r="F26" s="58" t="s">
        <v>19</v>
      </c>
      <c r="G26" s="57">
        <v>1000</v>
      </c>
      <c r="H26" s="57">
        <v>3.0157177292140899E-2</v>
      </c>
      <c r="I26" s="57">
        <v>2.818948568637809E-2</v>
      </c>
      <c r="J26" s="57">
        <v>8.9930683635805215E-3</v>
      </c>
      <c r="K26" s="57">
        <v>2.1601340926576673E-2</v>
      </c>
      <c r="L26" s="57">
        <v>5.0709921282438342E-2</v>
      </c>
      <c r="M26" s="59">
        <v>4906.4659682331812</v>
      </c>
      <c r="N26" s="113">
        <v>138.31075218221048</v>
      </c>
      <c r="O26" s="60">
        <v>105.98624412445106</v>
      </c>
      <c r="P26" s="60">
        <v>248.80650302406724</v>
      </c>
      <c r="Q26" s="55">
        <v>17.8</v>
      </c>
      <c r="R26" s="61">
        <v>2461.9313888433467</v>
      </c>
      <c r="S26" s="61"/>
      <c r="T26" s="61"/>
      <c r="U26" s="55">
        <v>7</v>
      </c>
      <c r="V26" s="57"/>
      <c r="W26" s="57"/>
      <c r="X26" s="57"/>
      <c r="Y26" s="57"/>
      <c r="Z26" s="57"/>
      <c r="AA26" s="57"/>
      <c r="AB26" s="57"/>
      <c r="AC26" s="57"/>
    </row>
    <row r="27" spans="1:29" x14ac:dyDescent="0.25">
      <c r="A27">
        <v>70</v>
      </c>
      <c r="B27" t="s">
        <v>52</v>
      </c>
      <c r="C27">
        <v>2003</v>
      </c>
      <c r="D27" s="31" t="s">
        <v>45</v>
      </c>
      <c r="E27" s="57">
        <v>1</v>
      </c>
      <c r="F27" s="4" t="s">
        <v>7</v>
      </c>
      <c r="G27" s="40" t="s">
        <v>92</v>
      </c>
      <c r="H27" s="1"/>
      <c r="I27" s="1"/>
      <c r="J27" s="1"/>
      <c r="K27" s="1"/>
      <c r="L27" s="1"/>
      <c r="N27" s="65"/>
      <c r="O27" s="12"/>
      <c r="P27" s="12"/>
      <c r="R27" s="45"/>
      <c r="S27" s="45"/>
      <c r="T27" s="45"/>
      <c r="U27" s="16">
        <v>10</v>
      </c>
      <c r="V27" s="55"/>
      <c r="W27" s="55"/>
      <c r="X27" s="55"/>
      <c r="Y27" s="55"/>
      <c r="Z27" s="55"/>
      <c r="AA27" s="55"/>
      <c r="AB27" s="55"/>
      <c r="AC27" s="55"/>
    </row>
    <row r="28" spans="1:29" x14ac:dyDescent="0.25">
      <c r="A28">
        <v>71</v>
      </c>
      <c r="B28" t="s">
        <v>52</v>
      </c>
      <c r="C28">
        <v>2003</v>
      </c>
      <c r="D28" s="31" t="s">
        <v>45</v>
      </c>
      <c r="E28" s="1">
        <v>2</v>
      </c>
      <c r="F28" s="3" t="s">
        <v>8</v>
      </c>
      <c r="G28" s="1">
        <v>1000</v>
      </c>
      <c r="H28" s="1">
        <v>0.15121700355972029</v>
      </c>
      <c r="I28" s="1">
        <v>0.14602584407140676</v>
      </c>
      <c r="J28" s="1">
        <v>3.615106370434177E-2</v>
      </c>
      <c r="K28" s="1">
        <v>0.10185375546953773</v>
      </c>
      <c r="L28" s="1">
        <v>0.21696693186434438</v>
      </c>
      <c r="M28">
        <v>12937.515211791189</v>
      </c>
      <c r="N28" s="65">
        <v>1889.2115789884731</v>
      </c>
      <c r="O28" s="12">
        <v>1317.7345107652045</v>
      </c>
      <c r="P28" s="12">
        <v>2807.0129814506181</v>
      </c>
      <c r="Q28">
        <v>14.7</v>
      </c>
      <c r="R28" s="45">
        <v>27771.410211130555</v>
      </c>
      <c r="S28" s="45"/>
      <c r="T28" s="45"/>
      <c r="U28" s="16">
        <v>2</v>
      </c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>
        <v>72</v>
      </c>
      <c r="B29" t="s">
        <v>52</v>
      </c>
      <c r="C29">
        <v>2003</v>
      </c>
      <c r="D29" s="31" t="s">
        <v>45</v>
      </c>
      <c r="E29" s="1">
        <v>3</v>
      </c>
      <c r="F29" s="3" t="s">
        <v>9</v>
      </c>
      <c r="G29" s="1">
        <v>1000</v>
      </c>
      <c r="H29" s="1">
        <v>0.44316723881301839</v>
      </c>
      <c r="I29" s="1">
        <v>0.39386443575796543</v>
      </c>
      <c r="J29" s="1">
        <v>0.15923088351191014</v>
      </c>
      <c r="K29" s="1">
        <v>0.27816643695364029</v>
      </c>
      <c r="L29" s="1">
        <v>0.78461339500482041</v>
      </c>
      <c r="M29">
        <v>10953.043037802479</v>
      </c>
      <c r="N29" s="65">
        <v>4314.0141159167852</v>
      </c>
      <c r="O29" s="12">
        <v>3046.7689556253922</v>
      </c>
      <c r="P29" s="12">
        <v>8593.9042835241144</v>
      </c>
      <c r="Q29">
        <v>8.4</v>
      </c>
      <c r="R29" s="45">
        <v>36237.718573701</v>
      </c>
      <c r="S29" s="45"/>
      <c r="T29" s="45"/>
      <c r="U29" s="16">
        <v>1</v>
      </c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>
        <v>74</v>
      </c>
      <c r="B30" t="s">
        <v>52</v>
      </c>
      <c r="C30">
        <v>2003</v>
      </c>
      <c r="D30" s="31" t="s">
        <v>45</v>
      </c>
      <c r="E30" s="1">
        <v>5</v>
      </c>
      <c r="F30" s="3" t="s">
        <v>11</v>
      </c>
      <c r="G30" s="1">
        <v>1000</v>
      </c>
      <c r="H30" s="1">
        <v>8.9396778957507764E-2</v>
      </c>
      <c r="I30" s="1">
        <v>7.9135672321662215E-2</v>
      </c>
      <c r="J30" s="1">
        <v>2.5591415321087115E-2</v>
      </c>
      <c r="K30" s="1">
        <v>6.6592267016809231E-2</v>
      </c>
      <c r="L30" s="1">
        <v>0.14879322613290324</v>
      </c>
      <c r="M30">
        <v>13991.101427824766</v>
      </c>
      <c r="N30" s="65">
        <v>1107.1952180114811</v>
      </c>
      <c r="O30" s="12">
        <v>931.6991621409677</v>
      </c>
      <c r="P30" s="12">
        <v>2081.7811185987157</v>
      </c>
      <c r="Q30">
        <v>13.2</v>
      </c>
      <c r="R30" s="45">
        <v>14614.976877751549</v>
      </c>
      <c r="S30" s="45"/>
      <c r="T30" s="45"/>
      <c r="U30" s="16">
        <v>3</v>
      </c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>
        <v>75</v>
      </c>
      <c r="B31" t="s">
        <v>52</v>
      </c>
      <c r="C31">
        <v>2003</v>
      </c>
      <c r="D31" s="31" t="s">
        <v>45</v>
      </c>
      <c r="E31" s="1">
        <v>6</v>
      </c>
      <c r="F31" s="3" t="s">
        <v>12</v>
      </c>
      <c r="G31" s="1">
        <v>1000</v>
      </c>
      <c r="H31" s="1">
        <v>8.3374207940841369E-2</v>
      </c>
      <c r="I31" s="1">
        <v>7.8671876392375689E-2</v>
      </c>
      <c r="J31" s="1">
        <v>1.8288481350023356E-2</v>
      </c>
      <c r="K31" s="1">
        <v>6.3372125342097921E-2</v>
      </c>
      <c r="L31" s="1">
        <v>0.12209406280070939</v>
      </c>
      <c r="M31">
        <v>6966.102651973556</v>
      </c>
      <c r="N31" s="65">
        <v>548.03636677266411</v>
      </c>
      <c r="O31" s="12">
        <v>441.45673040678895</v>
      </c>
      <c r="P31" s="12">
        <v>850.5197746662476</v>
      </c>
      <c r="Q31">
        <v>13.2</v>
      </c>
      <c r="R31" s="45">
        <v>7234.0800413991656</v>
      </c>
      <c r="S31" s="45"/>
      <c r="T31" s="45"/>
      <c r="U31" s="16">
        <v>5</v>
      </c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>
        <v>76</v>
      </c>
      <c r="B32" t="s">
        <v>52</v>
      </c>
      <c r="C32">
        <v>2003</v>
      </c>
      <c r="D32" s="31" t="s">
        <v>45</v>
      </c>
      <c r="E32" s="1">
        <v>7</v>
      </c>
      <c r="F32" s="3" t="s">
        <v>13</v>
      </c>
      <c r="G32" s="1">
        <v>1000</v>
      </c>
      <c r="H32" s="1">
        <v>5.6304687703999691E-2</v>
      </c>
      <c r="I32" s="1">
        <v>4.2348945751919297E-2</v>
      </c>
      <c r="J32" s="1">
        <v>6.3903208602128114E-2</v>
      </c>
      <c r="K32" s="1">
        <v>3.0589445220539468E-2</v>
      </c>
      <c r="L32" s="1">
        <v>6.429767481686946E-2</v>
      </c>
      <c r="M32">
        <v>2532.5333267390947</v>
      </c>
      <c r="N32" s="65">
        <v>107.25011646900163</v>
      </c>
      <c r="O32" s="12">
        <v>77.468789467476114</v>
      </c>
      <c r="P32" s="12">
        <v>162.83600430555492</v>
      </c>
      <c r="Q32">
        <v>13.2</v>
      </c>
      <c r="R32" s="45">
        <v>1415.7015373908214</v>
      </c>
      <c r="S32" s="45"/>
      <c r="T32" s="45"/>
      <c r="U32" s="16">
        <v>8</v>
      </c>
      <c r="V32" s="55"/>
      <c r="W32" s="55"/>
      <c r="X32" s="55"/>
      <c r="Y32" s="55"/>
      <c r="Z32" s="55"/>
      <c r="AA32" s="55"/>
      <c r="AB32" s="55"/>
      <c r="AC32" s="55"/>
    </row>
    <row r="33" spans="1:29" x14ac:dyDescent="0.25">
      <c r="A33">
        <v>77</v>
      </c>
      <c r="B33" t="s">
        <v>52</v>
      </c>
      <c r="C33">
        <v>2003</v>
      </c>
      <c r="D33" s="31" t="s">
        <v>45</v>
      </c>
      <c r="E33" s="1">
        <v>8</v>
      </c>
      <c r="F33" s="3" t="s">
        <v>14</v>
      </c>
      <c r="G33" s="1">
        <v>1000</v>
      </c>
      <c r="H33" s="1">
        <v>3.5582634195367412E-2</v>
      </c>
      <c r="I33" s="1">
        <v>2.8140496494571447E-2</v>
      </c>
      <c r="J33" s="1">
        <v>2.13415495235591E-2</v>
      </c>
      <c r="K33" s="1">
        <v>1.1644534491726848E-2</v>
      </c>
      <c r="L33" s="1">
        <v>7.5881900702536115E-2</v>
      </c>
      <c r="M33">
        <v>13775.148973606703</v>
      </c>
      <c r="N33" s="65">
        <v>387.63953140397888</v>
      </c>
      <c r="O33" s="12">
        <v>160.40519735183895</v>
      </c>
      <c r="P33" s="12">
        <v>1045.2844865778661</v>
      </c>
      <c r="Q33">
        <v>15.4</v>
      </c>
      <c r="R33" s="45">
        <v>5969.6487836212746</v>
      </c>
      <c r="S33" s="45"/>
      <c r="T33" s="45"/>
      <c r="U33" s="16">
        <v>6</v>
      </c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>
        <v>78</v>
      </c>
      <c r="B34" t="s">
        <v>52</v>
      </c>
      <c r="C34">
        <v>2003</v>
      </c>
      <c r="D34" s="31" t="s">
        <v>45</v>
      </c>
      <c r="E34" s="1">
        <v>9</v>
      </c>
      <c r="F34" s="3" t="s">
        <v>15</v>
      </c>
      <c r="G34" s="1">
        <v>1000</v>
      </c>
      <c r="H34" s="1">
        <v>4.9987708054311325E-2</v>
      </c>
      <c r="I34" s="1">
        <v>4.9214798438026119E-2</v>
      </c>
      <c r="J34" s="1">
        <v>8.2486900723307954E-3</v>
      </c>
      <c r="K34" s="1">
        <v>3.7519817954120072E-2</v>
      </c>
      <c r="L34" s="1">
        <v>6.4540257020729103E-2</v>
      </c>
      <c r="M34">
        <v>5560.7756961151053</v>
      </c>
      <c r="N34" s="65">
        <v>273.67245504337927</v>
      </c>
      <c r="O34" s="12">
        <v>208.63929180193406</v>
      </c>
      <c r="P34" s="12">
        <v>358.89389266189266</v>
      </c>
      <c r="Q34">
        <v>15.4</v>
      </c>
      <c r="R34" s="45">
        <v>4214.5558076680409</v>
      </c>
      <c r="S34" s="45"/>
      <c r="T34" s="45"/>
      <c r="U34" s="16">
        <v>7</v>
      </c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>
        <v>79</v>
      </c>
      <c r="B35" t="s">
        <v>52</v>
      </c>
      <c r="C35">
        <v>2003</v>
      </c>
      <c r="D35" s="31" t="s">
        <v>45</v>
      </c>
      <c r="E35" s="1">
        <v>10</v>
      </c>
      <c r="F35" s="3" t="s">
        <v>16</v>
      </c>
      <c r="G35" s="1">
        <v>1000</v>
      </c>
      <c r="H35" s="1">
        <v>6.7005195365554437E-2</v>
      </c>
      <c r="I35" s="1">
        <v>6.4049435342417194E-2</v>
      </c>
      <c r="J35" s="1">
        <v>1.2955569409946039E-2</v>
      </c>
      <c r="K35" s="1">
        <v>5.1226832586902686E-2</v>
      </c>
      <c r="L35" s="1">
        <v>9.2798517535789993E-2</v>
      </c>
      <c r="M35">
        <v>10828.706776282988</v>
      </c>
      <c r="N35" s="65">
        <v>693.57255450953221</v>
      </c>
      <c r="O35" s="12">
        <v>554.72034916130735</v>
      </c>
      <c r="P35" s="12">
        <v>1004.8879356688249</v>
      </c>
      <c r="Q35">
        <v>15.4</v>
      </c>
      <c r="R35" s="45">
        <v>10681.017339446797</v>
      </c>
      <c r="S35" s="45"/>
      <c r="T35" s="45"/>
      <c r="U35" s="16">
        <v>4</v>
      </c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>
        <v>82</v>
      </c>
      <c r="B36" t="s">
        <v>52</v>
      </c>
      <c r="C36">
        <v>2003</v>
      </c>
      <c r="D36" s="31" t="s">
        <v>45</v>
      </c>
      <c r="E36" s="1">
        <v>13</v>
      </c>
      <c r="F36" s="3" t="s">
        <v>19</v>
      </c>
      <c r="G36" s="40" t="s">
        <v>92</v>
      </c>
      <c r="H36" s="1"/>
      <c r="I36" s="1">
        <v>0</v>
      </c>
      <c r="J36" s="1">
        <v>0</v>
      </c>
      <c r="K36" s="1">
        <v>0</v>
      </c>
      <c r="L36" s="1">
        <v>0</v>
      </c>
      <c r="N36" s="65">
        <v>0</v>
      </c>
      <c r="O36" s="12">
        <v>0</v>
      </c>
      <c r="P36" s="12">
        <v>0</v>
      </c>
      <c r="Q36">
        <v>15.9</v>
      </c>
      <c r="R36" s="45">
        <v>0</v>
      </c>
      <c r="S36" s="45"/>
      <c r="T36" s="45"/>
      <c r="U36" s="16">
        <v>9</v>
      </c>
      <c r="V36" s="55"/>
      <c r="W36" s="55"/>
      <c r="X36" s="55"/>
      <c r="Y36" s="55"/>
      <c r="Z36" s="55"/>
      <c r="AA36" s="55"/>
      <c r="AB36" s="55"/>
      <c r="AC36" s="55"/>
    </row>
    <row r="37" spans="1:29" x14ac:dyDescent="0.25">
      <c r="A37">
        <v>83</v>
      </c>
      <c r="B37" s="55" t="s">
        <v>53</v>
      </c>
      <c r="C37" s="55">
        <v>2004</v>
      </c>
      <c r="D37" s="56" t="s">
        <v>45</v>
      </c>
      <c r="E37" s="57">
        <v>1</v>
      </c>
      <c r="F37" s="63" t="s">
        <v>7</v>
      </c>
      <c r="G37" s="57">
        <v>1000</v>
      </c>
      <c r="H37" s="57">
        <v>4.0619747694862268E-3</v>
      </c>
      <c r="I37" s="57">
        <v>3.851761924480199E-3</v>
      </c>
      <c r="J37" s="57">
        <v>9.9553345124334157E-4</v>
      </c>
      <c r="K37" s="57">
        <v>2.8273931803865235E-3</v>
      </c>
      <c r="L37" s="57">
        <v>6.0205762492076187E-3</v>
      </c>
      <c r="M37" s="55">
        <v>20710.167560200389</v>
      </c>
      <c r="N37" s="113">
        <v>79.770634857984831</v>
      </c>
      <c r="O37" s="60">
        <v>58.555786524372785</v>
      </c>
      <c r="P37" s="60">
        <v>124.68714293005256</v>
      </c>
      <c r="Q37" s="55">
        <v>9.8000000000000007</v>
      </c>
      <c r="R37" s="61">
        <v>781.75222160825138</v>
      </c>
      <c r="S37" s="61"/>
      <c r="T37" s="61"/>
      <c r="U37" s="55">
        <v>10</v>
      </c>
    </row>
    <row r="38" spans="1:29" x14ac:dyDescent="0.25">
      <c r="A38">
        <v>84</v>
      </c>
      <c r="B38" s="55" t="s">
        <v>53</v>
      </c>
      <c r="C38" s="55">
        <v>2004</v>
      </c>
      <c r="D38" s="56" t="s">
        <v>45</v>
      </c>
      <c r="E38" s="57">
        <v>2</v>
      </c>
      <c r="F38" s="63" t="s">
        <v>8</v>
      </c>
      <c r="G38" s="57">
        <v>1000</v>
      </c>
      <c r="H38" s="57">
        <v>0.23055732501273593</v>
      </c>
      <c r="I38" s="57">
        <v>0.17451064979952424</v>
      </c>
      <c r="J38" s="57">
        <v>0.15751662542512318</v>
      </c>
      <c r="K38" s="57">
        <v>0.12420085984730847</v>
      </c>
      <c r="L38" s="57">
        <v>0.62583761641580848</v>
      </c>
      <c r="M38" s="55">
        <v>12937.515211791189</v>
      </c>
      <c r="N38" s="113">
        <v>2257.7341864009099</v>
      </c>
      <c r="O38" s="60">
        <v>1606.8505135920989</v>
      </c>
      <c r="P38" s="60">
        <v>8096.7836824906617</v>
      </c>
      <c r="Q38" s="55">
        <v>8.5</v>
      </c>
      <c r="R38" s="61">
        <v>19190.740584407733</v>
      </c>
      <c r="S38" s="61"/>
      <c r="T38" s="61"/>
      <c r="U38" s="55">
        <v>3</v>
      </c>
      <c r="V38" s="55"/>
      <c r="W38" s="55"/>
      <c r="X38" s="55"/>
      <c r="Y38" s="55"/>
      <c r="Z38" s="55"/>
      <c r="AA38" s="55"/>
      <c r="AB38" s="55"/>
      <c r="AC38" s="55"/>
    </row>
    <row r="39" spans="1:29" x14ac:dyDescent="0.25">
      <c r="A39">
        <v>85</v>
      </c>
      <c r="B39" s="55" t="s">
        <v>53</v>
      </c>
      <c r="C39" s="55">
        <v>2004</v>
      </c>
      <c r="D39" s="56" t="s">
        <v>45</v>
      </c>
      <c r="E39" s="57">
        <v>3</v>
      </c>
      <c r="F39" s="63" t="s">
        <v>9</v>
      </c>
      <c r="G39" s="57">
        <v>1000</v>
      </c>
      <c r="H39" s="57">
        <v>0.48858352211529038</v>
      </c>
      <c r="I39" s="57">
        <v>0.48203284556356152</v>
      </c>
      <c r="J39" s="57">
        <v>5.9483274677867119E-2</v>
      </c>
      <c r="K39" s="57">
        <v>0.40789695545643145</v>
      </c>
      <c r="L39" s="57">
        <v>0.59416292051892727</v>
      </c>
      <c r="M39" s="55">
        <v>10953.043037802479</v>
      </c>
      <c r="N39" s="113">
        <v>5279.7265030920853</v>
      </c>
      <c r="O39" s="60">
        <v>4467.7129081028943</v>
      </c>
      <c r="P39" s="60">
        <v>6507.8920399102244</v>
      </c>
      <c r="Q39" s="55">
        <v>10.4</v>
      </c>
      <c r="R39" s="61">
        <v>54909.155632157686</v>
      </c>
      <c r="S39" s="61"/>
      <c r="T39" s="61"/>
      <c r="U39" s="55">
        <v>1</v>
      </c>
      <c r="V39" s="55"/>
      <c r="W39" s="55"/>
      <c r="X39" s="55"/>
      <c r="Y39" s="55"/>
      <c r="Z39" s="55"/>
      <c r="AA39" s="55"/>
      <c r="AB39" s="55"/>
      <c r="AC39" s="55"/>
    </row>
    <row r="40" spans="1:29" x14ac:dyDescent="0.25">
      <c r="A40">
        <v>87</v>
      </c>
      <c r="B40" s="55" t="s">
        <v>53</v>
      </c>
      <c r="C40" s="55">
        <v>2004</v>
      </c>
      <c r="D40" s="56" t="s">
        <v>45</v>
      </c>
      <c r="E40" s="57">
        <v>5</v>
      </c>
      <c r="F40" s="63" t="s">
        <v>11</v>
      </c>
      <c r="G40" s="57">
        <v>1000</v>
      </c>
      <c r="H40" s="57">
        <v>6.28637965272687E-2</v>
      </c>
      <c r="I40" s="57">
        <v>6.2704856298808523E-2</v>
      </c>
      <c r="J40" s="57">
        <v>4.6544421588200985E-3</v>
      </c>
      <c r="K40" s="57">
        <v>5.5438389152064685E-2</v>
      </c>
      <c r="L40" s="57">
        <v>7.0854420671602331E-2</v>
      </c>
      <c r="M40" s="55">
        <v>13991.101427824766</v>
      </c>
      <c r="N40" s="113">
        <v>877.31000449380667</v>
      </c>
      <c r="O40" s="60">
        <v>775.64412562175721</v>
      </c>
      <c r="P40" s="60">
        <v>991.33138622615195</v>
      </c>
      <c r="Q40" s="55">
        <v>13.8</v>
      </c>
      <c r="R40" s="61">
        <v>12106.878062014533</v>
      </c>
      <c r="S40" s="61"/>
      <c r="T40" s="61"/>
      <c r="U40" s="55">
        <v>4</v>
      </c>
      <c r="V40" s="55"/>
      <c r="W40" s="55"/>
      <c r="X40" s="55"/>
      <c r="Y40" s="55"/>
      <c r="Z40" s="55"/>
      <c r="AA40" s="55"/>
      <c r="AB40" s="55"/>
      <c r="AC40" s="55"/>
    </row>
    <row r="41" spans="1:29" x14ac:dyDescent="0.25">
      <c r="A41">
        <v>88</v>
      </c>
      <c r="B41" s="55" t="s">
        <v>53</v>
      </c>
      <c r="C41" s="55">
        <v>2004</v>
      </c>
      <c r="D41" s="56" t="s">
        <v>45</v>
      </c>
      <c r="E41" s="57">
        <v>6</v>
      </c>
      <c r="F41" s="63" t="s">
        <v>12</v>
      </c>
      <c r="G41" s="57">
        <v>1000</v>
      </c>
      <c r="H41" s="57">
        <v>0.2296340281408141</v>
      </c>
      <c r="I41" s="57">
        <v>0.22626198056104302</v>
      </c>
      <c r="J41" s="57">
        <v>3.0002222075404161E-2</v>
      </c>
      <c r="K41" s="57">
        <v>0.18675858687811736</v>
      </c>
      <c r="L41" s="57">
        <v>0.28377610565455036</v>
      </c>
      <c r="M41" s="55">
        <v>6966.102651973556</v>
      </c>
      <c r="N41" s="113">
        <v>1576.164182827071</v>
      </c>
      <c r="O41" s="60">
        <v>1300.979487330487</v>
      </c>
      <c r="P41" s="60">
        <v>1976.8134821668914</v>
      </c>
      <c r="Q41" s="55">
        <v>12.7</v>
      </c>
      <c r="R41" s="61">
        <v>20017.285121903802</v>
      </c>
      <c r="S41" s="61"/>
      <c r="T41" s="61"/>
      <c r="U41" s="55">
        <v>2</v>
      </c>
      <c r="V41" s="55"/>
      <c r="W41" s="55"/>
      <c r="X41" s="55"/>
      <c r="Y41" s="55"/>
      <c r="Z41" s="55"/>
      <c r="AA41" s="55"/>
      <c r="AB41" s="55"/>
      <c r="AC41" s="55"/>
    </row>
    <row r="42" spans="1:29" x14ac:dyDescent="0.25">
      <c r="A42">
        <v>89</v>
      </c>
      <c r="B42" s="55" t="s">
        <v>53</v>
      </c>
      <c r="C42" s="55">
        <v>2004</v>
      </c>
      <c r="D42" s="56" t="s">
        <v>45</v>
      </c>
      <c r="E42" s="57">
        <v>7</v>
      </c>
      <c r="F42" s="63" t="s">
        <v>13</v>
      </c>
      <c r="G42" s="57">
        <v>1000</v>
      </c>
      <c r="H42" s="57">
        <v>1.4682866892843404E-2</v>
      </c>
      <c r="I42" s="57">
        <v>1.4687873022295619E-2</v>
      </c>
      <c r="J42" s="57">
        <v>3.3269910523013842E-3</v>
      </c>
      <c r="K42" s="57">
        <v>9.0049228522342713E-3</v>
      </c>
      <c r="L42" s="57">
        <v>2.0349780594243437E-2</v>
      </c>
      <c r="M42" s="55">
        <v>2532.5333267390947</v>
      </c>
      <c r="N42" s="113">
        <v>37.197527927875726</v>
      </c>
      <c r="O42" s="60">
        <v>22.805267227997756</v>
      </c>
      <c r="P42" s="60">
        <v>51.536497546750006</v>
      </c>
      <c r="Q42" s="55">
        <v>12.7</v>
      </c>
      <c r="R42" s="61">
        <v>472.40860468402167</v>
      </c>
      <c r="S42" s="61"/>
      <c r="T42" s="61"/>
      <c r="U42" s="55">
        <v>11</v>
      </c>
    </row>
    <row r="43" spans="1:29" x14ac:dyDescent="0.25">
      <c r="A43">
        <v>90</v>
      </c>
      <c r="B43" s="55" t="s">
        <v>53</v>
      </c>
      <c r="C43" s="55">
        <v>2004</v>
      </c>
      <c r="D43" s="56" t="s">
        <v>45</v>
      </c>
      <c r="E43" s="57">
        <v>8</v>
      </c>
      <c r="F43" s="63" t="s">
        <v>14</v>
      </c>
      <c r="G43" s="57">
        <v>1000</v>
      </c>
      <c r="H43" s="57">
        <v>1.286660968187384E-2</v>
      </c>
      <c r="I43" s="57">
        <v>1.0067769792160536E-2</v>
      </c>
      <c r="J43" s="57">
        <v>7.5746213845690235E-3</v>
      </c>
      <c r="K43" s="57">
        <v>8.2694468631924131E-3</v>
      </c>
      <c r="L43" s="57">
        <v>3.1600840798144875E-2</v>
      </c>
      <c r="M43" s="55">
        <v>13775.148973606703</v>
      </c>
      <c r="N43" s="113">
        <v>138.68502871898878</v>
      </c>
      <c r="O43" s="60">
        <v>113.91286246980015</v>
      </c>
      <c r="P43" s="60">
        <v>435.30628968567419</v>
      </c>
      <c r="Q43" s="55">
        <v>14.7</v>
      </c>
      <c r="R43" s="61">
        <v>2038.6699221691349</v>
      </c>
      <c r="S43" s="61"/>
      <c r="T43" s="61"/>
      <c r="U43" s="55">
        <v>8</v>
      </c>
    </row>
    <row r="44" spans="1:29" x14ac:dyDescent="0.25">
      <c r="A44">
        <v>91</v>
      </c>
      <c r="B44" s="55" t="s">
        <v>53</v>
      </c>
      <c r="C44" s="55">
        <v>2004</v>
      </c>
      <c r="D44" s="56" t="s">
        <v>45</v>
      </c>
      <c r="E44" s="57">
        <v>9</v>
      </c>
      <c r="F44" s="63" t="s">
        <v>15</v>
      </c>
      <c r="G44" s="57">
        <v>1000</v>
      </c>
      <c r="H44" s="57">
        <v>5.4564304416470193E-2</v>
      </c>
      <c r="I44" s="57">
        <v>5.0515392740935798E-2</v>
      </c>
      <c r="J44" s="57">
        <v>1.6723013317748031E-2</v>
      </c>
      <c r="K44" s="57">
        <v>3.5151921503239217E-2</v>
      </c>
      <c r="L44" s="57">
        <v>8.7733582685122852E-2</v>
      </c>
      <c r="M44" s="55">
        <v>5560.7756961151053</v>
      </c>
      <c r="N44" s="113">
        <v>280.90476823350519</v>
      </c>
      <c r="O44" s="60">
        <v>195.4719507669586</v>
      </c>
      <c r="P44" s="60">
        <v>487.86677432853617</v>
      </c>
      <c r="Q44" s="55">
        <v>11.4</v>
      </c>
      <c r="R44" s="61">
        <v>3202.3143578619593</v>
      </c>
      <c r="S44" s="61"/>
      <c r="T44" s="61"/>
      <c r="U44" s="55">
        <v>7</v>
      </c>
      <c r="V44" s="55"/>
      <c r="W44" s="55"/>
      <c r="X44" s="55"/>
      <c r="Y44" s="55"/>
      <c r="Z44" s="55"/>
      <c r="AA44" s="55"/>
      <c r="AB44" s="55"/>
      <c r="AC44" s="55"/>
    </row>
    <row r="45" spans="1:29" x14ac:dyDescent="0.25">
      <c r="A45">
        <v>92</v>
      </c>
      <c r="B45" s="55" t="s">
        <v>53</v>
      </c>
      <c r="C45" s="55">
        <v>2004</v>
      </c>
      <c r="D45" s="56" t="s">
        <v>45</v>
      </c>
      <c r="E45" s="57">
        <v>10</v>
      </c>
      <c r="F45" s="63" t="s">
        <v>16</v>
      </c>
      <c r="G45" s="57">
        <v>1000</v>
      </c>
      <c r="H45" s="57">
        <v>5.9437690542769324E-2</v>
      </c>
      <c r="I45" s="57">
        <v>5.682282491735819E-2</v>
      </c>
      <c r="J45" s="57">
        <v>1.2258617696142194E-2</v>
      </c>
      <c r="K45" s="57">
        <v>4.4157643351643287E-2</v>
      </c>
      <c r="L45" s="57">
        <v>8.3246466472479075E-2</v>
      </c>
      <c r="M45" s="55">
        <v>10828.706776282988</v>
      </c>
      <c r="N45" s="113">
        <v>615.31770923013846</v>
      </c>
      <c r="O45" s="60">
        <v>478.17017178662712</v>
      </c>
      <c r="P45" s="60">
        <v>901.45157559214874</v>
      </c>
      <c r="Q45" s="55">
        <v>11.8</v>
      </c>
      <c r="R45" s="61">
        <v>7260.7489689156346</v>
      </c>
      <c r="S45" s="61"/>
      <c r="T45" s="61"/>
      <c r="U45" s="55">
        <v>5</v>
      </c>
      <c r="V45" s="55"/>
      <c r="W45" s="55"/>
      <c r="X45" s="55"/>
      <c r="Y45" s="55"/>
      <c r="Z45" s="55"/>
      <c r="AA45" s="55"/>
      <c r="AB45" s="55"/>
      <c r="AC45" s="55"/>
    </row>
    <row r="46" spans="1:29" x14ac:dyDescent="0.25">
      <c r="A46">
        <v>95</v>
      </c>
      <c r="B46" s="55" t="s">
        <v>53</v>
      </c>
      <c r="C46" s="55">
        <v>2004</v>
      </c>
      <c r="D46" s="56" t="s">
        <v>45</v>
      </c>
      <c r="E46" s="57">
        <v>13</v>
      </c>
      <c r="F46" s="63" t="s">
        <v>19</v>
      </c>
      <c r="G46" s="57">
        <v>1000</v>
      </c>
      <c r="H46" s="57">
        <v>2.2239278296399597E-2</v>
      </c>
      <c r="I46" s="57">
        <v>1.4237372838306818E-2</v>
      </c>
      <c r="J46" s="57">
        <v>2.7820924983605364E-2</v>
      </c>
      <c r="K46" s="57">
        <v>1.0387984741762904E-2</v>
      </c>
      <c r="L46" s="57">
        <v>5.4302856931748994E-2</v>
      </c>
      <c r="M46" s="55">
        <v>5410.2633795388801</v>
      </c>
      <c r="N46" s="113">
        <v>77.02793688793291</v>
      </c>
      <c r="O46" s="60">
        <v>56.201733435568492</v>
      </c>
      <c r="P46" s="60">
        <v>293.7927582621806</v>
      </c>
      <c r="Q46" s="55">
        <v>13.8</v>
      </c>
      <c r="R46" s="61">
        <v>1062.9855290534742</v>
      </c>
      <c r="S46" s="61"/>
      <c r="T46" s="61"/>
      <c r="U46" s="55">
        <v>9</v>
      </c>
    </row>
    <row r="47" spans="1:29" x14ac:dyDescent="0.25">
      <c r="A47">
        <v>96</v>
      </c>
      <c r="B47" s="16" t="s">
        <v>80</v>
      </c>
      <c r="C47" s="16">
        <v>2005</v>
      </c>
      <c r="D47" s="42" t="s">
        <v>45</v>
      </c>
      <c r="E47" s="33">
        <v>1</v>
      </c>
      <c r="F47" s="43" t="s">
        <v>7</v>
      </c>
      <c r="G47" s="33">
        <v>1000</v>
      </c>
      <c r="H47" s="33">
        <v>0.15190086662369928</v>
      </c>
      <c r="I47" s="33">
        <v>6.7815304342814242E-2</v>
      </c>
      <c r="J47" s="33">
        <v>0.17893322196306857</v>
      </c>
      <c r="K47" s="33">
        <v>2.8897304995747428E-2</v>
      </c>
      <c r="L47" s="33">
        <v>0.57356208537069731</v>
      </c>
      <c r="M47" s="25">
        <v>20710.167560200389</v>
      </c>
      <c r="N47" s="44">
        <v>1404.466316085668</v>
      </c>
      <c r="O47" s="20">
        <v>598.46802850014501</v>
      </c>
      <c r="P47" s="20">
        <v>11878.566894205102</v>
      </c>
      <c r="Q47" s="16">
        <v>9</v>
      </c>
      <c r="R47" s="46">
        <v>12640.196844771013</v>
      </c>
      <c r="S47" s="46"/>
      <c r="T47" s="46"/>
      <c r="U47" s="16">
        <v>3</v>
      </c>
    </row>
    <row r="48" spans="1:29" x14ac:dyDescent="0.25">
      <c r="A48">
        <v>97</v>
      </c>
      <c r="B48" s="16" t="s">
        <v>80</v>
      </c>
      <c r="C48" s="16">
        <v>2005</v>
      </c>
      <c r="D48" s="42" t="s">
        <v>45</v>
      </c>
      <c r="E48" s="33">
        <v>2</v>
      </c>
      <c r="F48" s="43" t="s">
        <v>8</v>
      </c>
      <c r="G48" s="33">
        <v>1000</v>
      </c>
      <c r="H48" s="33">
        <v>1.6637451549716897E-3</v>
      </c>
      <c r="I48" s="33">
        <v>1.4043292710140436E-3</v>
      </c>
      <c r="J48" s="33">
        <v>9.8992662137440952E-4</v>
      </c>
      <c r="K48" s="33">
        <v>7.7177495096714523E-4</v>
      </c>
      <c r="L48" s="33">
        <v>3.9494556900343423E-3</v>
      </c>
      <c r="M48" s="25">
        <v>12937.515211791189</v>
      </c>
      <c r="N48" s="44">
        <v>18.16853130610782</v>
      </c>
      <c r="O48" s="20">
        <v>9.9848501682168411</v>
      </c>
      <c r="P48" s="20">
        <v>51.096143068114571</v>
      </c>
      <c r="Q48" s="16">
        <v>18.399999999999999</v>
      </c>
      <c r="R48" s="46">
        <v>334.30097603238386</v>
      </c>
      <c r="S48" s="46"/>
      <c r="T48" s="46"/>
      <c r="U48" s="16">
        <v>7</v>
      </c>
    </row>
    <row r="49" spans="1:29" x14ac:dyDescent="0.25">
      <c r="A49">
        <v>98</v>
      </c>
      <c r="B49" s="16" t="s">
        <v>80</v>
      </c>
      <c r="C49" s="16">
        <v>2005</v>
      </c>
      <c r="D49" s="42" t="s">
        <v>45</v>
      </c>
      <c r="E49" s="33">
        <v>3</v>
      </c>
      <c r="F49" s="43" t="s">
        <v>9</v>
      </c>
      <c r="G49" s="33">
        <v>1000</v>
      </c>
      <c r="H49" s="33">
        <v>0.16207951885731939</v>
      </c>
      <c r="I49" s="33">
        <v>0.15611859948174694</v>
      </c>
      <c r="J49" s="33">
        <v>3.6468339370682112E-2</v>
      </c>
      <c r="K49" s="33">
        <v>0.11275433159679221</v>
      </c>
      <c r="L49" s="33">
        <v>0.22986030143001504</v>
      </c>
      <c r="M49" s="25">
        <v>10953.043037802479</v>
      </c>
      <c r="N49" s="44">
        <v>1709.9737391250221</v>
      </c>
      <c r="O49" s="20">
        <v>1235.0030466783171</v>
      </c>
      <c r="P49" s="20">
        <v>2517.6697742452056</v>
      </c>
      <c r="Q49" s="16">
        <v>16.899999999999999</v>
      </c>
      <c r="R49" s="46">
        <v>28898.556191212872</v>
      </c>
      <c r="S49" s="46"/>
      <c r="T49" s="46"/>
      <c r="U49" s="16">
        <v>2</v>
      </c>
    </row>
    <row r="50" spans="1:29" x14ac:dyDescent="0.25">
      <c r="A50">
        <v>100</v>
      </c>
      <c r="B50" s="16" t="s">
        <v>80</v>
      </c>
      <c r="C50" s="16">
        <v>2005</v>
      </c>
      <c r="D50" s="42" t="s">
        <v>45</v>
      </c>
      <c r="E50" s="33">
        <v>5</v>
      </c>
      <c r="F50" s="43" t="s">
        <v>11</v>
      </c>
      <c r="G50" s="33">
        <v>1000</v>
      </c>
      <c r="H50" s="33">
        <v>0.18518327848590674</v>
      </c>
      <c r="I50" s="33">
        <v>0.17583443371159627</v>
      </c>
      <c r="J50" s="33">
        <v>4.8389549377127174E-2</v>
      </c>
      <c r="K50" s="33">
        <v>0.11779041751961183</v>
      </c>
      <c r="L50" s="33">
        <v>0.27450415558087377</v>
      </c>
      <c r="M50" s="25">
        <v>13991.101427824766</v>
      </c>
      <c r="N50" s="44">
        <v>2460.1173965630737</v>
      </c>
      <c r="O50" s="20">
        <v>1648.0176787427165</v>
      </c>
      <c r="P50" s="20">
        <v>3840.6154830913947</v>
      </c>
      <c r="Q50" s="16">
        <v>18.7</v>
      </c>
      <c r="R50" s="46">
        <v>46004.195315729477</v>
      </c>
      <c r="S50" s="46"/>
      <c r="T50" s="46"/>
      <c r="U50" s="16">
        <v>1</v>
      </c>
    </row>
    <row r="51" spans="1:29" x14ac:dyDescent="0.25">
      <c r="A51">
        <v>101</v>
      </c>
      <c r="B51" s="16" t="s">
        <v>80</v>
      </c>
      <c r="C51" s="16">
        <v>2005</v>
      </c>
      <c r="D51" s="42" t="s">
        <v>45</v>
      </c>
      <c r="E51" s="33">
        <v>6</v>
      </c>
      <c r="F51" s="43" t="s">
        <v>12</v>
      </c>
      <c r="G51" s="33">
        <v>1000</v>
      </c>
      <c r="H51" s="33">
        <v>0.11291222360936216</v>
      </c>
      <c r="I51" s="33">
        <v>6.0956250888259692E-2</v>
      </c>
      <c r="J51" s="33">
        <v>0.20432008573819302</v>
      </c>
      <c r="K51" s="33">
        <v>3.7226436585998168E-2</v>
      </c>
      <c r="L51" s="33">
        <v>0.76104226614136516</v>
      </c>
      <c r="M51" s="25">
        <v>6966.102651973556</v>
      </c>
      <c r="N51" s="44">
        <v>424.62750096707128</v>
      </c>
      <c r="O51" s="20">
        <v>259.32317862524724</v>
      </c>
      <c r="P51" s="20">
        <v>5301.4985484313283</v>
      </c>
      <c r="Q51" s="16">
        <v>19.399999999999999</v>
      </c>
      <c r="R51" s="46">
        <v>8237.7735187611815</v>
      </c>
      <c r="S51" s="46"/>
      <c r="T51" s="46"/>
      <c r="U51" s="16">
        <v>4</v>
      </c>
    </row>
    <row r="52" spans="1:29" x14ac:dyDescent="0.25">
      <c r="A52">
        <v>102</v>
      </c>
      <c r="B52" s="16" t="s">
        <v>80</v>
      </c>
      <c r="C52" s="16">
        <v>2005</v>
      </c>
      <c r="D52" s="42" t="s">
        <v>45</v>
      </c>
      <c r="E52" s="33">
        <v>7</v>
      </c>
      <c r="F52" s="43" t="s">
        <v>13</v>
      </c>
      <c r="G52" s="33">
        <v>1000</v>
      </c>
      <c r="H52" s="33">
        <v>3.4749660038418215E-2</v>
      </c>
      <c r="I52" s="33">
        <v>2.7413726897774278E-2</v>
      </c>
      <c r="J52" s="33">
        <v>2.694118740599747E-2</v>
      </c>
      <c r="K52" s="33">
        <v>1.3553654669626013E-2</v>
      </c>
      <c r="L52" s="33">
        <v>0.10336599009170613</v>
      </c>
      <c r="M52" s="25">
        <v>2532.5333267390947</v>
      </c>
      <c r="N52" s="44">
        <v>69.426176978737288</v>
      </c>
      <c r="O52" s="20">
        <v>34.325082149940833</v>
      </c>
      <c r="P52" s="20">
        <v>261.77781475862884</v>
      </c>
      <c r="Q52" s="16">
        <v>19.3</v>
      </c>
      <c r="R52" s="46">
        <v>1339.9252156896298</v>
      </c>
      <c r="S52" s="46"/>
      <c r="T52" s="46"/>
      <c r="U52" s="16">
        <v>5</v>
      </c>
    </row>
    <row r="53" spans="1:29" x14ac:dyDescent="0.25">
      <c r="A53">
        <v>103</v>
      </c>
      <c r="B53" s="16" t="s">
        <v>80</v>
      </c>
      <c r="C53" s="16">
        <v>2005</v>
      </c>
      <c r="D53" s="42" t="s">
        <v>45</v>
      </c>
      <c r="E53" s="33">
        <v>8</v>
      </c>
      <c r="F53" s="43" t="s">
        <v>14</v>
      </c>
      <c r="G53" s="33">
        <v>1000</v>
      </c>
      <c r="H53" s="33">
        <v>3.7793398987877747E-3</v>
      </c>
      <c r="I53" s="33">
        <v>2.8807735837156952E-3</v>
      </c>
      <c r="J53" s="33">
        <v>3.5579333604329202E-3</v>
      </c>
      <c r="K53" s="33">
        <v>1.9456424441637052E-3</v>
      </c>
      <c r="L53" s="33">
        <v>6.9958560047846431E-3</v>
      </c>
      <c r="M53" s="25">
        <v>14985.197005970756</v>
      </c>
      <c r="N53" s="44">
        <v>43.168959681576084</v>
      </c>
      <c r="O53" s="20">
        <v>29.15583532897158</v>
      </c>
      <c r="P53" s="20">
        <v>104.83428045710137</v>
      </c>
      <c r="Q53" s="16">
        <v>8.1</v>
      </c>
      <c r="R53" s="46">
        <v>349.66857342076628</v>
      </c>
      <c r="S53" s="46"/>
      <c r="T53" s="46"/>
      <c r="U53" s="16">
        <v>6</v>
      </c>
    </row>
    <row r="54" spans="1:29" x14ac:dyDescent="0.25">
      <c r="A54">
        <v>104</v>
      </c>
      <c r="B54" s="16" t="s">
        <v>80</v>
      </c>
      <c r="C54" s="16">
        <v>2005</v>
      </c>
      <c r="D54" s="42" t="s">
        <v>45</v>
      </c>
      <c r="E54" s="33">
        <v>9</v>
      </c>
      <c r="F54" s="43" t="s">
        <v>15</v>
      </c>
      <c r="G54" s="33">
        <v>1000</v>
      </c>
      <c r="H54" s="33">
        <v>0.15209274533152795</v>
      </c>
      <c r="I54" s="33">
        <v>0.13204541164217226</v>
      </c>
      <c r="J54" s="33">
        <v>8.5206642381216932E-2</v>
      </c>
      <c r="K54" s="33">
        <v>5.32646406921546E-2</v>
      </c>
      <c r="L54" s="33">
        <v>0.3144385195170244</v>
      </c>
      <c r="M54" s="25"/>
      <c r="N54" s="44">
        <v>0</v>
      </c>
      <c r="O54" s="20">
        <v>0</v>
      </c>
      <c r="P54" s="20">
        <v>0</v>
      </c>
      <c r="Q54" s="16">
        <v>11.7</v>
      </c>
      <c r="R54" s="46">
        <v>0</v>
      </c>
      <c r="S54" s="46"/>
      <c r="T54" s="46"/>
      <c r="U54" s="16">
        <v>9</v>
      </c>
    </row>
    <row r="55" spans="1:29" x14ac:dyDescent="0.25">
      <c r="A55">
        <v>105</v>
      </c>
      <c r="B55" s="16" t="s">
        <v>80</v>
      </c>
      <c r="C55" s="16">
        <v>2005</v>
      </c>
      <c r="D55" s="42" t="s">
        <v>45</v>
      </c>
      <c r="E55" s="33">
        <v>10</v>
      </c>
      <c r="F55" s="43" t="s">
        <v>16</v>
      </c>
      <c r="G55" s="33">
        <v>1000</v>
      </c>
      <c r="H55" s="33">
        <v>3.8103023458412488E-2</v>
      </c>
      <c r="I55" s="33">
        <v>2.506600207213561E-2</v>
      </c>
      <c r="J55" s="33">
        <v>3.6087656839493588E-2</v>
      </c>
      <c r="K55" s="33">
        <v>1.8283308691732273E-3</v>
      </c>
      <c r="L55" s="33">
        <v>0.10904895990614599</v>
      </c>
      <c r="M55" s="25"/>
      <c r="N55" s="44">
        <v>0</v>
      </c>
      <c r="O55" s="20">
        <v>0</v>
      </c>
      <c r="P55" s="20">
        <v>0</v>
      </c>
      <c r="Q55" s="16">
        <v>15.3</v>
      </c>
      <c r="R55" s="46">
        <v>0</v>
      </c>
      <c r="S55" s="46"/>
      <c r="T55" s="46"/>
      <c r="U55" s="16">
        <v>10</v>
      </c>
    </row>
    <row r="56" spans="1:29" x14ac:dyDescent="0.25">
      <c r="A56">
        <v>107</v>
      </c>
      <c r="B56" s="16" t="s">
        <v>80</v>
      </c>
      <c r="C56" s="16">
        <v>2005</v>
      </c>
      <c r="D56" s="42" t="s">
        <v>45</v>
      </c>
      <c r="E56" s="33">
        <v>13</v>
      </c>
      <c r="F56" s="43" t="s">
        <v>19</v>
      </c>
      <c r="G56" s="33">
        <v>1000</v>
      </c>
      <c r="H56" s="33">
        <v>8.3963286985296315E-3</v>
      </c>
      <c r="I56" s="33">
        <v>3.517049889217836E-3</v>
      </c>
      <c r="J56" s="33">
        <v>1.050224439167775E-2</v>
      </c>
      <c r="K56" s="33">
        <v>8.551560766384646E-4</v>
      </c>
      <c r="L56" s="33">
        <v>3.3451488195958452E-2</v>
      </c>
      <c r="M56" s="25">
        <v>4906.4659682331812</v>
      </c>
      <c r="N56" s="44">
        <v>17.256285590025591</v>
      </c>
      <c r="O56" s="20">
        <v>4.1957941875544327</v>
      </c>
      <c r="P56" s="20">
        <v>164.12858842022413</v>
      </c>
      <c r="Q56" s="16">
        <v>15.6</v>
      </c>
      <c r="R56" s="46">
        <v>269.19805520439922</v>
      </c>
      <c r="S56" s="46"/>
      <c r="T56" s="46"/>
      <c r="U56" s="16">
        <v>8</v>
      </c>
    </row>
    <row r="57" spans="1:29" x14ac:dyDescent="0.25">
      <c r="A57">
        <v>108</v>
      </c>
      <c r="B57" s="57" t="s">
        <v>89</v>
      </c>
      <c r="C57" s="62">
        <v>2007</v>
      </c>
      <c r="D57" s="56" t="s">
        <v>45</v>
      </c>
      <c r="E57" s="57">
        <v>1</v>
      </c>
      <c r="F57" s="63" t="s">
        <v>7</v>
      </c>
      <c r="G57" s="57">
        <v>1000</v>
      </c>
      <c r="H57" s="57">
        <v>7.8052971045370165E-2</v>
      </c>
      <c r="I57" s="57">
        <v>5.4734117779048616E-2</v>
      </c>
      <c r="J57" s="57">
        <v>7.7940561247372336E-2</v>
      </c>
      <c r="K57" s="57">
        <v>2.5887002464015506E-2</v>
      </c>
      <c r="L57" s="57">
        <v>0.29205955065665812</v>
      </c>
      <c r="M57" s="59">
        <v>20710.167560200389</v>
      </c>
      <c r="N57" s="113">
        <v>1133.5527504638401</v>
      </c>
      <c r="O57" s="60">
        <v>536.12415866108142</v>
      </c>
      <c r="P57" s="60">
        <v>6048.602231656223</v>
      </c>
      <c r="Q57" s="55">
        <v>7.6</v>
      </c>
      <c r="R57" s="61">
        <v>8615.0009035251842</v>
      </c>
      <c r="S57" s="61"/>
      <c r="T57" s="61"/>
      <c r="U57" s="55">
        <v>8</v>
      </c>
    </row>
    <row r="58" spans="1:29" x14ac:dyDescent="0.25">
      <c r="A58">
        <v>109</v>
      </c>
      <c r="B58" s="57" t="s">
        <v>89</v>
      </c>
      <c r="C58" s="62">
        <v>2007</v>
      </c>
      <c r="D58" s="56" t="s">
        <v>45</v>
      </c>
      <c r="E58" s="57">
        <v>2</v>
      </c>
      <c r="F58" s="63" t="s">
        <v>8</v>
      </c>
      <c r="G58" s="57">
        <v>1000</v>
      </c>
      <c r="H58" s="57">
        <v>0.61643789225818235</v>
      </c>
      <c r="I58" s="57">
        <v>0.61160054380813467</v>
      </c>
      <c r="J58" s="57">
        <v>7.2773414922742974E-2</v>
      </c>
      <c r="K58" s="57">
        <v>0.50807518584888223</v>
      </c>
      <c r="L58" s="57">
        <v>0.74428130000558801</v>
      </c>
      <c r="M58" s="59">
        <v>12937.515211791189</v>
      </c>
      <c r="N58" s="113">
        <v>7912.591339057506</v>
      </c>
      <c r="O58" s="60">
        <v>6573.2304456535494</v>
      </c>
      <c r="P58" s="60">
        <v>9629.1506406740173</v>
      </c>
      <c r="Q58" s="55">
        <v>10.1</v>
      </c>
      <c r="R58" s="61">
        <v>79917.172524480804</v>
      </c>
      <c r="S58" s="61"/>
      <c r="T58" s="61"/>
      <c r="U58" s="55">
        <v>2</v>
      </c>
      <c r="V58" s="55"/>
      <c r="W58" s="55"/>
      <c r="X58" s="55"/>
      <c r="Y58" s="55"/>
      <c r="Z58" s="55"/>
      <c r="AA58" s="55"/>
      <c r="AB58" s="55"/>
      <c r="AC58" s="55"/>
    </row>
    <row r="59" spans="1:29" x14ac:dyDescent="0.25">
      <c r="A59">
        <v>110</v>
      </c>
      <c r="B59" s="57" t="s">
        <v>89</v>
      </c>
      <c r="C59" s="62">
        <v>2007</v>
      </c>
      <c r="D59" s="56" t="s">
        <v>45</v>
      </c>
      <c r="E59" s="57">
        <v>3</v>
      </c>
      <c r="F59" s="63" t="s">
        <v>9</v>
      </c>
      <c r="G59" s="57">
        <v>1000</v>
      </c>
      <c r="H59" s="57">
        <v>0.33087802059523863</v>
      </c>
      <c r="I59" s="57">
        <v>0.32399449854260542</v>
      </c>
      <c r="J59" s="57">
        <v>6.2883219881779265E-2</v>
      </c>
      <c r="K59" s="57">
        <v>0.2331425868770903</v>
      </c>
      <c r="L59" s="57">
        <v>0.44659245050955743</v>
      </c>
      <c r="M59" s="59"/>
      <c r="N59" s="113" t="s">
        <v>92</v>
      </c>
      <c r="O59" s="60"/>
      <c r="P59" s="60"/>
      <c r="Q59" s="55"/>
      <c r="R59" s="61"/>
      <c r="S59" s="61"/>
      <c r="T59" s="61"/>
      <c r="U59" s="55">
        <v>11</v>
      </c>
    </row>
    <row r="60" spans="1:29" x14ac:dyDescent="0.25">
      <c r="A60">
        <v>112</v>
      </c>
      <c r="B60" s="57" t="s">
        <v>89</v>
      </c>
      <c r="C60" s="62">
        <v>2007</v>
      </c>
      <c r="D60" s="56" t="s">
        <v>45</v>
      </c>
      <c r="E60" s="57">
        <v>5</v>
      </c>
      <c r="F60" s="63" t="s">
        <v>11</v>
      </c>
      <c r="G60" s="57">
        <v>1000</v>
      </c>
      <c r="H60" s="57">
        <v>0.50330761414107461</v>
      </c>
      <c r="I60" s="57">
        <v>0.45757116232642414</v>
      </c>
      <c r="J60" s="57">
        <v>0.22634533663910894</v>
      </c>
      <c r="K60" s="57">
        <v>0.23845850668267865</v>
      </c>
      <c r="L60" s="57">
        <v>0.92841661441141721</v>
      </c>
      <c r="M60" s="59"/>
      <c r="N60" s="113" t="s">
        <v>92</v>
      </c>
      <c r="O60" s="60"/>
      <c r="P60" s="60"/>
      <c r="Q60" s="55"/>
      <c r="R60" s="61"/>
      <c r="S60" s="61"/>
      <c r="T60" s="61"/>
      <c r="U60" s="55">
        <v>12</v>
      </c>
    </row>
    <row r="61" spans="1:29" x14ac:dyDescent="0.25">
      <c r="A61">
        <v>113</v>
      </c>
      <c r="B61" s="57" t="s">
        <v>89</v>
      </c>
      <c r="C61" s="62">
        <v>2007</v>
      </c>
      <c r="D61" s="56" t="s">
        <v>45</v>
      </c>
      <c r="E61" s="57">
        <v>6</v>
      </c>
      <c r="F61" s="63" t="s">
        <v>12</v>
      </c>
      <c r="G61" s="57">
        <v>1000</v>
      </c>
      <c r="H61" s="57">
        <v>0.64233319478569773</v>
      </c>
      <c r="I61" s="57">
        <v>0.62653491476976497</v>
      </c>
      <c r="J61" s="57">
        <v>8.8009894964745747E-2</v>
      </c>
      <c r="K61" s="57">
        <v>0.5314689527078611</v>
      </c>
      <c r="L61" s="57">
        <v>0.80845090337987213</v>
      </c>
      <c r="M61" s="59">
        <v>5721.1040333376059</v>
      </c>
      <c r="N61" s="113">
        <v>3584.4714279161353</v>
      </c>
      <c r="O61" s="60">
        <v>3040.5891689306573</v>
      </c>
      <c r="P61" s="60">
        <v>4625.2317240820175</v>
      </c>
      <c r="Q61" s="55">
        <v>10</v>
      </c>
      <c r="R61" s="61">
        <v>35844.714279161351</v>
      </c>
      <c r="S61" s="61"/>
      <c r="T61" s="61"/>
      <c r="U61" s="55">
        <v>3</v>
      </c>
      <c r="V61" s="55"/>
      <c r="W61" s="55"/>
      <c r="X61" s="55"/>
      <c r="Y61" s="55"/>
      <c r="Z61" s="55"/>
      <c r="AA61" s="55"/>
      <c r="AB61" s="55"/>
      <c r="AC61" s="55"/>
    </row>
    <row r="62" spans="1:29" x14ac:dyDescent="0.25">
      <c r="A62">
        <v>114</v>
      </c>
      <c r="B62" s="57" t="s">
        <v>89</v>
      </c>
      <c r="C62" s="62">
        <v>2007</v>
      </c>
      <c r="D62" s="56" t="s">
        <v>45</v>
      </c>
      <c r="E62" s="57">
        <v>7</v>
      </c>
      <c r="F62" s="63" t="s">
        <v>13</v>
      </c>
      <c r="G62" s="57">
        <v>1000</v>
      </c>
      <c r="H62" s="57">
        <v>1.4204472062771012</v>
      </c>
      <c r="I62" s="57">
        <v>1.3644362840767497</v>
      </c>
      <c r="J62" s="57">
        <v>0.43560426912932571</v>
      </c>
      <c r="K62" s="57">
        <v>0.77304353081691946</v>
      </c>
      <c r="L62" s="57">
        <v>2.1981417154107623</v>
      </c>
      <c r="M62" s="59">
        <v>1865.0439227923566</v>
      </c>
      <c r="N62" s="113">
        <v>2544.7335996547276</v>
      </c>
      <c r="O62" s="60">
        <v>1441.7601392040415</v>
      </c>
      <c r="P62" s="60">
        <v>4099.6308477632083</v>
      </c>
      <c r="Q62" s="55">
        <v>10</v>
      </c>
      <c r="R62" s="61">
        <v>25447.335996547277</v>
      </c>
      <c r="S62" s="61"/>
      <c r="T62" s="61"/>
      <c r="U62" s="55">
        <v>5</v>
      </c>
      <c r="V62" s="55"/>
      <c r="W62" s="55"/>
      <c r="X62" s="55"/>
      <c r="Y62" s="55"/>
      <c r="Z62" s="55"/>
      <c r="AA62" s="55"/>
      <c r="AB62" s="55"/>
      <c r="AC62" s="55"/>
    </row>
    <row r="63" spans="1:29" x14ac:dyDescent="0.25">
      <c r="A63">
        <v>115</v>
      </c>
      <c r="B63" s="57" t="s">
        <v>89</v>
      </c>
      <c r="C63" s="62">
        <v>2007</v>
      </c>
      <c r="D63" s="56" t="s">
        <v>45</v>
      </c>
      <c r="E63" s="57">
        <v>8</v>
      </c>
      <c r="F63" s="63" t="s">
        <v>14</v>
      </c>
      <c r="G63" s="57">
        <v>1000</v>
      </c>
      <c r="H63" s="57">
        <v>0.25700896980312882</v>
      </c>
      <c r="I63" s="57">
        <v>0.25334776507820245</v>
      </c>
      <c r="J63" s="57">
        <v>3.4069569441200979E-2</v>
      </c>
      <c r="K63" s="57">
        <v>0.20711274279886366</v>
      </c>
      <c r="L63" s="57">
        <v>0.32183373222174716</v>
      </c>
      <c r="M63" s="59">
        <v>13775.148973606703</v>
      </c>
      <c r="N63" s="113">
        <v>3489.9032060825525</v>
      </c>
      <c r="O63" s="60">
        <v>2853.0088863866358</v>
      </c>
      <c r="P63" s="60">
        <v>4433.307606086415</v>
      </c>
      <c r="Q63" s="55">
        <v>8.1999999999999993</v>
      </c>
      <c r="R63" s="61">
        <v>28617.206289876929</v>
      </c>
      <c r="S63" s="61"/>
      <c r="T63" s="61"/>
      <c r="U63" s="55">
        <v>4</v>
      </c>
      <c r="V63" s="55"/>
      <c r="W63" s="55"/>
      <c r="X63" s="55"/>
      <c r="Y63" s="55"/>
      <c r="Z63" s="55"/>
      <c r="AA63" s="55"/>
      <c r="AB63" s="55"/>
      <c r="AC63" s="55"/>
    </row>
    <row r="64" spans="1:29" x14ac:dyDescent="0.25">
      <c r="A64">
        <v>116</v>
      </c>
      <c r="B64" s="57" t="s">
        <v>89</v>
      </c>
      <c r="C64" s="62">
        <v>2007</v>
      </c>
      <c r="D64" s="56" t="s">
        <v>45</v>
      </c>
      <c r="E64" s="57">
        <v>9</v>
      </c>
      <c r="F64" s="63" t="s">
        <v>15</v>
      </c>
      <c r="G64" s="57">
        <v>1000</v>
      </c>
      <c r="H64" s="57">
        <v>0.26815613819125234</v>
      </c>
      <c r="I64" s="57">
        <v>0.22335431728257549</v>
      </c>
      <c r="J64" s="57">
        <v>0.15190099412141489</v>
      </c>
      <c r="K64" s="57">
        <v>0.10401925864275657</v>
      </c>
      <c r="L64" s="57">
        <v>0.58359837722517416</v>
      </c>
      <c r="M64" s="59">
        <v>5560.7756961151053</v>
      </c>
      <c r="N64" s="113">
        <v>1242.0232591673278</v>
      </c>
      <c r="O64" s="60">
        <v>578.42776538855185</v>
      </c>
      <c r="P64" s="60">
        <v>3245.2596723659635</v>
      </c>
      <c r="Q64" s="55">
        <v>16</v>
      </c>
      <c r="R64" s="61">
        <v>19872.372146677244</v>
      </c>
      <c r="S64" s="61"/>
      <c r="T64" s="61"/>
      <c r="U64" s="55">
        <v>6</v>
      </c>
    </row>
    <row r="65" spans="1:29" x14ac:dyDescent="0.25">
      <c r="A65">
        <v>117</v>
      </c>
      <c r="B65" s="57" t="s">
        <v>89</v>
      </c>
      <c r="C65" s="62">
        <v>2007</v>
      </c>
      <c r="D65" s="56" t="s">
        <v>45</v>
      </c>
      <c r="E65" s="57">
        <v>10</v>
      </c>
      <c r="F65" s="63" t="s">
        <v>16</v>
      </c>
      <c r="G65" s="57">
        <v>1000</v>
      </c>
      <c r="H65" s="57">
        <v>0.66065861146768179</v>
      </c>
      <c r="I65" s="57">
        <v>0.65699568117765206</v>
      </c>
      <c r="J65" s="57">
        <v>6.2653371080200707E-2</v>
      </c>
      <c r="K65" s="57">
        <v>0.57009902403040935</v>
      </c>
      <c r="L65" s="57">
        <v>0.76714923339617647</v>
      </c>
      <c r="M65" s="59">
        <v>10828.706776282988</v>
      </c>
      <c r="N65" s="113">
        <v>7114.4135847570988</v>
      </c>
      <c r="O65" s="60">
        <v>6173.4351646704117</v>
      </c>
      <c r="P65" s="60">
        <v>8307.2341020974764</v>
      </c>
      <c r="Q65" s="55">
        <v>12.2</v>
      </c>
      <c r="R65" s="61">
        <v>86795.8457340366</v>
      </c>
      <c r="S65" s="61"/>
      <c r="T65" s="61"/>
      <c r="U65" s="55">
        <v>1</v>
      </c>
      <c r="V65" s="55"/>
      <c r="W65" s="55"/>
      <c r="X65" s="55"/>
      <c r="Y65" s="55"/>
      <c r="Z65" s="55"/>
      <c r="AA65" s="55"/>
      <c r="AB65" s="55"/>
      <c r="AC65" s="55"/>
    </row>
    <row r="66" spans="1:29" x14ac:dyDescent="0.25">
      <c r="A66">
        <v>120</v>
      </c>
      <c r="B66" s="57" t="s">
        <v>89</v>
      </c>
      <c r="C66" s="62">
        <v>2007</v>
      </c>
      <c r="D66" s="56" t="s">
        <v>45</v>
      </c>
      <c r="E66" s="57">
        <v>13</v>
      </c>
      <c r="F66" s="63" t="s">
        <v>19</v>
      </c>
      <c r="G66" s="57">
        <v>1000</v>
      </c>
      <c r="H66" s="57">
        <v>0.59070833054405236</v>
      </c>
      <c r="I66" s="57">
        <v>0.40313778605675915</v>
      </c>
      <c r="J66" s="57">
        <v>0.40235301393043288</v>
      </c>
      <c r="K66" s="57">
        <v>0.26776685819854962</v>
      </c>
      <c r="L66" s="57">
        <v>1.4584280650197226</v>
      </c>
      <c r="M66" s="59">
        <v>2740.3057637519273</v>
      </c>
      <c r="N66" s="113">
        <v>1104.7207987175284</v>
      </c>
      <c r="O66" s="60">
        <v>733.76306486323051</v>
      </c>
      <c r="P66" s="60">
        <v>3996.5388325911163</v>
      </c>
      <c r="Q66" s="55">
        <v>12.6</v>
      </c>
      <c r="R66" s="61">
        <v>13919.482063840858</v>
      </c>
      <c r="S66" s="61"/>
      <c r="T66" s="61"/>
      <c r="U66" s="55">
        <v>7</v>
      </c>
    </row>
    <row r="67" spans="1:29" x14ac:dyDescent="0.25">
      <c r="A67">
        <v>121</v>
      </c>
      <c r="B67" s="33" t="s">
        <v>93</v>
      </c>
      <c r="C67" s="48">
        <v>2008</v>
      </c>
      <c r="D67" s="42" t="s">
        <v>45</v>
      </c>
      <c r="E67" s="33">
        <v>1</v>
      </c>
      <c r="F67" s="43" t="s">
        <v>7</v>
      </c>
      <c r="G67" s="33">
        <v>1000</v>
      </c>
      <c r="H67" s="1">
        <v>9.8169614223109464E-2</v>
      </c>
      <c r="I67" s="1">
        <v>8.0895664412278204E-2</v>
      </c>
      <c r="J67" s="1">
        <v>4.5240614563140651E-2</v>
      </c>
      <c r="K67" s="1">
        <v>5.5891792827067063E-2</v>
      </c>
      <c r="L67" s="1">
        <v>0.18553011461753038</v>
      </c>
      <c r="M67" s="25">
        <v>20710.167560200389</v>
      </c>
      <c r="N67" s="44">
        <v>1675.3627648720212</v>
      </c>
      <c r="O67" s="20">
        <v>1157.5283946885652</v>
      </c>
      <c r="P67" s="20">
        <v>3842.3597611922378</v>
      </c>
      <c r="Q67" s="16">
        <v>11.5</v>
      </c>
      <c r="R67" s="46">
        <v>19266.671796028244</v>
      </c>
      <c r="S67" s="46"/>
      <c r="T67" s="46"/>
      <c r="U67" s="16">
        <v>5</v>
      </c>
    </row>
    <row r="68" spans="1:29" x14ac:dyDescent="0.25">
      <c r="A68">
        <v>122</v>
      </c>
      <c r="B68" s="33" t="s">
        <v>93</v>
      </c>
      <c r="C68" s="48">
        <v>2008</v>
      </c>
      <c r="D68" s="42" t="s">
        <v>45</v>
      </c>
      <c r="E68" s="33">
        <v>2</v>
      </c>
      <c r="F68" s="43" t="s">
        <v>8</v>
      </c>
      <c r="G68" s="33">
        <v>1000</v>
      </c>
      <c r="H68" s="1">
        <v>0.23725408312536297</v>
      </c>
      <c r="I68" s="1">
        <v>0.23115596741464767</v>
      </c>
      <c r="J68" s="1">
        <v>4.0483279208877489E-2</v>
      </c>
      <c r="K68" s="1">
        <v>0.18161105115951012</v>
      </c>
      <c r="L68" s="1">
        <v>0.30667398833357229</v>
      </c>
      <c r="M68" s="25">
        <v>12937.515211791189</v>
      </c>
      <c r="N68" s="44">
        <v>2990.5838447233127</v>
      </c>
      <c r="O68" s="20">
        <v>2349.5957370055503</v>
      </c>
      <c r="P68" s="20">
        <v>3967.5993891262651</v>
      </c>
      <c r="Q68" s="16">
        <v>6.1</v>
      </c>
      <c r="R68" s="46">
        <v>18242.561452812206</v>
      </c>
      <c r="S68" s="46"/>
      <c r="T68" s="46"/>
      <c r="U68" s="16">
        <v>6</v>
      </c>
      <c r="V68" s="55"/>
      <c r="W68" s="55"/>
      <c r="X68" s="55"/>
      <c r="Y68" s="55"/>
      <c r="Z68" s="55"/>
      <c r="AA68" s="55"/>
      <c r="AB68" s="55"/>
      <c r="AC68" s="55"/>
    </row>
    <row r="69" spans="1:29" x14ac:dyDescent="0.25">
      <c r="A69">
        <v>123</v>
      </c>
      <c r="B69" s="33" t="s">
        <v>93</v>
      </c>
      <c r="C69" s="48">
        <v>2008</v>
      </c>
      <c r="D69" s="42" t="s">
        <v>45</v>
      </c>
      <c r="E69" s="33">
        <v>3</v>
      </c>
      <c r="F69" s="43" t="s">
        <v>9</v>
      </c>
      <c r="G69" s="33">
        <v>1000</v>
      </c>
      <c r="H69" s="1">
        <v>0.43314178190084235</v>
      </c>
      <c r="I69" s="1">
        <v>0.34427708108629662</v>
      </c>
      <c r="J69" s="1">
        <v>0.3389344223530677</v>
      </c>
      <c r="K69" s="1">
        <v>0.28250042241738371</v>
      </c>
      <c r="L69" s="1">
        <v>0.78944755198219352</v>
      </c>
      <c r="M69" s="25">
        <v>10953.043037802479</v>
      </c>
      <c r="N69" s="44">
        <v>3770.8816860672209</v>
      </c>
      <c r="O69" s="20">
        <v>3094.239284934984</v>
      </c>
      <c r="P69" s="20">
        <v>8646.8530129487754</v>
      </c>
      <c r="Q69" s="16">
        <v>18.100000000000001</v>
      </c>
      <c r="R69" s="46">
        <v>68252.958517816704</v>
      </c>
      <c r="S69" s="46"/>
      <c r="T69" s="46"/>
      <c r="U69" s="16">
        <v>2</v>
      </c>
    </row>
    <row r="70" spans="1:29" x14ac:dyDescent="0.25">
      <c r="A70">
        <v>125</v>
      </c>
      <c r="B70" s="33" t="s">
        <v>93</v>
      </c>
      <c r="C70" s="48">
        <v>2008</v>
      </c>
      <c r="D70" s="42" t="s">
        <v>45</v>
      </c>
      <c r="E70" s="33">
        <v>5</v>
      </c>
      <c r="F70" s="43" t="s">
        <v>11</v>
      </c>
      <c r="G70" s="33">
        <v>1000</v>
      </c>
      <c r="H70" s="1">
        <v>9.5983448500616519E-2</v>
      </c>
      <c r="I70" s="1">
        <v>9.2086651683794929E-2</v>
      </c>
      <c r="J70" s="1">
        <v>2.1333564329890479E-2</v>
      </c>
      <c r="K70" s="1">
        <v>6.921413766147308E-2</v>
      </c>
      <c r="L70" s="1">
        <v>0.1367799535605338</v>
      </c>
      <c r="M70" s="25">
        <v>13991.101427824766</v>
      </c>
      <c r="N70" s="44">
        <v>1288.3936838567452</v>
      </c>
      <c r="O70" s="20">
        <v>968.38202026109593</v>
      </c>
      <c r="P70" s="20">
        <v>1913.7022035585896</v>
      </c>
      <c r="Q70" s="16">
        <v>17.899999999999999</v>
      </c>
      <c r="R70" s="46">
        <v>23062.246941035737</v>
      </c>
      <c r="S70" s="46"/>
      <c r="T70" s="46"/>
      <c r="U70" s="16">
        <v>4</v>
      </c>
    </row>
    <row r="71" spans="1:29" x14ac:dyDescent="0.25">
      <c r="A71">
        <v>126</v>
      </c>
      <c r="B71" s="33" t="s">
        <v>93</v>
      </c>
      <c r="C71" s="48">
        <v>2008</v>
      </c>
      <c r="D71" s="42" t="s">
        <v>45</v>
      </c>
      <c r="E71" s="33">
        <v>6</v>
      </c>
      <c r="F71" s="43" t="s">
        <v>12</v>
      </c>
      <c r="G71" s="33">
        <v>1000</v>
      </c>
      <c r="H71" s="1">
        <v>7.1066347696270543E-2</v>
      </c>
      <c r="I71" s="1">
        <v>6.9407952801289668E-2</v>
      </c>
      <c r="J71" s="1">
        <v>1.7602632018096274E-2</v>
      </c>
      <c r="K71" s="1">
        <v>4.6124491362227481E-2</v>
      </c>
      <c r="L71" s="1">
        <v>0.10385672041427169</v>
      </c>
      <c r="M71" s="25">
        <v>6966.102651973556</v>
      </c>
      <c r="N71" s="44">
        <v>483.50292407711936</v>
      </c>
      <c r="O71" s="20">
        <v>321.30794159934425</v>
      </c>
      <c r="P71" s="20">
        <v>723.4765755031342</v>
      </c>
      <c r="Q71" s="16">
        <v>21.1</v>
      </c>
      <c r="R71" s="46">
        <v>10201.911698027219</v>
      </c>
      <c r="S71" s="46"/>
      <c r="T71" s="46"/>
      <c r="U71" s="16">
        <v>8</v>
      </c>
      <c r="V71" s="55"/>
      <c r="W71" s="55"/>
      <c r="X71" s="55"/>
      <c r="Y71" s="55"/>
      <c r="Z71" s="55"/>
      <c r="AA71" s="55"/>
      <c r="AB71" s="55"/>
      <c r="AC71" s="55"/>
    </row>
    <row r="72" spans="1:29" x14ac:dyDescent="0.25">
      <c r="A72">
        <v>127</v>
      </c>
      <c r="B72" s="33" t="s">
        <v>93</v>
      </c>
      <c r="C72" s="48">
        <v>2008</v>
      </c>
      <c r="D72" s="42" t="s">
        <v>45</v>
      </c>
      <c r="E72" s="33">
        <v>7</v>
      </c>
      <c r="F72" s="43" t="s">
        <v>13</v>
      </c>
      <c r="G72" s="33">
        <v>1000</v>
      </c>
      <c r="H72" s="1">
        <v>2.0386575018138838E-2</v>
      </c>
      <c r="I72" s="1">
        <v>1.103126197095125E-2</v>
      </c>
      <c r="J72" s="1">
        <v>2.0684147885088225E-2</v>
      </c>
      <c r="K72" s="1">
        <v>6.4061257951752663E-3</v>
      </c>
      <c r="L72" s="1">
        <v>6.6571748585614612E-2</v>
      </c>
      <c r="M72" s="25">
        <v>2532.5333267390947</v>
      </c>
      <c r="N72" s="44">
        <v>27.937038577423632</v>
      </c>
      <c r="O72" s="20">
        <v>16.223727071564344</v>
      </c>
      <c r="P72" s="20">
        <v>168.5951719123652</v>
      </c>
      <c r="Q72" s="16">
        <v>21.1</v>
      </c>
      <c r="R72" s="46">
        <v>589.47151398363872</v>
      </c>
      <c r="S72" s="46"/>
      <c r="T72" s="46"/>
      <c r="U72" s="16">
        <v>13</v>
      </c>
      <c r="V72" s="55"/>
      <c r="W72" s="55"/>
      <c r="X72" s="55"/>
      <c r="Y72" s="55"/>
      <c r="Z72" s="55"/>
      <c r="AA72" s="55"/>
      <c r="AB72" s="55"/>
      <c r="AC72" s="55"/>
    </row>
    <row r="73" spans="1:29" x14ac:dyDescent="0.25">
      <c r="A73">
        <v>128</v>
      </c>
      <c r="B73" s="33" t="s">
        <v>93</v>
      </c>
      <c r="C73" s="48">
        <v>2008</v>
      </c>
      <c r="D73" s="42" t="s">
        <v>45</v>
      </c>
      <c r="E73" s="33">
        <v>8</v>
      </c>
      <c r="F73" s="43" t="s">
        <v>14</v>
      </c>
      <c r="G73" s="33">
        <v>1000</v>
      </c>
      <c r="H73" s="1">
        <v>0.52115089626055811</v>
      </c>
      <c r="I73" s="1">
        <v>0.51616549165616099</v>
      </c>
      <c r="J73" s="1">
        <v>5.3336562667907032E-2</v>
      </c>
      <c r="K73" s="1">
        <v>0.43966551685559407</v>
      </c>
      <c r="L73" s="1">
        <v>0.61534913076891962</v>
      </c>
      <c r="M73" s="25">
        <v>13775.148973606703</v>
      </c>
      <c r="N73" s="44">
        <v>7110.2565425985658</v>
      </c>
      <c r="O73" s="20">
        <v>6056.4579932435972</v>
      </c>
      <c r="P73" s="20">
        <v>8476.5259471212594</v>
      </c>
      <c r="Q73" s="16">
        <v>9.4</v>
      </c>
      <c r="R73" s="46">
        <v>66836.411500426519</v>
      </c>
      <c r="S73" s="46"/>
      <c r="T73" s="46"/>
      <c r="U73" s="16">
        <v>1</v>
      </c>
    </row>
    <row r="74" spans="1:29" x14ac:dyDescent="0.25">
      <c r="A74">
        <v>129</v>
      </c>
      <c r="B74" s="33" t="s">
        <v>93</v>
      </c>
      <c r="C74" s="48">
        <v>2008</v>
      </c>
      <c r="D74" s="42" t="s">
        <v>45</v>
      </c>
      <c r="E74" s="33">
        <v>9</v>
      </c>
      <c r="F74" s="43" t="s">
        <v>15</v>
      </c>
      <c r="G74" s="33">
        <v>1000</v>
      </c>
      <c r="H74" s="1">
        <v>4.6204018653746258E-2</v>
      </c>
      <c r="I74" s="1">
        <v>3.9920147701256029E-2</v>
      </c>
      <c r="J74" s="1">
        <v>1.6589977025389252E-2</v>
      </c>
      <c r="K74" s="1">
        <v>3.0333490969965536E-2</v>
      </c>
      <c r="L74" s="1">
        <v>7.9095819971722769E-2</v>
      </c>
      <c r="M74" s="25">
        <v>5560.7756961151053</v>
      </c>
      <c r="N74" s="44">
        <v>221.98698712246983</v>
      </c>
      <c r="O74" s="20">
        <v>168.67773936411137</v>
      </c>
      <c r="P74" s="20">
        <v>439.83411336305176</v>
      </c>
      <c r="Q74" s="16">
        <v>9.9</v>
      </c>
      <c r="R74" s="46">
        <v>2197.6711725124514</v>
      </c>
      <c r="S74" s="46"/>
      <c r="T74" s="46"/>
      <c r="U74" s="16">
        <v>11</v>
      </c>
      <c r="V74" s="55"/>
      <c r="W74" s="55"/>
      <c r="X74" s="55"/>
      <c r="Y74" s="55"/>
      <c r="Z74" s="55"/>
      <c r="AA74" s="55"/>
      <c r="AB74" s="55"/>
      <c r="AC74" s="55"/>
    </row>
    <row r="75" spans="1:29" x14ac:dyDescent="0.25">
      <c r="A75">
        <v>130</v>
      </c>
      <c r="B75" s="33" t="s">
        <v>93</v>
      </c>
      <c r="C75" s="48">
        <v>2008</v>
      </c>
      <c r="D75" s="42" t="s">
        <v>45</v>
      </c>
      <c r="E75" s="33">
        <v>10</v>
      </c>
      <c r="F75" s="43" t="s">
        <v>16</v>
      </c>
      <c r="G75" s="33">
        <v>1000</v>
      </c>
      <c r="H75" s="1">
        <v>0.2963053452912679</v>
      </c>
      <c r="I75" s="1">
        <v>0.29183233750508686</v>
      </c>
      <c r="J75" s="1">
        <v>3.896808981280532E-2</v>
      </c>
      <c r="K75" s="1">
        <v>0.23825845255893124</v>
      </c>
      <c r="L75" s="1">
        <v>0.36688562279252568</v>
      </c>
      <c r="M75" s="25">
        <v>10828.706776282988</v>
      </c>
      <c r="N75" s="44">
        <v>3160.1668106798384</v>
      </c>
      <c r="O75" s="20">
        <v>2580.0309197315978</v>
      </c>
      <c r="P75" s="20">
        <v>3972.8968296542271</v>
      </c>
      <c r="Q75" s="16">
        <v>10.8</v>
      </c>
      <c r="R75" s="46">
        <v>34129.801555342259</v>
      </c>
      <c r="S75" s="46"/>
      <c r="T75" s="46"/>
      <c r="U75" s="16">
        <v>3</v>
      </c>
    </row>
    <row r="76" spans="1:29" x14ac:dyDescent="0.25">
      <c r="A76">
        <v>133</v>
      </c>
      <c r="B76" s="33" t="s">
        <v>93</v>
      </c>
      <c r="C76" s="48">
        <v>2008</v>
      </c>
      <c r="D76" s="42" t="s">
        <v>45</v>
      </c>
      <c r="E76" s="33">
        <v>13</v>
      </c>
      <c r="F76" s="43" t="s">
        <v>19</v>
      </c>
      <c r="G76" s="33">
        <v>1000</v>
      </c>
      <c r="H76" s="1">
        <v>0.13170394614741132</v>
      </c>
      <c r="I76" s="1">
        <v>0.12600284076290486</v>
      </c>
      <c r="J76" s="1">
        <v>2.5869306436000973E-2</v>
      </c>
      <c r="K76" s="1">
        <v>9.851794199440278E-2</v>
      </c>
      <c r="L76" s="1">
        <v>0.18267836887245731</v>
      </c>
      <c r="M76" s="25">
        <v>5410.2633795388801</v>
      </c>
      <c r="N76" s="44">
        <v>681.70855509741295</v>
      </c>
      <c r="O76" s="20">
        <v>533.00801379985296</v>
      </c>
      <c r="P76" s="20">
        <v>988.33808934455101</v>
      </c>
      <c r="Q76" s="16">
        <v>16.5</v>
      </c>
      <c r="R76" s="46">
        <v>11248.191159107313</v>
      </c>
      <c r="S76" s="46"/>
      <c r="T76" s="46"/>
      <c r="U76" s="16">
        <v>7</v>
      </c>
      <c r="V76" s="55"/>
      <c r="W76" s="55"/>
      <c r="X76" s="55"/>
      <c r="Y76" s="55"/>
      <c r="Z76" s="55"/>
      <c r="AA76" s="55"/>
      <c r="AB76" s="55"/>
      <c r="AC76" s="55"/>
    </row>
    <row r="77" spans="1:29" x14ac:dyDescent="0.25">
      <c r="A77">
        <v>134</v>
      </c>
      <c r="B77" s="48" t="s">
        <v>124</v>
      </c>
      <c r="C77" s="48">
        <v>2009</v>
      </c>
      <c r="D77" s="42" t="s">
        <v>45</v>
      </c>
      <c r="E77" s="1">
        <v>1</v>
      </c>
      <c r="F77" s="43" t="s">
        <v>7</v>
      </c>
      <c r="G77" s="33">
        <v>1000</v>
      </c>
      <c r="H77" s="1">
        <v>8.0712263756367475E-2</v>
      </c>
      <c r="I77" s="1">
        <v>7.7266122201321147E-2</v>
      </c>
      <c r="J77" s="1">
        <v>1.4930801756688155E-2</v>
      </c>
      <c r="K77" s="1">
        <v>6.26105268519834E-2</v>
      </c>
      <c r="L77" s="1">
        <v>0.11032648196022596</v>
      </c>
      <c r="M77" s="25">
        <v>20710.167560200389</v>
      </c>
      <c r="N77" s="44">
        <v>1600.1943375162803</v>
      </c>
      <c r="O77" s="20">
        <v>1296.674502137002</v>
      </c>
      <c r="P77" s="20">
        <v>2284.8799277237049</v>
      </c>
      <c r="Q77" s="92">
        <v>8.6999999999999993</v>
      </c>
      <c r="R77" s="46">
        <v>13921.690736391638</v>
      </c>
      <c r="S77" s="46"/>
      <c r="T77" s="46"/>
      <c r="U77" s="16">
        <v>6</v>
      </c>
      <c r="V77" s="55"/>
      <c r="W77" s="55"/>
      <c r="X77" s="55"/>
      <c r="Y77" s="55"/>
      <c r="Z77" s="55"/>
      <c r="AA77" s="55"/>
      <c r="AB77" s="55"/>
      <c r="AC77" s="55"/>
    </row>
    <row r="78" spans="1:29" x14ac:dyDescent="0.25">
      <c r="A78">
        <v>135</v>
      </c>
      <c r="B78" s="48" t="s">
        <v>124</v>
      </c>
      <c r="C78" s="48">
        <v>2009</v>
      </c>
      <c r="D78" s="42" t="s">
        <v>45</v>
      </c>
      <c r="E78" s="1">
        <v>2</v>
      </c>
      <c r="F78" s="43" t="s">
        <v>8</v>
      </c>
      <c r="G78" s="33">
        <v>1000</v>
      </c>
      <c r="H78" s="1">
        <v>0.44107083456456525</v>
      </c>
      <c r="I78" s="1">
        <v>0.42165396776453457</v>
      </c>
      <c r="J78" s="1">
        <v>6.0374027049629929E-2</v>
      </c>
      <c r="K78" s="1">
        <v>0.38079335564299088</v>
      </c>
      <c r="L78" s="1">
        <v>0.56549681074769853</v>
      </c>
      <c r="M78" s="25">
        <v>12937.515211791189</v>
      </c>
      <c r="N78" s="44">
        <v>5455.1546220657774</v>
      </c>
      <c r="O78" s="20">
        <v>4926.5198311802069</v>
      </c>
      <c r="P78" s="20">
        <v>7316.123591267753</v>
      </c>
      <c r="Q78" s="92">
        <v>8.5226369047619048</v>
      </c>
      <c r="R78" s="46">
        <v>46492.302103200273</v>
      </c>
      <c r="S78" s="46"/>
      <c r="T78" s="46"/>
      <c r="U78" s="16">
        <v>2</v>
      </c>
      <c r="V78" s="55"/>
      <c r="W78" s="55"/>
      <c r="X78" s="55"/>
      <c r="Y78" s="55"/>
      <c r="Z78" s="55"/>
      <c r="AA78" s="55"/>
      <c r="AB78" s="55"/>
      <c r="AC78" s="55"/>
    </row>
    <row r="79" spans="1:29" x14ac:dyDescent="0.25">
      <c r="A79">
        <v>136</v>
      </c>
      <c r="B79" s="48" t="s">
        <v>124</v>
      </c>
      <c r="C79" s="48">
        <v>2009</v>
      </c>
      <c r="D79" s="42" t="s">
        <v>45</v>
      </c>
      <c r="E79" s="1">
        <v>3</v>
      </c>
      <c r="F79" s="43" t="s">
        <v>9</v>
      </c>
      <c r="G79" s="33">
        <v>1000</v>
      </c>
      <c r="H79" s="1">
        <v>0.54207355326819628</v>
      </c>
      <c r="I79" s="1">
        <v>0.53934087582124368</v>
      </c>
      <c r="J79" s="1">
        <v>4.0390540580175494E-2</v>
      </c>
      <c r="K79" s="1">
        <v>0.48228724468656425</v>
      </c>
      <c r="L79" s="1">
        <v>0.61559011574175204</v>
      </c>
      <c r="M79" s="25">
        <v>10953.043037802479</v>
      </c>
      <c r="N79" s="44">
        <v>5907.4238249161644</v>
      </c>
      <c r="O79" s="20">
        <v>5282.5129476351131</v>
      </c>
      <c r="P79" s="20">
        <v>6742.5850313652199</v>
      </c>
      <c r="Q79" s="92">
        <v>6.4</v>
      </c>
      <c r="R79" s="46">
        <v>37807.512479463454</v>
      </c>
      <c r="S79" s="46"/>
      <c r="T79" s="46"/>
      <c r="U79" s="16">
        <v>4</v>
      </c>
      <c r="V79" s="55"/>
      <c r="W79" s="55"/>
      <c r="X79" s="55"/>
      <c r="Y79" s="55"/>
      <c r="Z79" s="55"/>
      <c r="AA79" s="55"/>
      <c r="AB79" s="55"/>
      <c r="AC79" s="55"/>
    </row>
    <row r="80" spans="1:29" x14ac:dyDescent="0.25">
      <c r="A80">
        <v>137</v>
      </c>
      <c r="B80" s="48" t="s">
        <v>124</v>
      </c>
      <c r="C80" s="48">
        <v>2009</v>
      </c>
      <c r="D80" s="42" t="s">
        <v>45</v>
      </c>
      <c r="E80" s="1">
        <v>5</v>
      </c>
      <c r="F80" s="43" t="s">
        <v>11</v>
      </c>
      <c r="G80" s="33">
        <v>1000</v>
      </c>
      <c r="H80" s="1">
        <v>0.23606874925233595</v>
      </c>
      <c r="I80" s="1">
        <v>0.22926583952002749</v>
      </c>
      <c r="J80" s="1">
        <v>3.425828054014865E-2</v>
      </c>
      <c r="K80" s="1">
        <v>0.19611564034491841</v>
      </c>
      <c r="L80" s="1">
        <v>0.300911835246507</v>
      </c>
      <c r="M80" s="25">
        <v>13991.101427824766</v>
      </c>
      <c r="N80" s="44">
        <v>3207.6816146601004</v>
      </c>
      <c r="O80" s="20">
        <v>2743.873815648556</v>
      </c>
      <c r="P80" s="20">
        <v>4210.0880077667744</v>
      </c>
      <c r="Q80" s="92">
        <v>13.3</v>
      </c>
      <c r="R80" s="46">
        <v>42662.165474979338</v>
      </c>
      <c r="S80" s="46"/>
      <c r="T80" s="46"/>
      <c r="U80" s="16">
        <v>3</v>
      </c>
      <c r="V80" s="55"/>
      <c r="W80" s="55"/>
      <c r="X80" s="55"/>
      <c r="Y80" s="55"/>
      <c r="Z80" s="55"/>
      <c r="AA80" s="55"/>
      <c r="AB80" s="55"/>
      <c r="AC80" s="55"/>
    </row>
    <row r="81" spans="1:29" x14ac:dyDescent="0.25">
      <c r="A81">
        <v>138</v>
      </c>
      <c r="B81" s="48" t="s">
        <v>124</v>
      </c>
      <c r="C81" s="48">
        <v>2009</v>
      </c>
      <c r="D81" s="42" t="s">
        <v>45</v>
      </c>
      <c r="E81" s="1">
        <v>6</v>
      </c>
      <c r="F81" s="43" t="s">
        <v>12</v>
      </c>
      <c r="G81" s="33">
        <v>1000</v>
      </c>
      <c r="H81" s="1">
        <v>0.23818835292553184</v>
      </c>
      <c r="I81" s="1">
        <v>0.20647252205651356</v>
      </c>
      <c r="J81" s="1">
        <v>0.14021273696494077</v>
      </c>
      <c r="K81" s="1">
        <v>0.18251581732274358</v>
      </c>
      <c r="L81" s="1">
        <v>0.28351644936645681</v>
      </c>
      <c r="M81" s="25">
        <v>6966.102651973556</v>
      </c>
      <c r="N81" s="44">
        <v>1438.3087834575476</v>
      </c>
      <c r="O81" s="20">
        <v>1271.4239190790852</v>
      </c>
      <c r="P81" s="20">
        <v>1975.0046898098012</v>
      </c>
      <c r="Q81" s="92">
        <v>7.9</v>
      </c>
      <c r="R81" s="46">
        <v>11362.639389314627</v>
      </c>
      <c r="S81" s="46"/>
      <c r="T81" s="46"/>
      <c r="U81" s="16">
        <v>8</v>
      </c>
      <c r="V81" s="55"/>
      <c r="W81" s="55"/>
      <c r="X81" s="55"/>
      <c r="Y81" s="55"/>
      <c r="Z81" s="55"/>
      <c r="AA81" s="55"/>
      <c r="AB81" s="55"/>
      <c r="AC81" s="55"/>
    </row>
    <row r="82" spans="1:29" x14ac:dyDescent="0.25">
      <c r="A82">
        <v>139</v>
      </c>
      <c r="B82" s="48" t="s">
        <v>124</v>
      </c>
      <c r="C82" s="48">
        <v>2009</v>
      </c>
      <c r="D82" s="42" t="s">
        <v>45</v>
      </c>
      <c r="E82" s="1">
        <v>7</v>
      </c>
      <c r="F82" s="43" t="s">
        <v>13</v>
      </c>
      <c r="G82" s="33">
        <v>1000</v>
      </c>
      <c r="H82" s="1">
        <v>8.4762254293597447E-2</v>
      </c>
      <c r="I82" s="1">
        <v>6.791164357601151E-2</v>
      </c>
      <c r="J82" s="1">
        <v>4.2316414101981295E-2</v>
      </c>
      <c r="K82" s="1">
        <v>4.4574338030455449E-2</v>
      </c>
      <c r="L82" s="1">
        <v>0.17430470173859286</v>
      </c>
      <c r="M82" s="25">
        <v>2532.5333267390947</v>
      </c>
      <c r="N82" s="44">
        <v>171.98850062987611</v>
      </c>
      <c r="O82" s="20">
        <v>112.88599657946229</v>
      </c>
      <c r="P82" s="20">
        <v>441.43246616030422</v>
      </c>
      <c r="Q82" s="92">
        <v>7.2119391025641022</v>
      </c>
      <c r="R82" s="46">
        <v>1240.3705928839743</v>
      </c>
      <c r="S82" s="46"/>
      <c r="T82" s="46"/>
      <c r="U82" s="16">
        <v>11</v>
      </c>
      <c r="V82" s="55"/>
      <c r="W82" s="55"/>
      <c r="X82" s="55"/>
      <c r="Y82" s="55"/>
      <c r="Z82" s="55"/>
      <c r="AA82" s="55"/>
      <c r="AB82" s="55"/>
      <c r="AC82" s="55"/>
    </row>
    <row r="83" spans="1:29" x14ac:dyDescent="0.25">
      <c r="A83">
        <v>140</v>
      </c>
      <c r="B83" s="48" t="s">
        <v>124</v>
      </c>
      <c r="C83" s="48">
        <v>2009</v>
      </c>
      <c r="D83" s="42" t="s">
        <v>45</v>
      </c>
      <c r="E83" s="1">
        <v>8</v>
      </c>
      <c r="F83" s="43" t="s">
        <v>14</v>
      </c>
      <c r="G83" s="33">
        <v>1000</v>
      </c>
      <c r="H83" s="1">
        <v>0.27907323242506665</v>
      </c>
      <c r="I83" s="1">
        <v>0.20644269980569491</v>
      </c>
      <c r="J83" s="1">
        <v>0.29409793770997739</v>
      </c>
      <c r="K83" s="1">
        <v>0.17988535185578663</v>
      </c>
      <c r="L83" s="1">
        <v>0.35621407831750107</v>
      </c>
      <c r="M83" s="25">
        <v>13775.148973606703</v>
      </c>
      <c r="N83" s="44">
        <v>2843.7789443370148</v>
      </c>
      <c r="O83" s="20">
        <v>2477.9475199831199</v>
      </c>
      <c r="P83" s="20">
        <v>4906.901995319583</v>
      </c>
      <c r="Q83" s="92">
        <v>9.3000000000000007</v>
      </c>
      <c r="R83" s="46">
        <v>26447.144182334239</v>
      </c>
      <c r="S83" s="46"/>
      <c r="T83" s="46"/>
      <c r="U83" s="16">
        <v>5</v>
      </c>
      <c r="V83" s="55"/>
      <c r="W83" s="55"/>
      <c r="X83" s="55"/>
      <c r="Y83" s="55"/>
      <c r="Z83" s="55"/>
      <c r="AA83" s="55"/>
      <c r="AB83" s="55"/>
      <c r="AC83" s="55"/>
    </row>
    <row r="84" spans="1:29" x14ac:dyDescent="0.25">
      <c r="A84">
        <v>141</v>
      </c>
      <c r="B84" s="48" t="s">
        <v>124</v>
      </c>
      <c r="C84" s="48">
        <v>2009</v>
      </c>
      <c r="D84" s="42" t="s">
        <v>45</v>
      </c>
      <c r="E84" s="1">
        <v>9</v>
      </c>
      <c r="F84" s="43" t="s">
        <v>15</v>
      </c>
      <c r="G84" s="33">
        <v>1000</v>
      </c>
      <c r="H84" s="1">
        <v>0.23973330793528069</v>
      </c>
      <c r="I84" s="1">
        <v>0.22470672772532113</v>
      </c>
      <c r="J84" s="1">
        <v>5.1095646830777657E-2</v>
      </c>
      <c r="K84" s="1">
        <v>0.17854565195354424</v>
      </c>
      <c r="L84" s="1">
        <v>0.33695223067280289</v>
      </c>
      <c r="M84" s="25">
        <v>5560.7756961151053</v>
      </c>
      <c r="N84" s="44">
        <v>1249.5437102885201</v>
      </c>
      <c r="O84" s="20">
        <v>992.85232203029534</v>
      </c>
      <c r="P84" s="20">
        <v>1873.715775077093</v>
      </c>
      <c r="Q84" s="92">
        <v>8.1</v>
      </c>
      <c r="R84" s="46">
        <v>10121.304053337011</v>
      </c>
      <c r="S84" s="46"/>
      <c r="T84" s="46"/>
      <c r="U84" s="16">
        <v>9</v>
      </c>
      <c r="V84" s="55"/>
      <c r="W84" s="55"/>
      <c r="X84" s="55"/>
      <c r="Y84" s="55"/>
      <c r="Z84" s="55"/>
      <c r="AA84" s="55"/>
      <c r="AB84" s="55"/>
      <c r="AC84" s="55"/>
    </row>
    <row r="85" spans="1:29" x14ac:dyDescent="0.25">
      <c r="A85">
        <v>142</v>
      </c>
      <c r="B85" s="48" t="s">
        <v>124</v>
      </c>
      <c r="C85" s="48">
        <v>2009</v>
      </c>
      <c r="D85" s="42" t="s">
        <v>45</v>
      </c>
      <c r="E85" s="1">
        <v>10</v>
      </c>
      <c r="F85" s="43" t="s">
        <v>16</v>
      </c>
      <c r="G85" s="33">
        <v>1000</v>
      </c>
      <c r="H85" s="1">
        <v>0.59523256198494268</v>
      </c>
      <c r="I85" s="1">
        <v>0.59175701610170206</v>
      </c>
      <c r="J85" s="1">
        <v>4.5235743184627704E-2</v>
      </c>
      <c r="K85" s="1">
        <v>0.52938021654409217</v>
      </c>
      <c r="L85" s="1">
        <v>0.6783087059958427</v>
      </c>
      <c r="M85" s="25">
        <v>10828.706776282988</v>
      </c>
      <c r="N85" s="44">
        <v>6407.9632101735024</v>
      </c>
      <c r="O85" s="20">
        <v>5732.5031381211666</v>
      </c>
      <c r="P85" s="20">
        <v>7345.2060810289267</v>
      </c>
      <c r="Q85" s="92">
        <v>9</v>
      </c>
      <c r="R85" s="46">
        <v>57671.668891561523</v>
      </c>
      <c r="S85" s="46"/>
      <c r="T85" s="46"/>
      <c r="U85" s="16">
        <v>1</v>
      </c>
      <c r="V85" s="55"/>
      <c r="W85" s="55"/>
      <c r="X85" s="55"/>
      <c r="Y85" s="55"/>
      <c r="Z85" s="55"/>
      <c r="AA85" s="55"/>
      <c r="AB85" s="55"/>
      <c r="AC85" s="55"/>
    </row>
    <row r="86" spans="1:29" x14ac:dyDescent="0.25">
      <c r="A86">
        <v>145</v>
      </c>
      <c r="B86" s="48" t="s">
        <v>124</v>
      </c>
      <c r="C86" s="48">
        <v>2009</v>
      </c>
      <c r="D86" s="42" t="s">
        <v>45</v>
      </c>
      <c r="E86" s="1">
        <v>13</v>
      </c>
      <c r="F86" s="43" t="s">
        <v>19</v>
      </c>
      <c r="G86" s="33">
        <v>1000</v>
      </c>
      <c r="H86" s="1">
        <v>2.7096771843589149E-2</v>
      </c>
      <c r="I86" s="1">
        <v>2.3453432306726849E-2</v>
      </c>
      <c r="J86" s="1">
        <v>1.202385171467665E-2</v>
      </c>
      <c r="K86" s="1">
        <v>1.5756156007543209E-2</v>
      </c>
      <c r="L86" s="1">
        <v>5.0404207267938324E-2</v>
      </c>
      <c r="M86" s="25">
        <v>5410.2633795388801</v>
      </c>
      <c r="N86" s="44">
        <v>126.88924593357835</v>
      </c>
      <c r="O86" s="20">
        <v>85.244953849912548</v>
      </c>
      <c r="P86" s="20">
        <v>272.70003675641419</v>
      </c>
      <c r="Q86" s="92">
        <v>13.7</v>
      </c>
      <c r="R86" s="46">
        <v>1738.3826692900234</v>
      </c>
      <c r="S86" s="46"/>
      <c r="T86" s="46"/>
      <c r="U86" s="16">
        <v>10</v>
      </c>
      <c r="V86" s="55"/>
      <c r="W86" s="55"/>
      <c r="X86" s="55"/>
      <c r="Y86" s="55"/>
      <c r="Z86" s="55"/>
      <c r="AA86" s="55"/>
      <c r="AB86" s="55"/>
      <c r="AC86" s="55"/>
    </row>
    <row r="87" spans="1:29" x14ac:dyDescent="0.25">
      <c r="A87">
        <v>146</v>
      </c>
      <c r="B87" s="1" t="s">
        <v>125</v>
      </c>
      <c r="C87" s="1">
        <v>2010</v>
      </c>
      <c r="D87" s="42" t="s">
        <v>46</v>
      </c>
      <c r="E87" s="1">
        <v>1</v>
      </c>
      <c r="F87" s="43" t="s">
        <v>7</v>
      </c>
      <c r="G87" s="33">
        <v>1000</v>
      </c>
      <c r="H87" s="1">
        <v>6.2013716553751862E-3</v>
      </c>
      <c r="I87" s="1">
        <v>4.7677963964617301E-3</v>
      </c>
      <c r="J87" s="1">
        <v>4.1338262254734144E-3</v>
      </c>
      <c r="K87" s="1">
        <v>3.0446877943615283E-3</v>
      </c>
      <c r="L87" s="1">
        <v>1.57805615671677E-2</v>
      </c>
      <c r="M87" s="25">
        <v>20710.167560200389</v>
      </c>
      <c r="N87" s="44">
        <v>98.741862263642034</v>
      </c>
      <c r="O87" s="20">
        <v>63.055994389724198</v>
      </c>
      <c r="P87" s="20">
        <v>326.81807425010152</v>
      </c>
      <c r="Q87" s="91">
        <v>11.7</v>
      </c>
      <c r="R87" s="46">
        <v>1155.2797884846118</v>
      </c>
      <c r="S87" s="46"/>
      <c r="T87" s="46"/>
      <c r="U87" s="16">
        <v>6</v>
      </c>
      <c r="V87" s="55"/>
      <c r="W87" s="55"/>
      <c r="X87" s="55"/>
      <c r="Y87" s="55"/>
      <c r="Z87" s="55"/>
      <c r="AA87" s="55"/>
      <c r="AB87" s="55"/>
      <c r="AC87" s="55"/>
    </row>
    <row r="88" spans="1:29" x14ac:dyDescent="0.25">
      <c r="A88">
        <v>147</v>
      </c>
      <c r="B88" s="1" t="s">
        <v>125</v>
      </c>
      <c r="C88" s="1">
        <v>2010</v>
      </c>
      <c r="D88" s="42" t="s">
        <v>63</v>
      </c>
      <c r="E88" s="1">
        <v>2</v>
      </c>
      <c r="F88" s="43" t="s">
        <v>8</v>
      </c>
      <c r="G88" s="33">
        <v>1000</v>
      </c>
      <c r="H88" s="1">
        <v>7.0508745564551237E-2</v>
      </c>
      <c r="I88" s="1">
        <v>6.3939524798633129E-2</v>
      </c>
      <c r="J88" s="1">
        <v>3.5848697139545679E-2</v>
      </c>
      <c r="K88" s="1">
        <v>3.2279848629493998E-2</v>
      </c>
      <c r="L88" s="1">
        <v>0.13580695173212778</v>
      </c>
      <c r="M88" s="25">
        <v>12937.515211791189</v>
      </c>
      <c r="N88" s="44">
        <v>827.21857471701605</v>
      </c>
      <c r="O88" s="20">
        <v>417.62103267839558</v>
      </c>
      <c r="P88" s="20">
        <v>1757.0045039013951</v>
      </c>
      <c r="Q88" s="91">
        <v>9</v>
      </c>
      <c r="R88" s="46">
        <v>7444.9671724531445</v>
      </c>
      <c r="S88" s="46"/>
      <c r="T88" s="46"/>
      <c r="U88">
        <v>1</v>
      </c>
      <c r="V88" s="55"/>
      <c r="W88" s="55"/>
      <c r="X88" s="55"/>
      <c r="Y88" s="55"/>
      <c r="Z88" s="55"/>
      <c r="AA88" s="55"/>
      <c r="AB88" s="55"/>
      <c r="AC88" s="55"/>
    </row>
    <row r="89" spans="1:29" x14ac:dyDescent="0.25">
      <c r="A89">
        <v>148</v>
      </c>
      <c r="B89" s="1" t="s">
        <v>125</v>
      </c>
      <c r="C89" s="1">
        <v>2010</v>
      </c>
      <c r="D89" s="42" t="s">
        <v>140</v>
      </c>
      <c r="E89" s="1">
        <v>3</v>
      </c>
      <c r="F89" s="43" t="s">
        <v>9</v>
      </c>
      <c r="G89" s="33">
        <v>1000</v>
      </c>
      <c r="H89" s="1">
        <v>1.2190427341400361E-3</v>
      </c>
      <c r="I89" s="1">
        <v>1.0601868884178001E-3</v>
      </c>
      <c r="J89" s="1">
        <v>5.7502366518210539E-4</v>
      </c>
      <c r="K89" s="1">
        <v>5.773902846916175E-4</v>
      </c>
      <c r="L89" s="1">
        <v>2.3422860362305562E-3</v>
      </c>
      <c r="M89" s="25">
        <v>10953.043037802479</v>
      </c>
      <c r="N89" s="44">
        <v>11.61227261695406</v>
      </c>
      <c r="O89" s="20">
        <v>6.3241806378363128</v>
      </c>
      <c r="P89" s="20">
        <v>25.655159761677059</v>
      </c>
      <c r="Q89" s="91">
        <v>11.6</v>
      </c>
      <c r="R89" s="46">
        <v>134.70236235666709</v>
      </c>
      <c r="S89" s="46"/>
      <c r="T89" s="46"/>
      <c r="U89">
        <v>10</v>
      </c>
      <c r="V89" s="55"/>
      <c r="W89" s="55"/>
      <c r="X89" s="55"/>
      <c r="Y89" s="55"/>
      <c r="Z89" s="55"/>
      <c r="AA89" s="55"/>
      <c r="AB89" s="55"/>
      <c r="AC89" s="55"/>
    </row>
    <row r="90" spans="1:29" x14ac:dyDescent="0.25">
      <c r="A90">
        <v>149</v>
      </c>
      <c r="B90" s="1" t="s">
        <v>125</v>
      </c>
      <c r="C90" s="1">
        <v>2010</v>
      </c>
      <c r="D90" s="42" t="s">
        <v>141</v>
      </c>
      <c r="E90" s="1">
        <v>5</v>
      </c>
      <c r="F90" s="43" t="s">
        <v>11</v>
      </c>
      <c r="G90" s="33">
        <v>1000</v>
      </c>
      <c r="H90" s="1">
        <v>2.4994797386674626E-2</v>
      </c>
      <c r="I90" s="1">
        <v>1.8919473817002205E-2</v>
      </c>
      <c r="J90" s="1">
        <v>1.9290333514906197E-2</v>
      </c>
      <c r="K90" s="1">
        <v>1.1861980653102113E-2</v>
      </c>
      <c r="L90" s="1">
        <v>6.9589886983465479E-2</v>
      </c>
      <c r="M90" s="25">
        <v>13991.101427824766</v>
      </c>
      <c r="N90" s="44">
        <v>264.70427713475283</v>
      </c>
      <c r="O90" s="20">
        <v>165.96217445244673</v>
      </c>
      <c r="P90" s="20">
        <v>973.63916713652793</v>
      </c>
      <c r="Q90" s="91">
        <v>15.4</v>
      </c>
      <c r="R90" s="46">
        <v>4076.4458678751935</v>
      </c>
      <c r="S90" s="46"/>
      <c r="T90" s="46"/>
      <c r="U90">
        <v>3</v>
      </c>
      <c r="V90" s="55"/>
      <c r="W90" s="55"/>
      <c r="X90" s="55"/>
      <c r="Y90" s="55"/>
      <c r="Z90" s="55"/>
      <c r="AA90" s="55"/>
      <c r="AB90" s="55"/>
      <c r="AC90" s="55"/>
    </row>
    <row r="91" spans="1:29" x14ac:dyDescent="0.25">
      <c r="A91">
        <v>150</v>
      </c>
      <c r="B91" s="1" t="s">
        <v>125</v>
      </c>
      <c r="C91" s="1">
        <v>2010</v>
      </c>
      <c r="D91" s="42" t="s">
        <v>142</v>
      </c>
      <c r="E91" s="1">
        <v>6</v>
      </c>
      <c r="F91" s="43" t="s">
        <v>12</v>
      </c>
      <c r="G91" s="33">
        <v>1000</v>
      </c>
      <c r="H91" s="1">
        <v>2.9133612996892329E-2</v>
      </c>
      <c r="I91" s="1">
        <v>2.3435554357661689E-2</v>
      </c>
      <c r="J91" s="1">
        <v>1.9084264371745891E-2</v>
      </c>
      <c r="K91" s="1">
        <v>1.6990096365550583E-2</v>
      </c>
      <c r="L91" s="1">
        <v>8.5622522533229356E-2</v>
      </c>
      <c r="M91" s="25">
        <v>6966.102651973556</v>
      </c>
      <c r="N91" s="44">
        <v>163.25447736137752</v>
      </c>
      <c r="O91" s="20">
        <v>118.3547553493482</v>
      </c>
      <c r="P91" s="20">
        <v>596.45528128739454</v>
      </c>
      <c r="Q91" s="91">
        <v>11.5</v>
      </c>
      <c r="R91" s="46">
        <v>1877.4264896558416</v>
      </c>
      <c r="S91" s="46"/>
      <c r="T91" s="46"/>
      <c r="U91">
        <v>5</v>
      </c>
      <c r="V91" s="55"/>
      <c r="W91" s="55"/>
      <c r="X91" s="55"/>
      <c r="Y91" s="55"/>
      <c r="Z91" s="55"/>
      <c r="AA91" s="55"/>
      <c r="AB91" s="55"/>
      <c r="AC91" s="55"/>
    </row>
    <row r="92" spans="1:29" x14ac:dyDescent="0.25">
      <c r="A92">
        <v>151</v>
      </c>
      <c r="B92" s="1" t="s">
        <v>125</v>
      </c>
      <c r="C92" s="1">
        <v>2010</v>
      </c>
      <c r="D92" s="42" t="s">
        <v>143</v>
      </c>
      <c r="E92" s="1">
        <v>7</v>
      </c>
      <c r="F92" s="43" t="s">
        <v>13</v>
      </c>
      <c r="G92" s="33">
        <v>1000</v>
      </c>
      <c r="H92" s="1">
        <v>9.517743698655487E-2</v>
      </c>
      <c r="I92" s="1">
        <v>7.4891248110850919E-2</v>
      </c>
      <c r="J92" s="1">
        <v>7.8910283551862762E-2</v>
      </c>
      <c r="K92" s="1">
        <v>1.9408926597585478E-2</v>
      </c>
      <c r="L92" s="1">
        <v>0.25267300107112056</v>
      </c>
      <c r="M92" s="25">
        <v>2532.5333267390947</v>
      </c>
      <c r="N92" s="44">
        <v>189.66458172181623</v>
      </c>
      <c r="O92" s="20">
        <v>49.153753444618047</v>
      </c>
      <c r="P92" s="20">
        <v>639.90279597979577</v>
      </c>
      <c r="Q92" s="91">
        <v>14</v>
      </c>
      <c r="R92" s="46">
        <v>2655.3041441054274</v>
      </c>
      <c r="S92" s="46"/>
      <c r="T92" s="46"/>
      <c r="U92">
        <v>4</v>
      </c>
    </row>
    <row r="93" spans="1:29" x14ac:dyDescent="0.25">
      <c r="A93">
        <v>152</v>
      </c>
      <c r="B93" s="1" t="s">
        <v>125</v>
      </c>
      <c r="C93" s="1">
        <v>2010</v>
      </c>
      <c r="D93" s="42" t="s">
        <v>144</v>
      </c>
      <c r="E93" s="1">
        <v>8</v>
      </c>
      <c r="F93" s="43" t="s">
        <v>14</v>
      </c>
      <c r="G93" s="33">
        <v>1000</v>
      </c>
      <c r="H93" s="1">
        <v>5.0863580364841647E-3</v>
      </c>
      <c r="I93" s="1">
        <v>4.2472263879635447E-3</v>
      </c>
      <c r="J93" s="1">
        <v>2.4569966930470376E-3</v>
      </c>
      <c r="K93" s="1">
        <v>2.575132998739365E-3</v>
      </c>
      <c r="L93" s="1">
        <v>1.0096757383846282E-2</v>
      </c>
      <c r="M93" s="25">
        <v>13775.148973606703</v>
      </c>
      <c r="N93" s="44">
        <v>58.506176218831328</v>
      </c>
      <c r="O93" s="20">
        <v>35.472840684485313</v>
      </c>
      <c r="P93" s="20">
        <v>139.08433711284601</v>
      </c>
      <c r="Q93" s="91">
        <v>11.5</v>
      </c>
      <c r="R93" s="46">
        <v>672.82102651656032</v>
      </c>
      <c r="S93" s="46"/>
      <c r="T93" s="46"/>
      <c r="U93">
        <v>8</v>
      </c>
    </row>
    <row r="94" spans="1:29" x14ac:dyDescent="0.25">
      <c r="A94">
        <v>153</v>
      </c>
      <c r="B94" s="1" t="s">
        <v>125</v>
      </c>
      <c r="C94" s="1">
        <v>2010</v>
      </c>
      <c r="D94" s="42" t="s">
        <v>145</v>
      </c>
      <c r="E94" s="1">
        <v>9</v>
      </c>
      <c r="F94" s="43" t="s">
        <v>15</v>
      </c>
      <c r="G94" s="33">
        <v>1000</v>
      </c>
      <c r="H94" s="1">
        <v>6.5238531183317655E-2</v>
      </c>
      <c r="I94" s="1">
        <v>6.2781063556778358E-2</v>
      </c>
      <c r="J94" s="1">
        <v>1.1091939426796529E-2</v>
      </c>
      <c r="K94" s="1">
        <v>5.1393600785127995E-2</v>
      </c>
      <c r="L94" s="1">
        <v>8.731445107720115E-2</v>
      </c>
      <c r="M94" s="25">
        <v>5560.7756961151053</v>
      </c>
      <c r="N94" s="44">
        <v>349.11141240279085</v>
      </c>
      <c r="O94" s="20">
        <v>285.78828618178193</v>
      </c>
      <c r="P94" s="20">
        <v>485.53607746973154</v>
      </c>
      <c r="Q94" s="91">
        <v>12.3</v>
      </c>
      <c r="R94" s="46">
        <v>4294.0703725543281</v>
      </c>
      <c r="S94" s="46"/>
      <c r="T94" s="46"/>
      <c r="U94">
        <v>2</v>
      </c>
    </row>
    <row r="95" spans="1:29" x14ac:dyDescent="0.25">
      <c r="A95">
        <v>154</v>
      </c>
      <c r="B95" s="1" t="s">
        <v>125</v>
      </c>
      <c r="C95" s="1">
        <v>2010</v>
      </c>
      <c r="D95" s="42" t="s">
        <v>146</v>
      </c>
      <c r="E95" s="1">
        <v>10</v>
      </c>
      <c r="F95" s="43" t="s">
        <v>16</v>
      </c>
      <c r="G95" s="33">
        <v>1000</v>
      </c>
      <c r="H95" s="1">
        <v>2.4811723614394978E-4</v>
      </c>
      <c r="I95" s="1">
        <v>2.2299320151056312E-4</v>
      </c>
      <c r="J95" s="1">
        <v>1.1099558968472942E-4</v>
      </c>
      <c r="K95" s="1">
        <v>1.9018651544880542E-4</v>
      </c>
      <c r="L95" s="1">
        <v>5.9343644839396511E-4</v>
      </c>
      <c r="M95" s="25">
        <v>10828.706776282988</v>
      </c>
      <c r="N95" s="44">
        <v>2.4147279922624727</v>
      </c>
      <c r="O95" s="20">
        <v>2.0594740085981287</v>
      </c>
      <c r="P95" s="20">
        <v>6.4261492900170403</v>
      </c>
      <c r="Q95" s="91">
        <v>13.1</v>
      </c>
      <c r="R95" s="46">
        <v>31.632936698638392</v>
      </c>
      <c r="S95" s="46"/>
      <c r="T95" s="46"/>
      <c r="U95">
        <v>11</v>
      </c>
    </row>
    <row r="96" spans="1:29" x14ac:dyDescent="0.25">
      <c r="A96">
        <v>157</v>
      </c>
      <c r="B96" s="1" t="s">
        <v>125</v>
      </c>
      <c r="C96" s="1">
        <v>2010</v>
      </c>
      <c r="D96" s="42" t="s">
        <v>45</v>
      </c>
      <c r="E96" s="1">
        <v>13</v>
      </c>
      <c r="F96" s="43" t="s">
        <v>19</v>
      </c>
      <c r="G96" s="33">
        <v>1000</v>
      </c>
      <c r="H96" s="1">
        <v>3.6048119412144903E-3</v>
      </c>
      <c r="I96" s="1">
        <v>2.1837283185450005E-3</v>
      </c>
      <c r="J96" s="1">
        <v>4.8823473196731608E-3</v>
      </c>
      <c r="K96" s="1">
        <v>8.9117196820479516E-4</v>
      </c>
      <c r="L96" s="1">
        <v>9.431847849761317E-3</v>
      </c>
      <c r="M96" s="25">
        <v>5410.2633795388801</v>
      </c>
      <c r="N96" s="44">
        <v>11.81454535268603</v>
      </c>
      <c r="O96" s="20">
        <v>4.8214750644499906</v>
      </c>
      <c r="P96" s="20">
        <v>51.028781022946184</v>
      </c>
      <c r="Q96" s="91">
        <v>14</v>
      </c>
      <c r="R96" s="46">
        <v>165.40363493760444</v>
      </c>
      <c r="S96" s="46"/>
      <c r="T96" s="46"/>
      <c r="U96">
        <v>9</v>
      </c>
      <c r="V96" s="55"/>
      <c r="W96" s="55"/>
      <c r="X96" s="55"/>
      <c r="Y96" s="55"/>
      <c r="Z96" s="55"/>
      <c r="AA96" s="55"/>
      <c r="AB96" s="55"/>
      <c r="AC96" s="55"/>
    </row>
    <row r="97" spans="1:21" x14ac:dyDescent="0.25">
      <c r="A97">
        <v>159</v>
      </c>
      <c r="B97" t="s">
        <v>54</v>
      </c>
      <c r="C97">
        <v>1982</v>
      </c>
      <c r="D97" s="31" t="s">
        <v>45</v>
      </c>
      <c r="E97">
        <v>1</v>
      </c>
      <c r="F97" s="3" t="s">
        <v>7</v>
      </c>
      <c r="G97">
        <v>0</v>
      </c>
      <c r="H97" s="1"/>
      <c r="I97" s="1"/>
      <c r="M97" s="9"/>
      <c r="N97" s="65"/>
      <c r="O97" s="12"/>
      <c r="P97" s="12"/>
      <c r="Q97" s="16"/>
      <c r="R97" s="46"/>
      <c r="S97" s="46"/>
      <c r="T97" s="46"/>
    </row>
    <row r="98" spans="1:21" x14ac:dyDescent="0.25">
      <c r="A98">
        <v>160</v>
      </c>
      <c r="B98" t="s">
        <v>54</v>
      </c>
      <c r="C98">
        <v>1983</v>
      </c>
      <c r="D98" s="31" t="s">
        <v>45</v>
      </c>
      <c r="E98">
        <v>1</v>
      </c>
      <c r="F98" s="3" t="s">
        <v>7</v>
      </c>
      <c r="G98">
        <v>0</v>
      </c>
      <c r="H98" s="1"/>
      <c r="I98" s="1"/>
      <c r="M98" s="9"/>
      <c r="N98" s="65"/>
      <c r="O98" s="12"/>
      <c r="P98" s="12"/>
      <c r="Q98" s="16"/>
      <c r="R98" s="46"/>
      <c r="S98" s="46"/>
      <c r="T98" s="46"/>
    </row>
    <row r="99" spans="1:21" x14ac:dyDescent="0.25">
      <c r="A99">
        <v>161</v>
      </c>
      <c r="B99" t="s">
        <v>54</v>
      </c>
      <c r="C99">
        <v>1984</v>
      </c>
      <c r="D99" s="31" t="s">
        <v>45</v>
      </c>
      <c r="E99">
        <v>1</v>
      </c>
      <c r="F99" s="3" t="s">
        <v>7</v>
      </c>
      <c r="G99">
        <v>0</v>
      </c>
      <c r="H99" s="1"/>
      <c r="I99" s="1"/>
      <c r="M99" s="9"/>
      <c r="N99" s="65"/>
      <c r="O99" s="12"/>
      <c r="P99" s="12"/>
      <c r="Q99" s="16"/>
      <c r="R99" s="46"/>
      <c r="S99" s="46"/>
      <c r="T99" s="46"/>
    </row>
    <row r="100" spans="1:21" x14ac:dyDescent="0.25">
      <c r="A100">
        <v>162</v>
      </c>
      <c r="B100" t="s">
        <v>54</v>
      </c>
      <c r="C100">
        <v>1985</v>
      </c>
      <c r="D100" s="31" t="s">
        <v>45</v>
      </c>
      <c r="E100">
        <v>1</v>
      </c>
      <c r="F100" s="3" t="s">
        <v>7</v>
      </c>
      <c r="G100">
        <v>0</v>
      </c>
      <c r="H100" s="1"/>
      <c r="I100" s="1"/>
      <c r="M100" s="9"/>
      <c r="N100" s="65"/>
      <c r="O100" s="12"/>
      <c r="P100" s="12"/>
      <c r="Q100" s="16"/>
      <c r="R100" s="46"/>
      <c r="S100" s="46"/>
      <c r="T100" s="46"/>
    </row>
    <row r="101" spans="1:21" x14ac:dyDescent="0.25">
      <c r="A101">
        <v>163</v>
      </c>
      <c r="B101" t="s">
        <v>54</v>
      </c>
      <c r="C101">
        <v>1986</v>
      </c>
      <c r="D101" s="31" t="s">
        <v>45</v>
      </c>
      <c r="E101">
        <v>1</v>
      </c>
      <c r="F101" s="3" t="s">
        <v>7</v>
      </c>
      <c r="G101">
        <v>0</v>
      </c>
      <c r="H101" s="1"/>
      <c r="I101" s="1"/>
      <c r="M101" s="9"/>
      <c r="N101" s="65"/>
      <c r="O101" s="12"/>
      <c r="P101" s="12"/>
      <c r="Q101" s="16"/>
      <c r="R101" s="46"/>
      <c r="S101" s="46"/>
      <c r="T101" s="46"/>
    </row>
    <row r="102" spans="1:21" x14ac:dyDescent="0.25">
      <c r="A102">
        <v>164</v>
      </c>
      <c r="B102" t="s">
        <v>54</v>
      </c>
      <c r="C102">
        <v>1987</v>
      </c>
      <c r="D102" s="31" t="s">
        <v>45</v>
      </c>
      <c r="E102">
        <v>1</v>
      </c>
      <c r="F102" s="3" t="s">
        <v>7</v>
      </c>
      <c r="G102">
        <v>0</v>
      </c>
      <c r="H102" s="1"/>
      <c r="I102" s="1"/>
      <c r="M102" s="9"/>
      <c r="N102" s="65"/>
      <c r="O102" s="12"/>
      <c r="P102" s="12"/>
      <c r="Q102" s="16"/>
      <c r="R102" s="46"/>
      <c r="S102" s="46"/>
      <c r="T102" s="46"/>
    </row>
    <row r="103" spans="1:21" x14ac:dyDescent="0.25">
      <c r="A103">
        <v>165</v>
      </c>
      <c r="B103" t="s">
        <v>54</v>
      </c>
      <c r="C103">
        <v>1993</v>
      </c>
      <c r="D103" s="31" t="s">
        <v>45</v>
      </c>
      <c r="E103">
        <v>1</v>
      </c>
      <c r="F103" s="3" t="s">
        <v>7</v>
      </c>
      <c r="G103">
        <v>0</v>
      </c>
      <c r="H103" s="1"/>
      <c r="I103" s="1"/>
      <c r="M103" s="9"/>
      <c r="N103" s="65"/>
      <c r="O103" s="12"/>
      <c r="P103" s="12"/>
      <c r="Q103" s="16"/>
      <c r="R103" s="46"/>
      <c r="S103" s="46"/>
      <c r="T103" s="46"/>
    </row>
    <row r="104" spans="1:21" x14ac:dyDescent="0.25">
      <c r="A104">
        <v>166</v>
      </c>
      <c r="B104" t="s">
        <v>54</v>
      </c>
      <c r="C104">
        <v>1994</v>
      </c>
      <c r="D104" s="31" t="s">
        <v>45</v>
      </c>
      <c r="E104">
        <v>1</v>
      </c>
      <c r="F104" s="3" t="s">
        <v>7</v>
      </c>
      <c r="G104">
        <v>0</v>
      </c>
      <c r="H104" s="1"/>
      <c r="I104" s="1"/>
      <c r="M104" s="9"/>
      <c r="N104" s="65"/>
      <c r="O104" s="12"/>
      <c r="P104" s="12"/>
      <c r="Q104" s="16"/>
      <c r="R104" s="46"/>
      <c r="S104" s="46"/>
      <c r="T104" s="46"/>
    </row>
    <row r="105" spans="1:21" x14ac:dyDescent="0.25">
      <c r="A105">
        <v>167</v>
      </c>
      <c r="B105" t="s">
        <v>54</v>
      </c>
      <c r="C105">
        <v>1995</v>
      </c>
      <c r="D105" s="31" t="s">
        <v>45</v>
      </c>
      <c r="E105">
        <v>1</v>
      </c>
      <c r="F105" s="3" t="s">
        <v>7</v>
      </c>
      <c r="G105">
        <v>0</v>
      </c>
      <c r="H105" s="1"/>
      <c r="I105" s="1"/>
      <c r="J105" s="1"/>
      <c r="K105" s="1"/>
      <c r="L105" s="1"/>
      <c r="M105" s="9"/>
      <c r="N105" s="44"/>
      <c r="O105" s="20"/>
      <c r="P105" s="20"/>
      <c r="Q105" s="16"/>
      <c r="R105" s="46"/>
      <c r="S105" s="46"/>
      <c r="T105" s="46"/>
    </row>
    <row r="106" spans="1:21" x14ac:dyDescent="0.25">
      <c r="A106">
        <v>168</v>
      </c>
      <c r="B106" t="s">
        <v>54</v>
      </c>
      <c r="C106">
        <v>1997</v>
      </c>
      <c r="D106" s="31" t="s">
        <v>45</v>
      </c>
      <c r="E106">
        <v>1</v>
      </c>
      <c r="F106" s="3" t="s">
        <v>7</v>
      </c>
      <c r="G106">
        <v>0</v>
      </c>
      <c r="H106" s="1"/>
      <c r="I106" s="1"/>
      <c r="J106" s="1"/>
      <c r="K106" s="1"/>
      <c r="L106" s="1"/>
      <c r="M106" s="9"/>
      <c r="N106" s="44"/>
      <c r="O106" s="20"/>
      <c r="P106" s="20"/>
      <c r="Q106" s="16"/>
      <c r="R106" s="46"/>
      <c r="S106" s="46"/>
      <c r="T106" s="46"/>
    </row>
    <row r="107" spans="1:21" x14ac:dyDescent="0.25">
      <c r="A107">
        <v>169</v>
      </c>
      <c r="B107" t="s">
        <v>54</v>
      </c>
      <c r="C107">
        <v>1998</v>
      </c>
      <c r="D107" s="31" t="s">
        <v>45</v>
      </c>
      <c r="E107">
        <v>1</v>
      </c>
      <c r="F107" s="3" t="s">
        <v>7</v>
      </c>
      <c r="G107">
        <v>0</v>
      </c>
      <c r="H107" s="1"/>
      <c r="I107" s="1"/>
      <c r="M107" s="9"/>
      <c r="N107" s="65"/>
      <c r="O107" s="12"/>
      <c r="P107" s="12"/>
      <c r="R107" s="45"/>
      <c r="S107" s="45"/>
      <c r="T107" s="45"/>
    </row>
    <row r="108" spans="1:21" x14ac:dyDescent="0.25">
      <c r="A108">
        <v>170</v>
      </c>
      <c r="B108" t="s">
        <v>54</v>
      </c>
      <c r="C108">
        <v>2006</v>
      </c>
      <c r="D108" s="31" t="s">
        <v>45</v>
      </c>
      <c r="E108">
        <v>1</v>
      </c>
      <c r="F108" s="3" t="s">
        <v>7</v>
      </c>
      <c r="G108">
        <v>0</v>
      </c>
      <c r="H108" s="1"/>
      <c r="I108" s="1"/>
      <c r="M108" s="9"/>
      <c r="N108" s="65"/>
      <c r="O108" s="12"/>
      <c r="P108" s="12"/>
      <c r="R108" s="45"/>
      <c r="S108" s="45"/>
      <c r="T108" s="45"/>
    </row>
    <row r="109" spans="1:21" x14ac:dyDescent="0.25">
      <c r="A109">
        <v>158</v>
      </c>
      <c r="B109" s="1" t="s">
        <v>133</v>
      </c>
      <c r="C109" s="1">
        <v>2011</v>
      </c>
      <c r="D109" s="42" t="s">
        <v>45</v>
      </c>
      <c r="E109" s="1">
        <v>1</v>
      </c>
      <c r="F109" s="3" t="s">
        <v>7</v>
      </c>
      <c r="G109" s="33">
        <v>1000</v>
      </c>
      <c r="H109" s="1">
        <v>0.34016128073877006</v>
      </c>
      <c r="I109" s="1">
        <v>0.34008136362857155</v>
      </c>
      <c r="J109" s="1">
        <v>7.702552758476354E-2</v>
      </c>
      <c r="K109" s="1">
        <v>0.21789890916634858</v>
      </c>
      <c r="L109" s="1">
        <v>0.47000228290160295</v>
      </c>
      <c r="M109" s="25">
        <v>20710.167560200389</v>
      </c>
      <c r="N109" s="112">
        <f>$M109*I109</f>
        <v>7043.142024849155</v>
      </c>
      <c r="O109" s="20">
        <f>$M109*K109</f>
        <v>4512.7229200199636</v>
      </c>
      <c r="P109" s="20">
        <f>$M109*L109</f>
        <v>9733.8260325689025</v>
      </c>
      <c r="Q109" s="91">
        <v>7.6</v>
      </c>
      <c r="R109" s="46">
        <f t="shared" ref="R109:R150" si="0">Q109*N109</f>
        <v>53527.879388853573</v>
      </c>
      <c r="S109" s="46"/>
      <c r="T109" s="46"/>
      <c r="U109" s="16">
        <v>2</v>
      </c>
    </row>
    <row r="110" spans="1:21" x14ac:dyDescent="0.25">
      <c r="A110">
        <v>159</v>
      </c>
      <c r="B110" s="1" t="s">
        <v>133</v>
      </c>
      <c r="C110" s="1">
        <v>2011</v>
      </c>
      <c r="D110" s="42" t="s">
        <v>45</v>
      </c>
      <c r="E110" s="1">
        <v>2</v>
      </c>
      <c r="F110" s="3" t="s">
        <v>8</v>
      </c>
      <c r="G110" s="33">
        <v>1000</v>
      </c>
      <c r="H110" s="1">
        <v>0.4110036352245432</v>
      </c>
      <c r="I110" s="1">
        <v>0.38252963389108074</v>
      </c>
      <c r="J110" s="1">
        <v>0.10493951054533167</v>
      </c>
      <c r="K110" s="1">
        <v>0.29432409795506831</v>
      </c>
      <c r="L110" s="1">
        <v>0.64058410740921612</v>
      </c>
      <c r="M110" s="25">
        <v>12937.515211791189</v>
      </c>
      <c r="N110" s="112">
        <f t="shared" ref="N110:N117" si="1">$M110*I110</f>
        <v>4948.9829574267715</v>
      </c>
      <c r="O110" s="20">
        <f t="shared" ref="O110:P117" si="2">$M110*K110</f>
        <v>3807.8224944904164</v>
      </c>
      <c r="P110" s="20">
        <f t="shared" si="2"/>
        <v>8287.5666340384141</v>
      </c>
      <c r="Q110" s="91">
        <v>12.2</v>
      </c>
      <c r="R110" s="46">
        <f t="shared" si="0"/>
        <v>60377.592080606606</v>
      </c>
      <c r="S110" s="46"/>
      <c r="T110" s="46"/>
      <c r="U110" s="16">
        <v>1</v>
      </c>
    </row>
    <row r="111" spans="1:21" x14ac:dyDescent="0.25">
      <c r="A111">
        <v>160</v>
      </c>
      <c r="B111" s="1" t="s">
        <v>133</v>
      </c>
      <c r="C111" s="1">
        <v>2011</v>
      </c>
      <c r="D111" s="42" t="s">
        <v>45</v>
      </c>
      <c r="E111" s="1">
        <v>3</v>
      </c>
      <c r="F111" s="3" t="s">
        <v>9</v>
      </c>
      <c r="G111" s="33">
        <v>1000</v>
      </c>
      <c r="H111" s="1">
        <v>0.24420757387674649</v>
      </c>
      <c r="I111" s="1">
        <v>0.22507444978579111</v>
      </c>
      <c r="J111" s="1">
        <v>6.2117516802318716E-2</v>
      </c>
      <c r="K111" s="1">
        <v>0.17847643579971942</v>
      </c>
      <c r="L111" s="1">
        <v>0.37203189537829118</v>
      </c>
      <c r="M111" s="25">
        <v>10953.043037802479</v>
      </c>
      <c r="N111" s="112">
        <f t="shared" si="1"/>
        <v>2465.2501352134832</v>
      </c>
      <c r="O111" s="20">
        <f t="shared" si="2"/>
        <v>1954.860082547918</v>
      </c>
      <c r="P111" s="20">
        <f t="shared" si="2"/>
        <v>4074.8813615136528</v>
      </c>
      <c r="Q111" s="91">
        <v>12.5</v>
      </c>
      <c r="R111" s="46">
        <f t="shared" si="0"/>
        <v>30815.626690168541</v>
      </c>
      <c r="S111" s="46"/>
      <c r="T111" s="46"/>
      <c r="U111" s="16">
        <v>4</v>
      </c>
    </row>
    <row r="112" spans="1:21" x14ac:dyDescent="0.25">
      <c r="A112">
        <v>161</v>
      </c>
      <c r="B112" s="1" t="s">
        <v>133</v>
      </c>
      <c r="C112" s="1">
        <v>2011</v>
      </c>
      <c r="D112" s="42" t="s">
        <v>45</v>
      </c>
      <c r="E112" s="1">
        <v>5</v>
      </c>
      <c r="F112" s="3" t="s">
        <v>11</v>
      </c>
      <c r="G112" s="33">
        <v>1000</v>
      </c>
      <c r="H112" s="1">
        <v>1.7992901419842076E-2</v>
      </c>
      <c r="I112" s="1">
        <v>5.4820829439543063E-3</v>
      </c>
      <c r="J112" s="1">
        <v>3.8735117103407893E-2</v>
      </c>
      <c r="K112" s="1">
        <v>3.5541916817714882E-3</v>
      </c>
      <c r="L112" s="1">
        <v>0.11979688952483794</v>
      </c>
      <c r="M112" s="25">
        <v>13991.101427824766</v>
      </c>
      <c r="N112" s="112">
        <f t="shared" si="1"/>
        <v>76.700378504612885</v>
      </c>
      <c r="O112" s="20">
        <f t="shared" si="2"/>
        <v>49.727056313595973</v>
      </c>
      <c r="P112" s="20">
        <f t="shared" si="2"/>
        <v>1676.0904320799259</v>
      </c>
      <c r="Q112" s="91">
        <v>6</v>
      </c>
      <c r="R112" s="46">
        <f t="shared" si="0"/>
        <v>460.20227102767728</v>
      </c>
      <c r="S112" s="46"/>
      <c r="T112" s="46"/>
      <c r="U112" s="16">
        <v>8</v>
      </c>
    </row>
    <row r="113" spans="1:35" x14ac:dyDescent="0.25">
      <c r="A113">
        <v>162</v>
      </c>
      <c r="B113" s="1" t="s">
        <v>133</v>
      </c>
      <c r="C113" s="1">
        <v>2011</v>
      </c>
      <c r="D113" s="42" t="s">
        <v>45</v>
      </c>
      <c r="E113" s="1">
        <v>6</v>
      </c>
      <c r="F113" s="3" t="s">
        <v>12</v>
      </c>
      <c r="G113" s="33">
        <v>1000</v>
      </c>
      <c r="H113" s="1">
        <v>0.16042386048758894</v>
      </c>
      <c r="I113" s="1">
        <v>0.15066276876196982</v>
      </c>
      <c r="J113" s="1">
        <v>3.6800162649119554E-2</v>
      </c>
      <c r="K113" s="1">
        <v>0.12121456919999798</v>
      </c>
      <c r="L113" s="1">
        <v>0.24316112807045617</v>
      </c>
      <c r="M113" s="25">
        <v>6966.102651973556</v>
      </c>
      <c r="N113" s="112">
        <f t="shared" si="1"/>
        <v>1049.5323130264367</v>
      </c>
      <c r="O113" s="20">
        <f t="shared" si="2"/>
        <v>844.39313196193814</v>
      </c>
      <c r="P113" s="20">
        <f t="shared" si="2"/>
        <v>1693.8853791084862</v>
      </c>
      <c r="Q113" s="91">
        <v>14.3</v>
      </c>
      <c r="R113" s="46">
        <f t="shared" si="0"/>
        <v>15008.312076278045</v>
      </c>
      <c r="S113" s="46"/>
      <c r="T113" s="46"/>
      <c r="U113" s="16">
        <v>5</v>
      </c>
    </row>
    <row r="114" spans="1:35" x14ac:dyDescent="0.25">
      <c r="A114">
        <v>163</v>
      </c>
      <c r="B114" s="1" t="s">
        <v>133</v>
      </c>
      <c r="C114" s="1">
        <v>2011</v>
      </c>
      <c r="D114" s="42" t="s">
        <v>45</v>
      </c>
      <c r="E114" s="1">
        <v>7</v>
      </c>
      <c r="F114" s="3" t="s">
        <v>13</v>
      </c>
      <c r="G114" s="33">
        <v>1000</v>
      </c>
      <c r="H114" s="1">
        <v>6.5004353040116914E-3</v>
      </c>
      <c r="I114" s="1">
        <v>6.1529587185756279E-3</v>
      </c>
      <c r="J114" s="1">
        <v>2.8855167947869063E-3</v>
      </c>
      <c r="K114" s="1">
        <v>2.0765888039405763E-3</v>
      </c>
      <c r="L114" s="1">
        <v>1.1862696189793048E-2</v>
      </c>
      <c r="M114" s="25">
        <v>2532.5333267390947</v>
      </c>
      <c r="N114" s="112">
        <f t="shared" si="1"/>
        <v>15.582573012842651</v>
      </c>
      <c r="O114" s="20">
        <f t="shared" si="2"/>
        <v>5.2590303519127852</v>
      </c>
      <c r="P114" s="20">
        <f t="shared" si="2"/>
        <v>30.04267344563177</v>
      </c>
      <c r="Q114" s="91">
        <v>14.3</v>
      </c>
      <c r="R114" s="46">
        <f t="shared" si="0"/>
        <v>222.83079408364992</v>
      </c>
      <c r="S114" s="46"/>
      <c r="T114" s="46"/>
      <c r="U114" s="16">
        <v>9</v>
      </c>
    </row>
    <row r="115" spans="1:35" x14ac:dyDescent="0.25">
      <c r="A115">
        <v>164</v>
      </c>
      <c r="B115" s="1" t="s">
        <v>133</v>
      </c>
      <c r="C115" s="1">
        <v>2011</v>
      </c>
      <c r="D115" s="42" t="s">
        <v>45</v>
      </c>
      <c r="E115" s="1">
        <v>8</v>
      </c>
      <c r="F115" s="3" t="s">
        <v>14</v>
      </c>
      <c r="G115" s="33">
        <v>1000</v>
      </c>
      <c r="H115" s="1">
        <v>6.2490408370241973E-2</v>
      </c>
      <c r="I115" s="1">
        <v>6.1277867651886267E-2</v>
      </c>
      <c r="J115" s="1">
        <v>7.974533326250588E-3</v>
      </c>
      <c r="K115" s="1">
        <v>5.2283262413146139E-2</v>
      </c>
      <c r="L115" s="1">
        <v>7.826136927634296E-2</v>
      </c>
      <c r="M115" s="25">
        <v>13775.148973606703</v>
      </c>
      <c r="N115" s="112">
        <f t="shared" si="1"/>
        <v>844.11175568968849</v>
      </c>
      <c r="O115" s="20">
        <f t="shared" si="2"/>
        <v>720.20972856725996</v>
      </c>
      <c r="P115" s="20">
        <f t="shared" si="2"/>
        <v>1078.0620206600709</v>
      </c>
      <c r="Q115" s="91">
        <v>13.1</v>
      </c>
      <c r="R115" s="46">
        <f t="shared" si="0"/>
        <v>11057.863999534919</v>
      </c>
      <c r="S115" s="46"/>
      <c r="T115" s="46"/>
      <c r="U115" s="16">
        <v>6</v>
      </c>
    </row>
    <row r="116" spans="1:35" x14ac:dyDescent="0.25">
      <c r="A116">
        <v>165</v>
      </c>
      <c r="B116" s="1" t="s">
        <v>133</v>
      </c>
      <c r="C116" s="1">
        <v>2011</v>
      </c>
      <c r="D116" s="42" t="s">
        <v>45</v>
      </c>
      <c r="E116" s="1">
        <v>9</v>
      </c>
      <c r="F116" s="3" t="s">
        <v>15</v>
      </c>
      <c r="G116" s="33">
        <v>1000</v>
      </c>
      <c r="H116" s="1">
        <v>9.6865287110698695E-3</v>
      </c>
      <c r="I116" s="1">
        <v>8.4196936569694864E-3</v>
      </c>
      <c r="J116" s="1">
        <v>4.3579326607662266E-3</v>
      </c>
      <c r="K116" s="1">
        <v>6.5256100824614372E-3</v>
      </c>
      <c r="L116" s="1">
        <v>1.9305349884333273E-2</v>
      </c>
      <c r="M116" s="25">
        <v>5560.7756961151053</v>
      </c>
      <c r="N116" s="112">
        <f>$M116*I116</f>
        <v>46.820027856410434</v>
      </c>
      <c r="O116" s="20">
        <f t="shared" si="2"/>
        <v>36.287453948875246</v>
      </c>
      <c r="P116" s="20">
        <f t="shared" si="2"/>
        <v>107.35272044179902</v>
      </c>
      <c r="Q116" s="91">
        <v>13.3</v>
      </c>
      <c r="R116" s="46">
        <f t="shared" si="0"/>
        <v>622.70637049025879</v>
      </c>
      <c r="S116" s="46"/>
      <c r="T116" s="46"/>
      <c r="U116" s="16">
        <v>7</v>
      </c>
    </row>
    <row r="117" spans="1:35" x14ac:dyDescent="0.25">
      <c r="A117">
        <v>166</v>
      </c>
      <c r="B117" s="1" t="s">
        <v>133</v>
      </c>
      <c r="C117" s="1">
        <v>2011</v>
      </c>
      <c r="D117" s="42" t="s">
        <v>45</v>
      </c>
      <c r="E117" s="1">
        <v>10</v>
      </c>
      <c r="F117" s="3" t="s">
        <v>16</v>
      </c>
      <c r="G117" s="33">
        <v>1000</v>
      </c>
      <c r="H117" s="1">
        <v>0.26080438348506996</v>
      </c>
      <c r="I117" s="1">
        <v>0.25945633795618855</v>
      </c>
      <c r="J117" s="1">
        <v>1.6829511027281287E-2</v>
      </c>
      <c r="K117" s="1">
        <v>0.23537136648272941</v>
      </c>
      <c r="L117" s="1">
        <v>0.28999300445573256</v>
      </c>
      <c r="M117" s="25">
        <v>10828.706776282988</v>
      </c>
      <c r="N117" s="112">
        <f t="shared" si="1"/>
        <v>2809.5766049757481</v>
      </c>
      <c r="O117" s="20">
        <f t="shared" si="2"/>
        <v>2548.7675111745184</v>
      </c>
      <c r="P117" s="20">
        <f t="shared" si="2"/>
        <v>3140.2492124244541</v>
      </c>
      <c r="Q117" s="91">
        <v>13.3</v>
      </c>
      <c r="R117" s="46">
        <f t="shared" si="0"/>
        <v>37367.368846177451</v>
      </c>
      <c r="S117" s="46"/>
      <c r="T117" s="46"/>
      <c r="U117" s="16">
        <v>3</v>
      </c>
    </row>
    <row r="118" spans="1:35" x14ac:dyDescent="0.25">
      <c r="A118">
        <v>167</v>
      </c>
      <c r="B118" s="1" t="s">
        <v>133</v>
      </c>
      <c r="C118" s="1">
        <v>2011</v>
      </c>
      <c r="D118" s="42" t="s">
        <v>45</v>
      </c>
      <c r="E118" s="1">
        <v>11</v>
      </c>
      <c r="F118" s="3" t="s">
        <v>17</v>
      </c>
      <c r="G118" s="33">
        <v>1000</v>
      </c>
      <c r="H118" s="1">
        <v>9.5784866801201969E-3</v>
      </c>
      <c r="I118" s="1">
        <v>4.3799418097355824E-3</v>
      </c>
      <c r="J118" s="1">
        <v>1.8858770911703196E-2</v>
      </c>
      <c r="K118" s="1">
        <v>2.5344283268670864E-3</v>
      </c>
      <c r="L118" s="1">
        <v>2.1184048881675119E-2</v>
      </c>
      <c r="M118" s="25">
        <v>11753.048720473937</v>
      </c>
      <c r="N118" s="112">
        <f>$M118*I118</f>
        <v>51.477669482663089</v>
      </c>
      <c r="O118" s="20">
        <f>$M118*K118</f>
        <v>29.787259604218111</v>
      </c>
      <c r="P118" s="20">
        <f>$M118*L118</f>
        <v>248.97715860322907</v>
      </c>
      <c r="Q118" s="91">
        <v>3.6</v>
      </c>
      <c r="R118" s="46">
        <f t="shared" si="0"/>
        <v>185.31961013758712</v>
      </c>
      <c r="S118" s="16">
        <v>10</v>
      </c>
    </row>
    <row r="119" spans="1:35" x14ac:dyDescent="0.25">
      <c r="A119">
        <v>167</v>
      </c>
      <c r="B119" s="1" t="s">
        <v>133</v>
      </c>
      <c r="C119" s="1">
        <v>2011</v>
      </c>
      <c r="D119" s="42" t="s">
        <v>45</v>
      </c>
      <c r="E119" s="1">
        <v>13</v>
      </c>
      <c r="F119" s="3" t="s">
        <v>19</v>
      </c>
      <c r="G119" s="33">
        <v>1000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25">
        <v>5410.2633795388801</v>
      </c>
      <c r="N119" s="44">
        <f t="shared" ref="N119" si="3">$M119*I119</f>
        <v>0</v>
      </c>
      <c r="O119" s="20">
        <f t="shared" ref="O119:P119" si="4">$M119*K119</f>
        <v>0</v>
      </c>
      <c r="P119" s="20">
        <f t="shared" si="4"/>
        <v>0</v>
      </c>
      <c r="Q119" s="91">
        <v>0</v>
      </c>
      <c r="R119" s="46">
        <f t="shared" si="0"/>
        <v>0</v>
      </c>
      <c r="S119" s="46">
        <f t="shared" ref="S119:T119" si="5">O119*$Q119</f>
        <v>0</v>
      </c>
      <c r="T119" s="46">
        <f t="shared" si="5"/>
        <v>0</v>
      </c>
      <c r="U119" s="16">
        <v>11</v>
      </c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x14ac:dyDescent="0.25">
      <c r="A120">
        <v>169</v>
      </c>
      <c r="B120" s="1" t="s">
        <v>135</v>
      </c>
      <c r="C120" s="1">
        <v>2012</v>
      </c>
      <c r="D120" s="42" t="s">
        <v>45</v>
      </c>
      <c r="E120" s="1">
        <v>1</v>
      </c>
      <c r="F120" s="4" t="s">
        <v>7</v>
      </c>
      <c r="G120" s="33">
        <v>1000</v>
      </c>
      <c r="H120" s="108">
        <v>0.29829727025794361</v>
      </c>
      <c r="I120" s="108">
        <v>0.29712027277301412</v>
      </c>
      <c r="J120" s="108">
        <v>2.7553423326290249E-2</v>
      </c>
      <c r="K120" s="108">
        <v>0.2561085980833242</v>
      </c>
      <c r="L120" s="108">
        <v>0.34571787967260814</v>
      </c>
      <c r="M120" s="25">
        <v>20710.167560200389</v>
      </c>
      <c r="N120" s="112">
        <f t="shared" ref="N120:N149" si="6">$M120*I120</f>
        <v>6153.4106346615681</v>
      </c>
      <c r="O120" s="20">
        <f t="shared" ref="O120:P135" si="7">$M120*K120</f>
        <v>5304.05197991366</v>
      </c>
      <c r="P120" s="20">
        <f t="shared" si="7"/>
        <v>7159.8752165769101</v>
      </c>
      <c r="Q120" s="104">
        <v>11.1</v>
      </c>
      <c r="R120" s="46">
        <f t="shared" si="0"/>
        <v>68302.858044743407</v>
      </c>
      <c r="S120" s="16">
        <v>1</v>
      </c>
    </row>
    <row r="121" spans="1:35" x14ac:dyDescent="0.25">
      <c r="A121">
        <v>170</v>
      </c>
      <c r="B121" s="1" t="s">
        <v>135</v>
      </c>
      <c r="C121" s="1">
        <v>2012</v>
      </c>
      <c r="D121" s="42" t="s">
        <v>45</v>
      </c>
      <c r="E121" s="33">
        <v>2</v>
      </c>
      <c r="F121" s="43" t="s">
        <v>8</v>
      </c>
      <c r="G121" s="33">
        <v>1000</v>
      </c>
      <c r="H121" s="108">
        <v>0.27137408107119171</v>
      </c>
      <c r="I121" s="108">
        <v>0.26298535112523991</v>
      </c>
      <c r="J121" s="108">
        <v>4.5038934163079657E-2</v>
      </c>
      <c r="K121" s="108">
        <v>0.20822947954890539</v>
      </c>
      <c r="L121" s="108">
        <v>0.3553348625150633</v>
      </c>
      <c r="M121" s="25">
        <v>12937.515211791189</v>
      </c>
      <c r="N121" s="112">
        <f t="shared" si="6"/>
        <v>3402.3769806610385</v>
      </c>
      <c r="O121" s="20">
        <f t="shared" si="7"/>
        <v>2693.9720592073259</v>
      </c>
      <c r="P121" s="20">
        <f t="shared" si="7"/>
        <v>4597.1501890683621</v>
      </c>
      <c r="Q121" s="104">
        <v>8.1</v>
      </c>
      <c r="R121" s="46">
        <f t="shared" si="0"/>
        <v>27559.253543354411</v>
      </c>
      <c r="S121" s="16">
        <v>2</v>
      </c>
    </row>
    <row r="122" spans="1:35" x14ac:dyDescent="0.25">
      <c r="A122">
        <v>171</v>
      </c>
      <c r="B122" s="1" t="s">
        <v>135</v>
      </c>
      <c r="C122" s="1">
        <v>2012</v>
      </c>
      <c r="D122" s="42" t="s">
        <v>45</v>
      </c>
      <c r="E122" s="33">
        <v>3</v>
      </c>
      <c r="F122" s="43" t="s">
        <v>9</v>
      </c>
      <c r="G122" s="33">
        <v>1000</v>
      </c>
      <c r="H122" s="108">
        <v>0.29518264110779785</v>
      </c>
      <c r="I122" s="108">
        <v>0.2920933501382732</v>
      </c>
      <c r="J122" s="108">
        <v>3.5419186753435826E-2</v>
      </c>
      <c r="K122" s="108">
        <v>0.24307068468470214</v>
      </c>
      <c r="L122" s="108">
        <v>0.35950013556498839</v>
      </c>
      <c r="M122" s="25">
        <v>10953.043037802479</v>
      </c>
      <c r="N122" s="112">
        <f t="shared" si="6"/>
        <v>3199.311035120415</v>
      </c>
      <c r="O122" s="20">
        <f t="shared" si="7"/>
        <v>2662.3636705796584</v>
      </c>
      <c r="P122" s="20">
        <f t="shared" si="7"/>
        <v>3937.6204569391434</v>
      </c>
      <c r="Q122" s="104">
        <v>7.9</v>
      </c>
      <c r="R122" s="46">
        <f t="shared" si="0"/>
        <v>25274.557177451279</v>
      </c>
      <c r="S122" s="16">
        <v>3</v>
      </c>
    </row>
    <row r="123" spans="1:35" x14ac:dyDescent="0.25">
      <c r="A123">
        <v>172</v>
      </c>
      <c r="B123" s="1" t="s">
        <v>135</v>
      </c>
      <c r="C123" s="1">
        <v>2012</v>
      </c>
      <c r="D123" s="42" t="s">
        <v>45</v>
      </c>
      <c r="E123" s="33">
        <v>5</v>
      </c>
      <c r="F123" s="43" t="s">
        <v>11</v>
      </c>
      <c r="G123" s="33">
        <v>1000</v>
      </c>
      <c r="H123" s="108">
        <v>5.0474799204814645E-2</v>
      </c>
      <c r="I123" s="108">
        <v>4.9053578477982432E-2</v>
      </c>
      <c r="J123" s="108">
        <v>1.1515219161210183E-2</v>
      </c>
      <c r="K123" s="108">
        <v>3.4575804787428867E-2</v>
      </c>
      <c r="L123" s="108">
        <v>7.1724959900602001E-2</v>
      </c>
      <c r="M123" s="25">
        <v>13991.101427824766</v>
      </c>
      <c r="N123" s="112">
        <f t="shared" si="6"/>
        <v>686.31359188321426</v>
      </c>
      <c r="O123" s="20">
        <f t="shared" si="7"/>
        <v>483.75359172958639</v>
      </c>
      <c r="P123" s="20">
        <f t="shared" si="7"/>
        <v>1003.5111888759867</v>
      </c>
      <c r="Q123" s="104">
        <v>12.4</v>
      </c>
      <c r="R123" s="46">
        <f t="shared" si="0"/>
        <v>8510.2885393518573</v>
      </c>
      <c r="S123" s="16">
        <v>7</v>
      </c>
    </row>
    <row r="124" spans="1:35" x14ac:dyDescent="0.25">
      <c r="A124">
        <v>173</v>
      </c>
      <c r="B124" s="1" t="s">
        <v>135</v>
      </c>
      <c r="C124" s="1">
        <v>2012</v>
      </c>
      <c r="D124" s="42" t="s">
        <v>45</v>
      </c>
      <c r="E124" s="33">
        <v>6</v>
      </c>
      <c r="F124" s="43" t="s">
        <v>12</v>
      </c>
      <c r="G124" s="33">
        <v>1000</v>
      </c>
      <c r="H124" s="108">
        <v>0.26676005284381482</v>
      </c>
      <c r="I124" s="108">
        <v>0.26545848614676515</v>
      </c>
      <c r="J124" s="108">
        <v>2.9600767643267231E-2</v>
      </c>
      <c r="K124" s="108">
        <v>0.22212206251583086</v>
      </c>
      <c r="L124" s="108">
        <v>0.32011132363366895</v>
      </c>
      <c r="M124" s="25">
        <v>6966.102651973556</v>
      </c>
      <c r="N124" s="112">
        <f t="shared" si="6"/>
        <v>1849.2110643358662</v>
      </c>
      <c r="O124" s="20">
        <f t="shared" si="7"/>
        <v>1547.3250887533654</v>
      </c>
      <c r="P124" s="20">
        <f t="shared" si="7"/>
        <v>2229.9283404912667</v>
      </c>
      <c r="Q124" s="104">
        <v>8</v>
      </c>
      <c r="R124" s="46">
        <f t="shared" si="0"/>
        <v>14793.68851468693</v>
      </c>
      <c r="S124" s="16">
        <v>6</v>
      </c>
    </row>
    <row r="125" spans="1:35" x14ac:dyDescent="0.25">
      <c r="A125">
        <v>174</v>
      </c>
      <c r="B125" s="1" t="s">
        <v>135</v>
      </c>
      <c r="C125" s="1">
        <v>2012</v>
      </c>
      <c r="D125" s="42" t="s">
        <v>45</v>
      </c>
      <c r="E125" s="33">
        <v>7</v>
      </c>
      <c r="F125" s="43" t="s">
        <v>13</v>
      </c>
      <c r="G125" s="33">
        <v>1000</v>
      </c>
      <c r="H125" s="108">
        <v>3.2256611805788491E-3</v>
      </c>
      <c r="I125" s="108">
        <v>2.9802079957806146E-3</v>
      </c>
      <c r="J125" s="108">
        <v>1.2533929210277292E-3</v>
      </c>
      <c r="K125" s="108">
        <v>1.6173650530181328E-3</v>
      </c>
      <c r="L125" s="108">
        <v>5.6619430710205818E-3</v>
      </c>
      <c r="M125" s="25">
        <v>2532.5333267390947</v>
      </c>
      <c r="N125" s="112">
        <f t="shared" si="6"/>
        <v>7.54747606992873</v>
      </c>
      <c r="O125" s="20">
        <f t="shared" si="7"/>
        <v>4.0960308982715645</v>
      </c>
      <c r="P125" s="20">
        <f t="shared" si="7"/>
        <v>14.33905952145912</v>
      </c>
      <c r="Q125" s="104">
        <v>8</v>
      </c>
      <c r="R125" s="46">
        <f t="shared" si="0"/>
        <v>60.37980855942984</v>
      </c>
      <c r="S125" s="16">
        <v>12</v>
      </c>
    </row>
    <row r="126" spans="1:35" x14ac:dyDescent="0.25">
      <c r="A126">
        <v>175</v>
      </c>
      <c r="B126" s="1" t="s">
        <v>135</v>
      </c>
      <c r="C126" s="1">
        <v>2012</v>
      </c>
      <c r="D126" s="42" t="s">
        <v>45</v>
      </c>
      <c r="E126" s="33">
        <v>8</v>
      </c>
      <c r="F126" s="43" t="s">
        <v>14</v>
      </c>
      <c r="G126" s="33">
        <v>1000</v>
      </c>
      <c r="H126" s="108">
        <v>0.3688267690878706</v>
      </c>
      <c r="I126" s="108">
        <v>0.20431453398903995</v>
      </c>
      <c r="J126" s="108">
        <v>0.54291243523611976</v>
      </c>
      <c r="K126" s="108">
        <v>0.13831975519148609</v>
      </c>
      <c r="L126" s="108">
        <v>1.8979887319425943</v>
      </c>
      <c r="M126" s="25">
        <v>13775.148973606703</v>
      </c>
      <c r="N126" s="112">
        <f t="shared" si="6"/>
        <v>2814.4631431720554</v>
      </c>
      <c r="O126" s="20">
        <f t="shared" si="7"/>
        <v>1905.3752337555302</v>
      </c>
      <c r="P126" s="20">
        <f t="shared" si="7"/>
        <v>26145.077532736115</v>
      </c>
      <c r="Q126" s="104">
        <v>7.6</v>
      </c>
      <c r="R126" s="46">
        <f t="shared" si="0"/>
        <v>21389.919888107619</v>
      </c>
      <c r="S126" s="16">
        <v>5</v>
      </c>
    </row>
    <row r="127" spans="1:35" x14ac:dyDescent="0.25">
      <c r="A127">
        <v>176</v>
      </c>
      <c r="B127" s="1" t="s">
        <v>135</v>
      </c>
      <c r="C127" s="1">
        <v>2012</v>
      </c>
      <c r="D127" s="42" t="s">
        <v>45</v>
      </c>
      <c r="E127" s="33">
        <v>9</v>
      </c>
      <c r="F127" s="43" t="s">
        <v>15</v>
      </c>
      <c r="G127" s="33">
        <v>1000</v>
      </c>
      <c r="H127" s="108">
        <v>4.957390784042949E-2</v>
      </c>
      <c r="I127" s="108">
        <v>4.4670724764016789E-2</v>
      </c>
      <c r="J127" s="108">
        <v>1.9782953372887498E-2</v>
      </c>
      <c r="K127" s="108">
        <v>2.531549100485276E-2</v>
      </c>
      <c r="L127" s="108">
        <v>8.9136130159139348E-2</v>
      </c>
      <c r="M127" s="25">
        <v>5560.7756961151099</v>
      </c>
      <c r="N127" s="112">
        <f t="shared" si="6"/>
        <v>248.40388059559194</v>
      </c>
      <c r="O127" s="20">
        <f t="shared" si="7"/>
        <v>140.77376711500591</v>
      </c>
      <c r="P127" s="20">
        <f t="shared" si="7"/>
        <v>495.66602623469515</v>
      </c>
      <c r="Q127" s="104">
        <v>11.4</v>
      </c>
      <c r="R127" s="46">
        <f t="shared" si="0"/>
        <v>2831.8042387897481</v>
      </c>
      <c r="S127" s="16">
        <v>9</v>
      </c>
    </row>
    <row r="128" spans="1:35" x14ac:dyDescent="0.25">
      <c r="A128">
        <v>177</v>
      </c>
      <c r="B128" s="1" t="s">
        <v>135</v>
      </c>
      <c r="C128" s="1">
        <v>2012</v>
      </c>
      <c r="D128" s="42" t="s">
        <v>45</v>
      </c>
      <c r="E128" s="33">
        <v>10</v>
      </c>
      <c r="F128" s="43" t="s">
        <v>16</v>
      </c>
      <c r="G128" s="33">
        <v>1000</v>
      </c>
      <c r="H128" s="108">
        <v>5.5158973080740893E-2</v>
      </c>
      <c r="I128" s="108">
        <v>5.2150739820215092E-2</v>
      </c>
      <c r="J128" s="108">
        <v>1.4826104282202619E-2</v>
      </c>
      <c r="K128" s="108">
        <v>4.2476066129311402E-2</v>
      </c>
      <c r="L128" s="108">
        <v>7.7009222300203517E-2</v>
      </c>
      <c r="M128" s="25">
        <v>10828.706776282988</v>
      </c>
      <c r="N128" s="112">
        <f t="shared" si="6"/>
        <v>564.72506967933418</v>
      </c>
      <c r="O128" s="20">
        <f t="shared" si="7"/>
        <v>459.96086512431867</v>
      </c>
      <c r="P128" s="20">
        <f t="shared" si="7"/>
        <v>833.91028735849682</v>
      </c>
      <c r="Q128" s="104">
        <v>10.199999999999999</v>
      </c>
      <c r="R128" s="46">
        <f t="shared" si="0"/>
        <v>5760.1957107292083</v>
      </c>
      <c r="S128" s="16">
        <v>8</v>
      </c>
    </row>
    <row r="129" spans="1:34" x14ac:dyDescent="0.25">
      <c r="A129">
        <v>178</v>
      </c>
      <c r="B129" s="1" t="s">
        <v>135</v>
      </c>
      <c r="C129" s="1">
        <v>2012</v>
      </c>
      <c r="D129" s="42" t="s">
        <v>45</v>
      </c>
      <c r="E129" s="48">
        <v>11</v>
      </c>
      <c r="F129" s="43" t="s">
        <v>17</v>
      </c>
      <c r="G129" s="33">
        <v>1000</v>
      </c>
      <c r="H129" s="108">
        <v>4.8597757789620834E-3</v>
      </c>
      <c r="I129" s="108">
        <v>4.6472779899609414E-3</v>
      </c>
      <c r="J129" s="108">
        <v>1.1016274933230629E-3</v>
      </c>
      <c r="K129" s="108">
        <v>3.4861360452019124E-3</v>
      </c>
      <c r="L129" s="108">
        <v>7.1976516179492536E-3</v>
      </c>
      <c r="M129" s="25">
        <v>11753.048720473937</v>
      </c>
      <c r="N129" s="112">
        <f>$M129*I129</f>
        <v>54.619684633597132</v>
      </c>
      <c r="O129" s="20">
        <f t="shared" si="7"/>
        <v>40.972726785458406</v>
      </c>
      <c r="P129" s="20">
        <f t="shared" si="7"/>
        <v>84.59435013875563</v>
      </c>
      <c r="Q129" s="104">
        <v>7.1</v>
      </c>
      <c r="R129" s="46">
        <f t="shared" si="0"/>
        <v>387.7997608985396</v>
      </c>
      <c r="S129" s="16">
        <v>11</v>
      </c>
    </row>
    <row r="130" spans="1:34" x14ac:dyDescent="0.25">
      <c r="A130">
        <v>180</v>
      </c>
      <c r="B130" s="1" t="s">
        <v>135</v>
      </c>
      <c r="C130" s="1">
        <v>2012</v>
      </c>
      <c r="D130" s="42" t="s">
        <v>45</v>
      </c>
      <c r="E130" s="33">
        <v>13</v>
      </c>
      <c r="F130" s="43" t="s">
        <v>19</v>
      </c>
      <c r="G130" s="33">
        <v>1000</v>
      </c>
      <c r="H130" s="108">
        <v>8.6587391672276037E-3</v>
      </c>
      <c r="I130" s="108">
        <v>8.187945507878493E-3</v>
      </c>
      <c r="J130" s="108">
        <v>3.4019781099586307E-3</v>
      </c>
      <c r="K130" s="108">
        <v>4.0547157861445075E-3</v>
      </c>
      <c r="L130" s="108">
        <v>1.4711860085534189E-2</v>
      </c>
      <c r="M130" s="25">
        <v>5410.2633795388801</v>
      </c>
      <c r="N130" s="112">
        <f t="shared" si="6"/>
        <v>44.298941734934886</v>
      </c>
      <c r="O130" s="20">
        <f t="shared" si="7"/>
        <v>21.937080332215832</v>
      </c>
      <c r="P130" s="20">
        <f t="shared" si="7"/>
        <v>79.595037865665361</v>
      </c>
      <c r="Q130" s="104">
        <v>8.8000000000000007</v>
      </c>
      <c r="R130" s="46">
        <f t="shared" si="0"/>
        <v>389.83068726742704</v>
      </c>
      <c r="S130" s="16">
        <v>10</v>
      </c>
    </row>
    <row r="131" spans="1:34" x14ac:dyDescent="0.25">
      <c r="A131">
        <v>181</v>
      </c>
      <c r="B131" s="108" t="s">
        <v>147</v>
      </c>
      <c r="C131" s="108">
        <v>2013</v>
      </c>
      <c r="D131" s="42" t="s">
        <v>45</v>
      </c>
      <c r="E131" s="108">
        <v>1</v>
      </c>
      <c r="F131" s="4" t="s">
        <v>7</v>
      </c>
      <c r="G131" s="108">
        <v>1000</v>
      </c>
      <c r="H131" s="108">
        <v>0.74438225808471659</v>
      </c>
      <c r="I131" s="108">
        <v>0.71318600797699827</v>
      </c>
      <c r="J131" s="108">
        <v>0.18881954241731538</v>
      </c>
      <c r="K131" s="108">
        <v>0.49668355928512531</v>
      </c>
      <c r="L131" s="108">
        <v>1.0873766874663238</v>
      </c>
      <c r="M131" s="25">
        <v>20710.167560200389</v>
      </c>
      <c r="N131" s="112">
        <f t="shared" si="6"/>
        <v>14770.201726794045</v>
      </c>
      <c r="O131" s="20">
        <f t="shared" si="7"/>
        <v>10286.399737191668</v>
      </c>
      <c r="P131" s="20">
        <f t="shared" si="7"/>
        <v>22519.753398483215</v>
      </c>
      <c r="Q131" s="104">
        <v>15.8</v>
      </c>
      <c r="R131" s="46">
        <f t="shared" si="0"/>
        <v>233369.18728334591</v>
      </c>
      <c r="S131" s="46">
        <f t="shared" ref="S131:T151" si="8">O131*$Q131</f>
        <v>162525.11584762836</v>
      </c>
      <c r="T131" s="46">
        <f t="shared" si="8"/>
        <v>355812.10369603481</v>
      </c>
      <c r="U131" s="16">
        <v>1</v>
      </c>
      <c r="V131" s="16"/>
      <c r="W131">
        <v>0.54</v>
      </c>
      <c r="X131" s="103">
        <f>W131*R131</f>
        <v>126019.36113300679</v>
      </c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x14ac:dyDescent="0.25">
      <c r="A132">
        <v>182</v>
      </c>
      <c r="B132" s="108" t="s">
        <v>147</v>
      </c>
      <c r="C132" s="108">
        <v>2013</v>
      </c>
      <c r="D132" s="42" t="s">
        <v>45</v>
      </c>
      <c r="E132" s="108">
        <v>2</v>
      </c>
      <c r="F132" s="43" t="s">
        <v>8</v>
      </c>
      <c r="G132" s="108">
        <v>1000</v>
      </c>
      <c r="H132" s="108">
        <v>1.1646877215854456</v>
      </c>
      <c r="I132" s="108">
        <v>1.1137870947994879</v>
      </c>
      <c r="J132" s="108">
        <v>0.41688843151575666</v>
      </c>
      <c r="K132" s="108">
        <v>0.55585417056269548</v>
      </c>
      <c r="L132" s="108">
        <v>1.9219799340860297</v>
      </c>
      <c r="M132" s="25">
        <v>12937.515211791189</v>
      </c>
      <c r="N132" s="112">
        <f t="shared" si="6"/>
        <v>14409.63748166509</v>
      </c>
      <c r="O132" s="20">
        <f t="shared" si="7"/>
        <v>7191.3717871924473</v>
      </c>
      <c r="P132" s="20">
        <f t="shared" si="7"/>
        <v>24865.644633995438</v>
      </c>
      <c r="Q132" s="104">
        <v>11</v>
      </c>
      <c r="R132" s="46">
        <f t="shared" si="0"/>
        <v>158506.012298316</v>
      </c>
      <c r="S132" s="46">
        <f t="shared" si="8"/>
        <v>79105.089659116915</v>
      </c>
      <c r="T132" s="46">
        <f t="shared" si="8"/>
        <v>273522.09097394982</v>
      </c>
      <c r="U132" s="16">
        <v>2</v>
      </c>
      <c r="V132" s="16"/>
      <c r="W132">
        <v>0.40476190476190477</v>
      </c>
      <c r="X132" s="103">
        <f t="shared" ref="X132:X152" si="9">W132*R132</f>
        <v>64157.195454080284</v>
      </c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x14ac:dyDescent="0.25">
      <c r="A133">
        <v>183</v>
      </c>
      <c r="B133" s="108" t="s">
        <v>147</v>
      </c>
      <c r="C133" s="108">
        <v>2013</v>
      </c>
      <c r="D133" s="42" t="s">
        <v>45</v>
      </c>
      <c r="E133" s="108">
        <v>3</v>
      </c>
      <c r="F133" s="43" t="s">
        <v>9</v>
      </c>
      <c r="G133" s="108">
        <v>1000</v>
      </c>
      <c r="H133" s="108">
        <v>0.68879387961199923</v>
      </c>
      <c r="I133" s="108">
        <v>0.66197383510455521</v>
      </c>
      <c r="J133" s="108">
        <v>0.14206902924906459</v>
      </c>
      <c r="K133" s="108">
        <v>0.52126757861147976</v>
      </c>
      <c r="L133" s="108">
        <v>0.95640895117339597</v>
      </c>
      <c r="M133" s="25">
        <v>10953.043037802479</v>
      </c>
      <c r="N133" s="112">
        <f t="shared" si="6"/>
        <v>7250.6279057993552</v>
      </c>
      <c r="O133" s="20">
        <f t="shared" si="7"/>
        <v>5709.4662227426252</v>
      </c>
      <c r="P133" s="20">
        <f t="shared" si="7"/>
        <v>10475.588403941736</v>
      </c>
      <c r="Q133" s="104">
        <v>14.5</v>
      </c>
      <c r="R133" s="46">
        <f t="shared" si="0"/>
        <v>105134.10463409065</v>
      </c>
      <c r="S133" s="46">
        <f t="shared" si="8"/>
        <v>82787.260229768071</v>
      </c>
      <c r="T133" s="46">
        <f t="shared" si="8"/>
        <v>151896.03185715518</v>
      </c>
      <c r="U133" s="16">
        <v>3</v>
      </c>
      <c r="V133" s="16"/>
      <c r="W133">
        <v>0.59333333333333338</v>
      </c>
      <c r="X133" s="103">
        <f t="shared" si="9"/>
        <v>62379.568749560458</v>
      </c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x14ac:dyDescent="0.25">
      <c r="A134">
        <v>184</v>
      </c>
      <c r="B134" s="108" t="s">
        <v>147</v>
      </c>
      <c r="C134" s="108">
        <v>2013</v>
      </c>
      <c r="D134" s="42" t="s">
        <v>45</v>
      </c>
      <c r="E134" s="108">
        <v>5</v>
      </c>
      <c r="F134" s="43" t="s">
        <v>11</v>
      </c>
      <c r="G134" s="108">
        <v>1000</v>
      </c>
      <c r="H134" s="108">
        <v>0.40781866896453212</v>
      </c>
      <c r="I134" s="108">
        <v>0.3955107878709061</v>
      </c>
      <c r="J134" s="108">
        <v>6.3345572943373896E-2</v>
      </c>
      <c r="K134" s="108">
        <v>0.32976214972560919</v>
      </c>
      <c r="L134" s="108">
        <v>0.53107250192886157</v>
      </c>
      <c r="M134" s="25">
        <v>13991.101427824766</v>
      </c>
      <c r="N134" s="112">
        <f t="shared" si="6"/>
        <v>5533.631548900732</v>
      </c>
      <c r="O134" s="20">
        <f t="shared" si="7"/>
        <v>4613.7356838685346</v>
      </c>
      <c r="P134" s="20">
        <f t="shared" si="7"/>
        <v>7430.289240015366</v>
      </c>
      <c r="Q134" s="104">
        <v>18.100000000000001</v>
      </c>
      <c r="R134" s="46">
        <f t="shared" si="0"/>
        <v>100158.73103510325</v>
      </c>
      <c r="S134" s="46">
        <f t="shared" si="8"/>
        <v>83508.615878020486</v>
      </c>
      <c r="T134" s="46">
        <f t="shared" si="8"/>
        <v>134488.23524427813</v>
      </c>
      <c r="U134" s="16">
        <v>4</v>
      </c>
      <c r="V134" s="16"/>
      <c r="W134">
        <v>0.82028985507246377</v>
      </c>
      <c r="X134" s="103">
        <f t="shared" si="9"/>
        <v>82159.190965026719</v>
      </c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x14ac:dyDescent="0.25">
      <c r="A135">
        <v>185</v>
      </c>
      <c r="B135" s="108" t="s">
        <v>147</v>
      </c>
      <c r="C135" s="108">
        <v>2013</v>
      </c>
      <c r="D135" s="42" t="s">
        <v>45</v>
      </c>
      <c r="E135" s="108">
        <v>6</v>
      </c>
      <c r="F135" s="43" t="s">
        <v>12</v>
      </c>
      <c r="G135" s="108">
        <v>1000</v>
      </c>
      <c r="H135" s="108">
        <v>0.13174350976674512</v>
      </c>
      <c r="I135" s="108">
        <v>0.12959648640359156</v>
      </c>
      <c r="J135" s="108">
        <v>1.790372223662156E-2</v>
      </c>
      <c r="K135" s="108">
        <v>0.10542304274490752</v>
      </c>
      <c r="L135" s="108">
        <v>0.16306938570440854</v>
      </c>
      <c r="M135" s="25">
        <v>6966.102651973556</v>
      </c>
      <c r="N135" s="112">
        <f t="shared" si="6"/>
        <v>902.78242762251409</v>
      </c>
      <c r="O135" s="20">
        <f t="shared" si="7"/>
        <v>734.3877376444218</v>
      </c>
      <c r="P135" s="20">
        <f t="shared" si="7"/>
        <v>1135.9580802111791</v>
      </c>
      <c r="Q135" s="104">
        <v>16</v>
      </c>
      <c r="R135" s="46">
        <f t="shared" si="0"/>
        <v>14444.518841960225</v>
      </c>
      <c r="S135" s="46">
        <f t="shared" si="8"/>
        <v>11750.203802310749</v>
      </c>
      <c r="T135" s="46">
        <f t="shared" si="8"/>
        <v>18175.329283378866</v>
      </c>
      <c r="U135" s="16">
        <v>10</v>
      </c>
      <c r="V135" s="16"/>
      <c r="W135">
        <v>0.87619047619047619</v>
      </c>
      <c r="X135" s="103">
        <f t="shared" si="9"/>
        <v>12656.149842479435</v>
      </c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x14ac:dyDescent="0.25">
      <c r="A136">
        <v>186</v>
      </c>
      <c r="B136" s="108" t="s">
        <v>147</v>
      </c>
      <c r="C136" s="108">
        <v>2013</v>
      </c>
      <c r="D136" s="42" t="s">
        <v>45</v>
      </c>
      <c r="E136" s="108">
        <v>7</v>
      </c>
      <c r="F136" s="43" t="s">
        <v>13</v>
      </c>
      <c r="G136" s="108">
        <v>1000</v>
      </c>
      <c r="H136" s="108">
        <v>0.14256605631521102</v>
      </c>
      <c r="I136" s="108">
        <v>0.13899250752361222</v>
      </c>
      <c r="J136" s="108">
        <v>2.0968987108763621E-2</v>
      </c>
      <c r="K136" s="108">
        <v>0.116057613784706</v>
      </c>
      <c r="L136" s="108">
        <v>0.18459393405663457</v>
      </c>
      <c r="M136" s="25">
        <v>2532.5333267390947</v>
      </c>
      <c r="N136" s="112">
        <f t="shared" si="6"/>
        <v>352.00315747058232</v>
      </c>
      <c r="O136" s="20">
        <f t="shared" ref="O136:P150" si="10">$M136*K136</f>
        <v>293.91977473158249</v>
      </c>
      <c r="P136" s="20">
        <f t="shared" si="10"/>
        <v>467.49028991230585</v>
      </c>
      <c r="Q136" s="104">
        <v>9.3000000000000007</v>
      </c>
      <c r="R136" s="46">
        <f t="shared" si="0"/>
        <v>3273.629364476416</v>
      </c>
      <c r="S136" s="46">
        <f t="shared" si="8"/>
        <v>2733.4539050037174</v>
      </c>
      <c r="T136" s="46">
        <f t="shared" si="8"/>
        <v>4347.6596961844443</v>
      </c>
      <c r="U136" s="16">
        <v>12</v>
      </c>
      <c r="V136" s="16"/>
      <c r="W136">
        <v>0.14000000000000001</v>
      </c>
      <c r="X136" s="103">
        <f t="shared" si="9"/>
        <v>458.30811102669827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x14ac:dyDescent="0.25">
      <c r="A137">
        <v>187</v>
      </c>
      <c r="B137" s="108" t="s">
        <v>147</v>
      </c>
      <c r="C137" s="108">
        <v>2013</v>
      </c>
      <c r="D137" s="42" t="s">
        <v>45</v>
      </c>
      <c r="E137" s="108">
        <v>8</v>
      </c>
      <c r="F137" s="43" t="s">
        <v>14</v>
      </c>
      <c r="G137" s="108">
        <v>1000</v>
      </c>
      <c r="H137" s="108">
        <v>0.12727179403655187</v>
      </c>
      <c r="I137" s="108">
        <v>0.11789601161112732</v>
      </c>
      <c r="J137" s="108">
        <v>3.1247653509828641E-2</v>
      </c>
      <c r="K137" s="108">
        <v>9.8553190936620225E-2</v>
      </c>
      <c r="L137" s="108">
        <v>0.20586110877476341</v>
      </c>
      <c r="M137" s="25">
        <v>13775.148973606703</v>
      </c>
      <c r="N137" s="112">
        <f t="shared" si="6"/>
        <v>1624.0351233373444</v>
      </c>
      <c r="O137" s="20">
        <f t="shared" si="10"/>
        <v>1357.5848869762494</v>
      </c>
      <c r="P137" s="20">
        <f t="shared" si="10"/>
        <v>2835.7674412442202</v>
      </c>
      <c r="Q137" s="104">
        <v>13.4</v>
      </c>
      <c r="R137" s="46">
        <f t="shared" si="0"/>
        <v>21762.070652720417</v>
      </c>
      <c r="S137" s="46">
        <f t="shared" si="8"/>
        <v>18191.637485481744</v>
      </c>
      <c r="T137" s="46">
        <f t="shared" si="8"/>
        <v>37999.28371267255</v>
      </c>
      <c r="U137" s="16">
        <v>7</v>
      </c>
      <c r="V137" s="16"/>
      <c r="W137">
        <v>0.6216216216216216</v>
      </c>
      <c r="X137" s="103">
        <f t="shared" si="9"/>
        <v>13527.773648988366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x14ac:dyDescent="0.25">
      <c r="A138">
        <v>188</v>
      </c>
      <c r="B138" s="108" t="s">
        <v>147</v>
      </c>
      <c r="C138" s="108">
        <v>2013</v>
      </c>
      <c r="D138" s="42" t="s">
        <v>45</v>
      </c>
      <c r="E138" s="108">
        <v>9</v>
      </c>
      <c r="F138" s="43" t="s">
        <v>15</v>
      </c>
      <c r="G138" s="108">
        <v>1000</v>
      </c>
      <c r="H138" s="108">
        <v>0.14097874457308004</v>
      </c>
      <c r="I138" s="108">
        <v>0.13881534603990561</v>
      </c>
      <c r="J138" s="108">
        <v>2.2104254787546435E-2</v>
      </c>
      <c r="K138" s="108">
        <v>0.10914659456064907</v>
      </c>
      <c r="L138" s="108">
        <v>0.18183374021585483</v>
      </c>
      <c r="M138" s="25">
        <v>5560.7756961151099</v>
      </c>
      <c r="N138" s="112">
        <f t="shared" si="6"/>
        <v>771.92100250651595</v>
      </c>
      <c r="O138" s="20">
        <f t="shared" si="10"/>
        <v>606.939730346587</v>
      </c>
      <c r="P138" s="20">
        <f t="shared" si="10"/>
        <v>1011.1366433260342</v>
      </c>
      <c r="Q138" s="104">
        <v>18.399999999999999</v>
      </c>
      <c r="R138" s="46">
        <f t="shared" si="0"/>
        <v>14203.346446119893</v>
      </c>
      <c r="S138" s="46">
        <f t="shared" si="8"/>
        <v>11167.691038377199</v>
      </c>
      <c r="T138" s="46">
        <f t="shared" si="8"/>
        <v>18604.914237199027</v>
      </c>
      <c r="U138" s="16">
        <v>11</v>
      </c>
      <c r="V138" s="16"/>
      <c r="W138">
        <v>0.94493392070484583</v>
      </c>
      <c r="X138" s="103">
        <f t="shared" si="9"/>
        <v>13421.223844461309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x14ac:dyDescent="0.25">
      <c r="A139">
        <v>189</v>
      </c>
      <c r="B139" s="108" t="s">
        <v>147</v>
      </c>
      <c r="C139" s="108">
        <v>2013</v>
      </c>
      <c r="D139" s="42" t="s">
        <v>45</v>
      </c>
      <c r="E139" s="108">
        <v>10</v>
      </c>
      <c r="F139" s="43" t="s">
        <v>16</v>
      </c>
      <c r="G139" s="108">
        <v>1000</v>
      </c>
      <c r="H139" s="108">
        <v>0.35549061561555084</v>
      </c>
      <c r="I139" s="108">
        <v>0.34624442849739767</v>
      </c>
      <c r="J139" s="108">
        <v>7.0895258137904399E-2</v>
      </c>
      <c r="K139" s="108">
        <v>0.24999729235482349</v>
      </c>
      <c r="L139" s="108">
        <v>0.48329606127933822</v>
      </c>
      <c r="M139" s="25">
        <v>10828.706776282988</v>
      </c>
      <c r="N139" s="112">
        <f t="shared" si="6"/>
        <v>3749.3793891200007</v>
      </c>
      <c r="O139" s="20">
        <f t="shared" si="10"/>
        <v>2707.1473737750762</v>
      </c>
      <c r="P139" s="20">
        <f t="shared" si="10"/>
        <v>5233.4713337264484</v>
      </c>
      <c r="Q139" s="104">
        <v>12.5</v>
      </c>
      <c r="R139" s="46">
        <f t="shared" si="0"/>
        <v>46867.242364000012</v>
      </c>
      <c r="S139" s="46">
        <f t="shared" si="8"/>
        <v>33839.342172188452</v>
      </c>
      <c r="T139" s="46">
        <f t="shared" si="8"/>
        <v>65418.391671580604</v>
      </c>
      <c r="U139" s="16">
        <v>5</v>
      </c>
      <c r="V139" s="16"/>
      <c r="W139">
        <v>0.40749999999999997</v>
      </c>
      <c r="X139" s="103">
        <f t="shared" si="9"/>
        <v>19098.401263330004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x14ac:dyDescent="0.25">
      <c r="A140">
        <v>190</v>
      </c>
      <c r="B140" s="108" t="s">
        <v>147</v>
      </c>
      <c r="C140" s="108">
        <v>2013</v>
      </c>
      <c r="D140" s="42" t="s">
        <v>45</v>
      </c>
      <c r="E140" s="108">
        <v>11</v>
      </c>
      <c r="F140" s="43" t="s">
        <v>17</v>
      </c>
      <c r="G140" s="108">
        <v>1000</v>
      </c>
      <c r="H140" s="108">
        <v>0.24320544033145894</v>
      </c>
      <c r="I140" s="108">
        <v>0.17132010065743608</v>
      </c>
      <c r="J140" s="108">
        <v>0.23116863490793799</v>
      </c>
      <c r="K140" s="108">
        <v>3.1176943891566854E-2</v>
      </c>
      <c r="L140" s="108">
        <v>0.74932974054513601</v>
      </c>
      <c r="M140" s="25">
        <v>11753.048720473937</v>
      </c>
      <c r="N140" s="112">
        <f t="shared" si="6"/>
        <v>2013.5334898233452</v>
      </c>
      <c r="O140" s="20">
        <f t="shared" si="10"/>
        <v>366.42414051306753</v>
      </c>
      <c r="P140" s="20">
        <f t="shared" si="10"/>
        <v>8806.9089483270782</v>
      </c>
      <c r="Q140" s="104">
        <v>10.4</v>
      </c>
      <c r="R140" s="46">
        <f t="shared" si="0"/>
        <v>20940.74829416279</v>
      </c>
      <c r="S140" s="46">
        <f t="shared" si="8"/>
        <v>3810.8110613359022</v>
      </c>
      <c r="T140" s="46">
        <f t="shared" si="8"/>
        <v>91591.853062601615</v>
      </c>
      <c r="U140" s="16">
        <v>8</v>
      </c>
      <c r="V140" s="16"/>
      <c r="W140">
        <v>0.51666666666666672</v>
      </c>
      <c r="X140" s="103">
        <f t="shared" si="9"/>
        <v>10819.386618650775</v>
      </c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x14ac:dyDescent="0.25">
      <c r="A141">
        <v>192</v>
      </c>
      <c r="B141" s="108" t="s">
        <v>147</v>
      </c>
      <c r="C141" s="108">
        <v>2013</v>
      </c>
      <c r="D141" s="42" t="s">
        <v>45</v>
      </c>
      <c r="E141" s="108">
        <v>13</v>
      </c>
      <c r="F141" s="43" t="s">
        <v>19</v>
      </c>
      <c r="G141" s="108">
        <v>1000</v>
      </c>
      <c r="H141" s="108">
        <v>0.25220789038115082</v>
      </c>
      <c r="I141" s="108">
        <v>0.24091649043297519</v>
      </c>
      <c r="J141" s="108">
        <v>5.3555942922243846E-2</v>
      </c>
      <c r="K141" s="108">
        <v>0.1841507573525267</v>
      </c>
      <c r="L141" s="108">
        <v>0.35517284929904797</v>
      </c>
      <c r="M141" s="25">
        <v>5410.2633795388801</v>
      </c>
      <c r="N141" s="112">
        <f t="shared" si="6"/>
        <v>1303.4216657165546</v>
      </c>
      <c r="O141" s="20">
        <f t="shared" si="10"/>
        <v>996.30409881872538</v>
      </c>
      <c r="P141" s="20">
        <f t="shared" si="10"/>
        <v>1921.5786599691207</v>
      </c>
      <c r="Q141" s="104">
        <v>19.2</v>
      </c>
      <c r="R141" s="46">
        <f t="shared" si="0"/>
        <v>25025.695981757846</v>
      </c>
      <c r="S141" s="46">
        <f t="shared" si="8"/>
        <v>19129.038697319527</v>
      </c>
      <c r="T141" s="46">
        <f t="shared" si="8"/>
        <v>36894.310271407114</v>
      </c>
      <c r="U141" s="16">
        <v>6</v>
      </c>
      <c r="V141" s="16"/>
      <c r="W141">
        <v>0.8970588235294118</v>
      </c>
      <c r="X141" s="103">
        <f t="shared" si="9"/>
        <v>22449.521395400421</v>
      </c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x14ac:dyDescent="0.25">
      <c r="A142">
        <v>193</v>
      </c>
      <c r="B142" s="120" t="s">
        <v>148</v>
      </c>
      <c r="C142" s="121">
        <v>2014</v>
      </c>
      <c r="D142" s="122" t="s">
        <v>45</v>
      </c>
      <c r="E142" s="121">
        <v>1</v>
      </c>
      <c r="F142" s="123" t="s">
        <v>7</v>
      </c>
      <c r="G142" s="121">
        <v>1000</v>
      </c>
      <c r="H142" s="119">
        <v>1.8267757859750564</v>
      </c>
      <c r="I142" s="119">
        <v>1.7661714726365392</v>
      </c>
      <c r="J142" s="119">
        <v>0.30404555251285359</v>
      </c>
      <c r="K142" s="119">
        <v>1.4305647609878773</v>
      </c>
      <c r="L142" s="119">
        <v>2.4477900827042935</v>
      </c>
      <c r="M142" s="124">
        <v>20710.167560200389</v>
      </c>
      <c r="N142" s="125">
        <f t="shared" si="6"/>
        <v>36577.707138348604</v>
      </c>
      <c r="O142" s="126">
        <f t="shared" si="10"/>
        <v>29627.235905776961</v>
      </c>
      <c r="P142" s="126">
        <f t="shared" si="10"/>
        <v>50694.142765002689</v>
      </c>
      <c r="Q142" s="119">
        <v>7.5</v>
      </c>
      <c r="R142" s="127">
        <f t="shared" si="0"/>
        <v>274332.80353761453</v>
      </c>
      <c r="S142" s="127">
        <f t="shared" si="8"/>
        <v>222204.2692933272</v>
      </c>
      <c r="T142" s="127">
        <f t="shared" si="8"/>
        <v>380206.07073752017</v>
      </c>
      <c r="U142" s="119">
        <v>1</v>
      </c>
      <c r="V142" s="119" t="s">
        <v>7</v>
      </c>
      <c r="W142" s="119">
        <v>0.34</v>
      </c>
      <c r="X142" s="103">
        <f t="shared" si="9"/>
        <v>93273.153202788948</v>
      </c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x14ac:dyDescent="0.25">
      <c r="A143">
        <v>194</v>
      </c>
      <c r="B143" s="120" t="s">
        <v>148</v>
      </c>
      <c r="C143" s="121">
        <v>2014</v>
      </c>
      <c r="D143" s="122" t="s">
        <v>45</v>
      </c>
      <c r="E143" s="121">
        <v>2</v>
      </c>
      <c r="F143" s="128" t="s">
        <v>8</v>
      </c>
      <c r="G143" s="121">
        <v>1000</v>
      </c>
      <c r="H143">
        <v>1.5632358413938527</v>
      </c>
      <c r="I143">
        <v>1.5398496500630308</v>
      </c>
      <c r="J143">
        <v>0.20879858068206875</v>
      </c>
      <c r="K143">
        <v>1.2494808938896984</v>
      </c>
      <c r="L143">
        <v>1.950061733550839</v>
      </c>
      <c r="M143" s="124">
        <v>12937.515211791189</v>
      </c>
      <c r="N143" s="125">
        <f t="shared" si="6"/>
        <v>19921.828271561801</v>
      </c>
      <c r="O143" s="126">
        <f t="shared" si="10"/>
        <v>16165.178071540426</v>
      </c>
      <c r="P143" s="126">
        <f t="shared" si="10"/>
        <v>25228.953341745877</v>
      </c>
      <c r="Q143" s="119">
        <v>4.9000000000000004</v>
      </c>
      <c r="R143" s="127">
        <f t="shared" si="0"/>
        <v>97616.958530652832</v>
      </c>
      <c r="S143" s="127">
        <f t="shared" si="8"/>
        <v>79209.372550548098</v>
      </c>
      <c r="T143" s="127">
        <f t="shared" si="8"/>
        <v>123621.8713745548</v>
      </c>
      <c r="U143" s="119">
        <v>4</v>
      </c>
      <c r="V143" s="119" t="s">
        <v>8</v>
      </c>
      <c r="W143" s="119">
        <v>5.4716981132075473E-2</v>
      </c>
      <c r="X143" s="103">
        <f t="shared" si="9"/>
        <v>5341.3052780923254</v>
      </c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x14ac:dyDescent="0.25">
      <c r="A144">
        <v>195</v>
      </c>
      <c r="B144" s="120" t="s">
        <v>148</v>
      </c>
      <c r="C144" s="121">
        <v>2014</v>
      </c>
      <c r="D144" s="122" t="s">
        <v>45</v>
      </c>
      <c r="E144" s="121">
        <v>3</v>
      </c>
      <c r="F144" s="128" t="s">
        <v>9</v>
      </c>
      <c r="G144" s="121">
        <v>1000</v>
      </c>
      <c r="H144">
        <v>2.9540531348286798</v>
      </c>
      <c r="I144">
        <v>2.9442674070996997</v>
      </c>
      <c r="J144">
        <v>0.22012310160889986</v>
      </c>
      <c r="K144">
        <v>2.6108695878307504</v>
      </c>
      <c r="L144">
        <v>3.3364479075638451</v>
      </c>
      <c r="M144" s="124">
        <v>10953.043037802479</v>
      </c>
      <c r="N144" s="125">
        <f t="shared" si="6"/>
        <v>32248.687624762126</v>
      </c>
      <c r="O144" s="126">
        <f t="shared" si="10"/>
        <v>28596.966961599828</v>
      </c>
      <c r="P144" s="126">
        <f t="shared" si="10"/>
        <v>36544.257524932822</v>
      </c>
      <c r="Q144" s="119">
        <v>7.2</v>
      </c>
      <c r="R144" s="127">
        <f t="shared" si="0"/>
        <v>232190.5508982873</v>
      </c>
      <c r="S144" s="127">
        <f t="shared" si="8"/>
        <v>205898.16212351876</v>
      </c>
      <c r="T144" s="127">
        <f t="shared" si="8"/>
        <v>263118.65417951631</v>
      </c>
      <c r="U144" s="119">
        <v>3</v>
      </c>
      <c r="V144" s="119" t="s">
        <v>9</v>
      </c>
      <c r="W144" s="119">
        <v>0.21</v>
      </c>
      <c r="X144" s="103">
        <f t="shared" si="9"/>
        <v>48760.015688640335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x14ac:dyDescent="0.25">
      <c r="A145">
        <v>196</v>
      </c>
      <c r="B145" s="120" t="s">
        <v>148</v>
      </c>
      <c r="C145" s="121">
        <v>2014</v>
      </c>
      <c r="D145" s="122" t="s">
        <v>45</v>
      </c>
      <c r="E145" s="121">
        <v>5</v>
      </c>
      <c r="F145" s="128" t="s">
        <v>11</v>
      </c>
      <c r="G145" s="121">
        <v>1000</v>
      </c>
      <c r="H145">
        <v>1.8449629460698365</v>
      </c>
      <c r="I145">
        <v>1.8429699250551828</v>
      </c>
      <c r="J145">
        <v>9.3881734768359343E-2</v>
      </c>
      <c r="K145">
        <v>1.6896650306995022</v>
      </c>
      <c r="L145">
        <v>2.004205610616494</v>
      </c>
      <c r="M145" s="124">
        <v>13991.101427824766</v>
      </c>
      <c r="N145" s="125">
        <f t="shared" si="6"/>
        <v>25785.179149877669</v>
      </c>
      <c r="O145" s="126">
        <f t="shared" si="10"/>
        <v>23640.274823565382</v>
      </c>
      <c r="P145" s="126">
        <f t="shared" si="10"/>
        <v>28041.043980350838</v>
      </c>
      <c r="Q145" s="119">
        <v>10.5</v>
      </c>
      <c r="R145" s="127">
        <f t="shared" si="0"/>
        <v>270744.38107371551</v>
      </c>
      <c r="S145" s="127">
        <f t="shared" si="8"/>
        <v>248222.88564743652</v>
      </c>
      <c r="T145" s="127">
        <f t="shared" si="8"/>
        <v>294430.96179368382</v>
      </c>
      <c r="U145" s="119">
        <v>2</v>
      </c>
      <c r="V145" s="119" t="s">
        <v>11</v>
      </c>
      <c r="W145" s="119">
        <v>0.29499999999999998</v>
      </c>
      <c r="X145" s="103">
        <f t="shared" si="9"/>
        <v>79869.592416746076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x14ac:dyDescent="0.25">
      <c r="A146">
        <v>197</v>
      </c>
      <c r="B146" s="120" t="s">
        <v>148</v>
      </c>
      <c r="C146" s="121">
        <v>2014</v>
      </c>
      <c r="D146" s="122" t="s">
        <v>45</v>
      </c>
      <c r="E146" s="121">
        <v>6</v>
      </c>
      <c r="F146" s="128" t="s">
        <v>12</v>
      </c>
      <c r="G146" s="121">
        <v>1000</v>
      </c>
      <c r="H146">
        <v>0.35859344793515879</v>
      </c>
      <c r="I146">
        <v>0.34637451520857543</v>
      </c>
      <c r="J146">
        <v>6.9288966832660268E-2</v>
      </c>
      <c r="K146">
        <v>0.26961251811247527</v>
      </c>
      <c r="L146">
        <v>0.48790596170328382</v>
      </c>
      <c r="M146" s="124">
        <v>6966.102651973556</v>
      </c>
      <c r="N146" s="125">
        <f t="shared" si="6"/>
        <v>2412.8804289705122</v>
      </c>
      <c r="O146" s="126">
        <f t="shared" si="10"/>
        <v>1878.1484774285825</v>
      </c>
      <c r="P146" s="126">
        <f t="shared" si="10"/>
        <v>3398.8030137349538</v>
      </c>
      <c r="Q146" s="119">
        <v>18.3</v>
      </c>
      <c r="R146" s="127">
        <f t="shared" si="0"/>
        <v>44155.711850160376</v>
      </c>
      <c r="S146" s="127">
        <f t="shared" si="8"/>
        <v>34370.117136943059</v>
      </c>
      <c r="T146" s="127">
        <f t="shared" si="8"/>
        <v>62198.095151349655</v>
      </c>
      <c r="U146" s="119">
        <v>5</v>
      </c>
      <c r="V146" s="119" t="s">
        <v>12</v>
      </c>
      <c r="W146" s="119">
        <v>0.14155251141552511</v>
      </c>
      <c r="X146" s="103">
        <f t="shared" si="9"/>
        <v>6250.3519057304638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x14ac:dyDescent="0.25">
      <c r="A147">
        <v>198</v>
      </c>
      <c r="B147" s="120" t="s">
        <v>148</v>
      </c>
      <c r="C147" s="121">
        <v>2014</v>
      </c>
      <c r="D147" s="122" t="s">
        <v>45</v>
      </c>
      <c r="E147" s="121">
        <v>7</v>
      </c>
      <c r="F147" s="128" t="s">
        <v>13</v>
      </c>
      <c r="G147" s="121">
        <v>1000</v>
      </c>
      <c r="H147">
        <v>0.12786761380374317</v>
      </c>
      <c r="I147">
        <v>0.12468815919238348</v>
      </c>
      <c r="J147">
        <v>1.6408939588604017E-2</v>
      </c>
      <c r="K147">
        <v>0.10751152297174588</v>
      </c>
      <c r="L147">
        <v>0.16052620117227878</v>
      </c>
      <c r="M147" s="124">
        <v>2532.5333267390947</v>
      </c>
      <c r="N147" s="125">
        <f t="shared" si="6"/>
        <v>315.77691860446077</v>
      </c>
      <c r="O147" s="126">
        <f t="shared" si="10"/>
        <v>272.27651493442221</v>
      </c>
      <c r="P147" s="126">
        <f t="shared" si="10"/>
        <v>406.53795428362037</v>
      </c>
      <c r="Q147" s="119">
        <v>5.0999999999999996</v>
      </c>
      <c r="R147" s="127">
        <f t="shared" si="0"/>
        <v>1610.4622848827498</v>
      </c>
      <c r="S147" s="127">
        <f t="shared" si="8"/>
        <v>1388.6102261655531</v>
      </c>
      <c r="T147" s="127">
        <f t="shared" si="8"/>
        <v>2073.3435668464635</v>
      </c>
      <c r="U147" s="119">
        <v>8</v>
      </c>
      <c r="V147" s="119"/>
      <c r="W147" s="119">
        <v>0</v>
      </c>
      <c r="X147" s="103">
        <f t="shared" si="9"/>
        <v>0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x14ac:dyDescent="0.25">
      <c r="A148">
        <v>199</v>
      </c>
      <c r="B148" s="120" t="s">
        <v>148</v>
      </c>
      <c r="C148" s="121">
        <v>2014</v>
      </c>
      <c r="D148" s="122" t="s">
        <v>45</v>
      </c>
      <c r="E148" s="121">
        <v>8</v>
      </c>
      <c r="F148" s="128" t="s">
        <v>14</v>
      </c>
      <c r="G148" s="121">
        <v>1000</v>
      </c>
      <c r="H148">
        <v>0</v>
      </c>
      <c r="I148">
        <v>0</v>
      </c>
      <c r="J148">
        <v>0</v>
      </c>
      <c r="K148">
        <v>0</v>
      </c>
      <c r="L148">
        <v>0</v>
      </c>
      <c r="M148" s="124">
        <v>13775.148973606703</v>
      </c>
      <c r="N148" s="125">
        <f t="shared" si="6"/>
        <v>0</v>
      </c>
      <c r="O148" s="126">
        <f t="shared" si="10"/>
        <v>0</v>
      </c>
      <c r="P148" s="126">
        <f t="shared" si="10"/>
        <v>0</v>
      </c>
      <c r="Q148" s="119">
        <v>5.0999999999999996</v>
      </c>
      <c r="R148" s="127">
        <f t="shared" si="0"/>
        <v>0</v>
      </c>
      <c r="S148" s="127">
        <f t="shared" si="8"/>
        <v>0</v>
      </c>
      <c r="T148" s="127">
        <f t="shared" si="8"/>
        <v>0</v>
      </c>
      <c r="U148" s="119"/>
      <c r="V148" s="119" t="s">
        <v>14</v>
      </c>
      <c r="W148" s="119">
        <v>0.14249999999999999</v>
      </c>
      <c r="X148" s="103">
        <f t="shared" si="9"/>
        <v>0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x14ac:dyDescent="0.25">
      <c r="A149">
        <v>200</v>
      </c>
      <c r="B149" s="120" t="s">
        <v>148</v>
      </c>
      <c r="C149" s="121">
        <v>2014</v>
      </c>
      <c r="D149" s="122" t="s">
        <v>45</v>
      </c>
      <c r="E149" s="121">
        <v>9</v>
      </c>
      <c r="F149" s="128" t="s">
        <v>15</v>
      </c>
      <c r="G149" s="121">
        <v>1000</v>
      </c>
      <c r="H149">
        <v>0.63709019465368832</v>
      </c>
      <c r="I149">
        <v>0.63401552114087723</v>
      </c>
      <c r="J149">
        <v>7.3350437840586494E-2</v>
      </c>
      <c r="K149">
        <v>0.52664750318401421</v>
      </c>
      <c r="L149">
        <v>0.76040220353173837</v>
      </c>
      <c r="M149" s="124">
        <v>5560.7756961151099</v>
      </c>
      <c r="N149" s="125">
        <f t="shared" si="6"/>
        <v>3525.6181009199458</v>
      </c>
      <c r="O149" s="126">
        <f t="shared" si="10"/>
        <v>2928.5686361253711</v>
      </c>
      <c r="P149" s="126">
        <f t="shared" si="10"/>
        <v>4228.4260926716661</v>
      </c>
      <c r="Q149" s="119">
        <v>12.4</v>
      </c>
      <c r="R149" s="127">
        <f t="shared" si="0"/>
        <v>43717.664451407327</v>
      </c>
      <c r="S149" s="127">
        <f t="shared" si="8"/>
        <v>36314.251087954603</v>
      </c>
      <c r="T149" s="127">
        <f t="shared" si="8"/>
        <v>52432.483549128658</v>
      </c>
      <c r="U149" s="119">
        <v>6</v>
      </c>
      <c r="V149" s="119" t="s">
        <v>15</v>
      </c>
      <c r="W149" s="119">
        <v>0.63636363636363635</v>
      </c>
      <c r="X149" s="103">
        <f t="shared" si="9"/>
        <v>27820.331923622845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x14ac:dyDescent="0.25">
      <c r="A150">
        <v>201</v>
      </c>
      <c r="B150" s="120" t="s">
        <v>148</v>
      </c>
      <c r="C150" s="121">
        <v>2014</v>
      </c>
      <c r="D150" s="122" t="s">
        <v>45</v>
      </c>
      <c r="E150" s="121">
        <v>10</v>
      </c>
      <c r="F150" s="128" t="s">
        <v>16</v>
      </c>
      <c r="G150" s="121">
        <v>1000</v>
      </c>
      <c r="H150">
        <v>9.5012566498267597E-3</v>
      </c>
      <c r="I150">
        <v>9.4819091901346911E-3</v>
      </c>
      <c r="J150">
        <v>1.2511626641368043E-3</v>
      </c>
      <c r="K150">
        <v>7.5800033132925665E-3</v>
      </c>
      <c r="L150">
        <v>1.1533426464073373E-2</v>
      </c>
      <c r="M150" s="124">
        <v>10828.706776282988</v>
      </c>
      <c r="N150" s="125">
        <f>$M150*I150</f>
        <v>102.67681429931147</v>
      </c>
      <c r="O150" s="126">
        <f t="shared" si="10"/>
        <v>82.081633242898718</v>
      </c>
      <c r="P150" s="126">
        <f t="shared" si="10"/>
        <v>124.89209330527288</v>
      </c>
      <c r="Q150" s="119">
        <v>7.7</v>
      </c>
      <c r="R150" s="127">
        <f t="shared" si="0"/>
        <v>790.61147010469836</v>
      </c>
      <c r="S150" s="127">
        <f t="shared" si="8"/>
        <v>632.02857597032016</v>
      </c>
      <c r="T150" s="127">
        <f t="shared" si="8"/>
        <v>961.66911845060122</v>
      </c>
      <c r="U150" s="119">
        <v>9</v>
      </c>
      <c r="V150" s="119" t="s">
        <v>16</v>
      </c>
      <c r="W150" s="119">
        <v>0.19750000000000001</v>
      </c>
      <c r="X150" s="103">
        <f t="shared" si="9"/>
        <v>156.14576534567794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x14ac:dyDescent="0.25">
      <c r="A151">
        <v>202</v>
      </c>
      <c r="B151" s="120" t="s">
        <v>148</v>
      </c>
      <c r="C151" s="121">
        <v>2014</v>
      </c>
      <c r="D151" s="122" t="s">
        <v>45</v>
      </c>
      <c r="E151" s="121">
        <v>11</v>
      </c>
      <c r="F151" s="128" t="s">
        <v>17</v>
      </c>
      <c r="G151" s="121">
        <v>1000</v>
      </c>
      <c r="H151">
        <v>0.57719842970434521</v>
      </c>
      <c r="I151">
        <v>0.57657091987453568</v>
      </c>
      <c r="J151">
        <v>2.9492158163729413E-2</v>
      </c>
      <c r="K151">
        <v>0.52908341707400208</v>
      </c>
      <c r="L151">
        <v>0.62778768869843526</v>
      </c>
      <c r="M151" s="124">
        <v>11753.048720473937</v>
      </c>
      <c r="N151" s="125"/>
      <c r="O151" s="126"/>
      <c r="P151" s="126"/>
      <c r="Q151" s="119"/>
      <c r="R151" s="127"/>
      <c r="S151" s="127">
        <f t="shared" si="8"/>
        <v>0</v>
      </c>
      <c r="T151" s="127">
        <f t="shared" si="8"/>
        <v>0</v>
      </c>
      <c r="U151" s="119"/>
      <c r="V151" s="119"/>
      <c r="W151" s="119">
        <v>0</v>
      </c>
      <c r="X151" s="103">
        <f t="shared" si="9"/>
        <v>0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x14ac:dyDescent="0.25">
      <c r="A152">
        <v>204</v>
      </c>
      <c r="B152" s="120" t="s">
        <v>148</v>
      </c>
      <c r="C152" s="121">
        <v>2014</v>
      </c>
      <c r="D152" s="122" t="s">
        <v>45</v>
      </c>
      <c r="E152" s="121">
        <v>13</v>
      </c>
      <c r="F152" s="128" t="s">
        <v>19</v>
      </c>
      <c r="G152" s="121">
        <v>1000</v>
      </c>
      <c r="H152">
        <v>0.19850775491776218</v>
      </c>
      <c r="I152">
        <v>0.18667820645783501</v>
      </c>
      <c r="J152">
        <v>6.549835929242015E-2</v>
      </c>
      <c r="K152">
        <v>0.11570815814415472</v>
      </c>
      <c r="L152">
        <v>0.32095777664764708</v>
      </c>
      <c r="M152" s="124">
        <v>5410.2633795388801</v>
      </c>
      <c r="N152" s="125">
        <f>$M152*I152</f>
        <v>1009.9782641568232</v>
      </c>
      <c r="O152" s="126">
        <f>$M152*K152</f>
        <v>626.01161072121374</v>
      </c>
      <c r="P152" s="126">
        <f>$M152*L152</f>
        <v>1736.4661053749842</v>
      </c>
      <c r="Q152" s="119">
        <v>17.399999999999999</v>
      </c>
      <c r="R152" s="127">
        <f>Q152*N152</f>
        <v>17573.621796328724</v>
      </c>
      <c r="S152" s="127">
        <f>O152*$Q152</f>
        <v>10892.602026549119</v>
      </c>
      <c r="T152" s="127">
        <f>P152*$Q152</f>
        <v>30214.510233524721</v>
      </c>
      <c r="U152" s="119">
        <v>7</v>
      </c>
      <c r="V152" s="119" t="s">
        <v>19</v>
      </c>
      <c r="W152" s="119">
        <v>0.86750000000000005</v>
      </c>
      <c r="X152" s="103">
        <f t="shared" si="9"/>
        <v>15245.116908315169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</sheetData>
  <phoneticPr fontId="1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XFD1048576"/>
    </sheetView>
  </sheetViews>
  <sheetFormatPr defaultRowHeight="12.6" x14ac:dyDescent="0.25"/>
  <sheetData>
    <row r="1" spans="1:7" x14ac:dyDescent="0.25">
      <c r="A1" s="5" t="s">
        <v>21</v>
      </c>
      <c r="B1" s="5" t="s">
        <v>156</v>
      </c>
      <c r="C1" s="7" t="s">
        <v>158</v>
      </c>
      <c r="D1" s="7" t="s">
        <v>157</v>
      </c>
      <c r="E1" s="7" t="s">
        <v>159</v>
      </c>
      <c r="F1" s="7" t="s">
        <v>128</v>
      </c>
      <c r="G1" s="7" t="s">
        <v>127</v>
      </c>
    </row>
    <row r="2" spans="1:7" x14ac:dyDescent="0.25">
      <c r="A2" s="5">
        <v>1982</v>
      </c>
      <c r="B2" s="97"/>
      <c r="C2" s="86"/>
      <c r="D2" s="86"/>
      <c r="E2" s="86">
        <v>0</v>
      </c>
      <c r="F2" s="86"/>
      <c r="G2" s="86"/>
    </row>
    <row r="3" spans="1:7" x14ac:dyDescent="0.25">
      <c r="A3" s="6">
        <v>1983</v>
      </c>
      <c r="B3" s="99"/>
      <c r="C3" s="10"/>
      <c r="D3" s="10"/>
      <c r="E3" s="10">
        <v>0</v>
      </c>
      <c r="F3" s="10"/>
      <c r="G3" s="10"/>
    </row>
    <row r="4" spans="1:7" x14ac:dyDescent="0.25">
      <c r="A4" s="6">
        <v>1984</v>
      </c>
      <c r="B4" s="99"/>
      <c r="C4" s="10"/>
      <c r="D4" s="10"/>
      <c r="E4" s="10">
        <v>0</v>
      </c>
      <c r="F4" s="10"/>
      <c r="G4" s="10"/>
    </row>
    <row r="5" spans="1:7" x14ac:dyDescent="0.25">
      <c r="A5" s="6">
        <v>1985</v>
      </c>
      <c r="B5" s="99"/>
      <c r="C5" s="10"/>
      <c r="D5" s="10"/>
      <c r="E5" s="10">
        <v>0</v>
      </c>
      <c r="F5" s="10"/>
      <c r="G5" s="10"/>
    </row>
    <row r="6" spans="1:7" x14ac:dyDescent="0.25">
      <c r="A6" s="6">
        <v>1986</v>
      </c>
      <c r="B6" s="99"/>
      <c r="C6" s="10"/>
      <c r="D6" s="10"/>
      <c r="E6" s="10">
        <v>0</v>
      </c>
      <c r="F6" s="10"/>
      <c r="G6" s="10"/>
    </row>
    <row r="7" spans="1:7" x14ac:dyDescent="0.25">
      <c r="A7" s="6">
        <v>1987</v>
      </c>
      <c r="B7" s="99"/>
      <c r="C7" s="10"/>
      <c r="D7" s="10"/>
      <c r="E7" s="10">
        <v>0</v>
      </c>
      <c r="F7" s="10"/>
      <c r="G7" s="10"/>
    </row>
    <row r="8" spans="1:7" x14ac:dyDescent="0.25">
      <c r="A8" s="6">
        <v>1988</v>
      </c>
      <c r="B8" s="99">
        <v>409230.31540750002</v>
      </c>
      <c r="C8" s="10">
        <v>339797.37504008465</v>
      </c>
      <c r="D8" s="10">
        <v>498826.94762838905</v>
      </c>
      <c r="E8" s="10">
        <v>4285049.9622403961</v>
      </c>
      <c r="F8" s="10">
        <v>3579569.5042131385</v>
      </c>
      <c r="G8" s="10">
        <v>5179999.0311483638</v>
      </c>
    </row>
    <row r="9" spans="1:7" x14ac:dyDescent="0.25">
      <c r="A9" s="6">
        <v>1989</v>
      </c>
      <c r="B9" s="99">
        <v>366093.9775550387</v>
      </c>
      <c r="C9" s="10">
        <v>311742.34496774618</v>
      </c>
      <c r="D9" s="10">
        <v>439309.45892693399</v>
      </c>
      <c r="E9" s="10">
        <v>3712327.8029967514</v>
      </c>
      <c r="F9" s="10">
        <v>3126846.4044257593</v>
      </c>
      <c r="G9" s="10">
        <v>4505326.0777582787</v>
      </c>
    </row>
    <row r="10" spans="1:7" x14ac:dyDescent="0.25">
      <c r="A10" s="6">
        <v>1990</v>
      </c>
      <c r="B10" s="99">
        <v>464443.0213801206</v>
      </c>
      <c r="C10" s="10">
        <v>346163.81342379993</v>
      </c>
      <c r="D10" s="10">
        <v>642306.59333153954</v>
      </c>
      <c r="E10" s="10">
        <v>5782824.4983873237</v>
      </c>
      <c r="F10" s="10">
        <v>4168592.2590359999</v>
      </c>
      <c r="G10" s="10">
        <v>8353573.8274634816</v>
      </c>
    </row>
    <row r="11" spans="1:7" x14ac:dyDescent="0.25">
      <c r="A11" s="6">
        <v>1991</v>
      </c>
      <c r="B11" s="99">
        <v>16131.797779468048</v>
      </c>
      <c r="C11" s="10">
        <v>7846.1313712475348</v>
      </c>
      <c r="D11" s="10">
        <v>58633.438691454568</v>
      </c>
      <c r="E11" s="10">
        <v>137828.29606831857</v>
      </c>
      <c r="F11" s="10">
        <v>61409.824901486041</v>
      </c>
      <c r="G11" s="10">
        <v>339150.19181150245</v>
      </c>
    </row>
    <row r="12" spans="1:7" x14ac:dyDescent="0.25">
      <c r="A12" s="6">
        <v>1992</v>
      </c>
      <c r="B12" s="99">
        <v>19399.027595204527</v>
      </c>
      <c r="C12" s="10">
        <v>16018.19995812562</v>
      </c>
      <c r="D12" s="10">
        <v>24977.095013937073</v>
      </c>
      <c r="E12" s="10">
        <v>138018.9256938154</v>
      </c>
      <c r="F12" s="10">
        <v>114500.31905946606</v>
      </c>
      <c r="G12" s="10">
        <v>175478.97954267997</v>
      </c>
    </row>
    <row r="13" spans="1:7" x14ac:dyDescent="0.25">
      <c r="A13" s="6">
        <v>1993</v>
      </c>
      <c r="B13" s="99"/>
      <c r="C13" s="10"/>
      <c r="D13" s="10"/>
      <c r="E13" s="10">
        <v>0</v>
      </c>
      <c r="F13" s="10"/>
      <c r="G13" s="10"/>
    </row>
    <row r="14" spans="1:7" x14ac:dyDescent="0.25">
      <c r="A14" s="6">
        <v>1994</v>
      </c>
      <c r="B14" s="99"/>
      <c r="C14" s="10"/>
      <c r="D14" s="10"/>
      <c r="E14" s="10">
        <v>0</v>
      </c>
      <c r="F14" s="10"/>
      <c r="G14" s="10"/>
    </row>
    <row r="15" spans="1:7" x14ac:dyDescent="0.25">
      <c r="A15" s="6">
        <v>1995</v>
      </c>
      <c r="B15" s="99"/>
      <c r="C15" s="10"/>
      <c r="D15" s="10"/>
      <c r="E15" s="10"/>
      <c r="F15" s="10"/>
      <c r="G15" s="10"/>
    </row>
    <row r="16" spans="1:7" x14ac:dyDescent="0.25">
      <c r="A16" s="6">
        <v>1996</v>
      </c>
      <c r="B16" s="99">
        <v>3360.1826922391192</v>
      </c>
      <c r="C16" s="10">
        <v>2236.49129620127</v>
      </c>
      <c r="D16" s="10">
        <v>5317.7324417144828</v>
      </c>
      <c r="E16" s="10">
        <v>47448.349730736809</v>
      </c>
      <c r="F16" s="10">
        <v>32123.622036666005</v>
      </c>
      <c r="G16" s="10">
        <v>74162.970497860108</v>
      </c>
    </row>
    <row r="17" spans="1:7" x14ac:dyDescent="0.25">
      <c r="A17" s="6">
        <v>1997</v>
      </c>
      <c r="B17" s="99"/>
      <c r="C17" s="10"/>
      <c r="D17" s="10"/>
      <c r="E17" s="10"/>
      <c r="F17" s="10"/>
      <c r="G17" s="10"/>
    </row>
    <row r="18" spans="1:7" x14ac:dyDescent="0.25">
      <c r="A18" s="6">
        <v>1998</v>
      </c>
      <c r="B18" s="99"/>
      <c r="C18" s="10"/>
      <c r="D18" s="10"/>
      <c r="E18" s="10"/>
      <c r="F18" s="10"/>
      <c r="G18" s="10"/>
    </row>
    <row r="19" spans="1:7" x14ac:dyDescent="0.25">
      <c r="A19" s="6">
        <v>1999</v>
      </c>
      <c r="B19" s="99">
        <v>17009.042975132194</v>
      </c>
      <c r="C19" s="10">
        <v>10859.953279965368</v>
      </c>
      <c r="D19" s="10">
        <v>33156.295232777637</v>
      </c>
      <c r="E19" s="10">
        <v>216305.45447319438</v>
      </c>
      <c r="F19" s="10">
        <v>140934.46662639262</v>
      </c>
      <c r="G19" s="10">
        <v>414403.52409760491</v>
      </c>
    </row>
    <row r="20" spans="1:7" x14ac:dyDescent="0.25">
      <c r="A20" s="6">
        <v>2000</v>
      </c>
      <c r="B20" s="99">
        <v>10931.251918463706</v>
      </c>
      <c r="C20" s="10">
        <v>8799.0802236849577</v>
      </c>
      <c r="D20" s="10">
        <v>13828.653086824532</v>
      </c>
      <c r="E20" s="10">
        <v>124749.77848998032</v>
      </c>
      <c r="F20" s="10">
        <v>100225.58202753941</v>
      </c>
      <c r="G20" s="10">
        <v>158517.36759213152</v>
      </c>
    </row>
    <row r="21" spans="1:7" x14ac:dyDescent="0.25">
      <c r="A21" s="6">
        <v>2001</v>
      </c>
      <c r="B21" s="99">
        <v>10721.631765836084</v>
      </c>
      <c r="C21" s="10">
        <v>7020.4094828144825</v>
      </c>
      <c r="D21" s="10">
        <v>31649.165984101284</v>
      </c>
      <c r="E21" s="10">
        <v>129418.85726665353</v>
      </c>
      <c r="F21" s="10">
        <v>86055.886059002572</v>
      </c>
      <c r="G21" s="10">
        <v>375384.5524594321</v>
      </c>
    </row>
    <row r="22" spans="1:7" x14ac:dyDescent="0.25">
      <c r="A22" s="6">
        <v>2002</v>
      </c>
      <c r="B22" s="99">
        <v>6325.1097943053201</v>
      </c>
      <c r="C22" s="10">
        <v>5239.1774091162342</v>
      </c>
      <c r="D22" s="10">
        <v>8323.327611853827</v>
      </c>
      <c r="E22" s="10">
        <v>83865.016448557421</v>
      </c>
      <c r="F22" s="10">
        <v>70167.597179670032</v>
      </c>
      <c r="G22" s="10">
        <v>109440.23712280698</v>
      </c>
    </row>
    <row r="23" spans="1:7" x14ac:dyDescent="0.25">
      <c r="A23" s="6">
        <v>2003</v>
      </c>
      <c r="B23" s="99">
        <v>9320.5919371152959</v>
      </c>
      <c r="C23" s="10">
        <v>6738.8929867209099</v>
      </c>
      <c r="D23" s="10">
        <v>16905.120477453835</v>
      </c>
      <c r="E23" s="10">
        <v>108139.10917210922</v>
      </c>
      <c r="F23" s="10">
        <v>78337.780848155104</v>
      </c>
      <c r="G23" s="10">
        <v>191407.31510644968</v>
      </c>
    </row>
    <row r="24" spans="1:7" x14ac:dyDescent="0.25">
      <c r="A24" s="6">
        <v>2004</v>
      </c>
      <c r="B24" s="99">
        <v>11712.290585401028</v>
      </c>
      <c r="C24" s="10">
        <v>9298.170954363206</v>
      </c>
      <c r="D24" s="10">
        <v>21352.420153984287</v>
      </c>
      <c r="E24" s="10">
        <v>125159.63663769749</v>
      </c>
      <c r="F24" s="10">
        <v>100392.96248656741</v>
      </c>
      <c r="G24" s="10">
        <v>216268.67605243952</v>
      </c>
    </row>
    <row r="25" spans="1:7" x14ac:dyDescent="0.25">
      <c r="A25" s="6">
        <v>2005</v>
      </c>
      <c r="B25" s="99">
        <v>6147.2049062972828</v>
      </c>
      <c r="C25" s="10">
        <v>3818.47349438111</v>
      </c>
      <c r="D25" s="10">
        <v>24120.187526677095</v>
      </c>
      <c r="E25" s="10">
        <v>98073.814690821731</v>
      </c>
      <c r="F25" s="10">
        <v>63254.375987263025</v>
      </c>
      <c r="G25" s="10">
        <v>333526.34711431956</v>
      </c>
    </row>
    <row r="26" spans="1:7" x14ac:dyDescent="0.25">
      <c r="A26" s="6">
        <v>2006</v>
      </c>
      <c r="B26" s="99"/>
      <c r="C26" s="10"/>
      <c r="D26" s="10"/>
      <c r="E26" s="10"/>
      <c r="F26" s="10"/>
      <c r="G26" s="10"/>
    </row>
    <row r="27" spans="1:7" x14ac:dyDescent="0.25">
      <c r="A27" s="6">
        <v>2007</v>
      </c>
      <c r="B27" s="99">
        <v>28249.653196723688</v>
      </c>
      <c r="C27" s="10">
        <v>22001.573079862806</v>
      </c>
      <c r="D27" s="10">
        <v>44629.384204963739</v>
      </c>
      <c r="E27" s="10">
        <v>300477.18434017949</v>
      </c>
      <c r="F27" s="10">
        <v>233350.85026736197</v>
      </c>
      <c r="G27" s="10">
        <v>473153.73202417354</v>
      </c>
    </row>
    <row r="28" spans="1:7" x14ac:dyDescent="0.25">
      <c r="A28" s="6">
        <v>2008</v>
      </c>
      <c r="B28" s="99">
        <v>22290.05903060842</v>
      </c>
      <c r="C28" s="10">
        <v>17605.556200970535</v>
      </c>
      <c r="D28" s="10">
        <v>44222.046723010055</v>
      </c>
      <c r="E28" s="10">
        <v>262855.00204694958</v>
      </c>
      <c r="F28" s="10">
        <v>207279.15731362588</v>
      </c>
      <c r="G28" s="10">
        <v>496401.24323339248</v>
      </c>
    </row>
    <row r="29" spans="1:7" x14ac:dyDescent="0.25">
      <c r="A29" s="6">
        <v>2009</v>
      </c>
      <c r="B29" s="99">
        <v>29401.658009803374</v>
      </c>
      <c r="C29" s="10">
        <v>25611.505861845639</v>
      </c>
      <c r="D29" s="10">
        <v>38994.609176917802</v>
      </c>
      <c r="E29" s="10">
        <v>262166.38724987791</v>
      </c>
      <c r="F29" s="10">
        <v>227093.12857300203</v>
      </c>
      <c r="G29" s="10">
        <v>351535.08193277463</v>
      </c>
    </row>
    <row r="30" spans="1:7" x14ac:dyDescent="0.25">
      <c r="A30" s="6">
        <v>2010</v>
      </c>
      <c r="B30" s="99">
        <v>2031.7991581790245</v>
      </c>
      <c r="C30" s="10">
        <v>1181.2033281171512</v>
      </c>
      <c r="D30" s="10">
        <v>5124.3562028814531</v>
      </c>
      <c r="E30" s="10">
        <v>23229.83022097902</v>
      </c>
      <c r="F30" s="10">
        <v>13621.038791282275</v>
      </c>
      <c r="G30" s="10">
        <v>60734.573339180628</v>
      </c>
    </row>
    <row r="31" spans="1:7" x14ac:dyDescent="0.25">
      <c r="A31" s="6">
        <v>2011</v>
      </c>
      <c r="B31" s="99">
        <v>19351.176440037809</v>
      </c>
      <c r="C31" s="10">
        <v>14509.836668980617</v>
      </c>
      <c r="D31" s="10">
        <v>30070.933624884568</v>
      </c>
      <c r="E31" s="10">
        <v>209645.70212735829</v>
      </c>
      <c r="F31" s="10">
        <v>161559.48053070085</v>
      </c>
      <c r="G31" s="10">
        <v>318942.1574944561</v>
      </c>
    </row>
    <row r="32" spans="1:7" x14ac:dyDescent="0.25">
      <c r="A32" s="53">
        <v>2012</v>
      </c>
      <c r="B32" s="107">
        <v>23073.524456265401</v>
      </c>
      <c r="C32" s="87">
        <v>18544.694079887846</v>
      </c>
      <c r="D32" s="87">
        <v>41658.589225538097</v>
      </c>
      <c r="E32" s="87">
        <v>205761.28530349743</v>
      </c>
      <c r="F32" s="87">
        <v>165906.33820235022</v>
      </c>
      <c r="G32" s="87">
        <v>355129.63426299038</v>
      </c>
    </row>
    <row r="33" spans="1:7" x14ac:dyDescent="0.25">
      <c r="A33" s="140">
        <v>2013</v>
      </c>
      <c r="B33" s="141">
        <v>53629.591711534478</v>
      </c>
      <c r="C33" s="103">
        <v>35426.46385920485</v>
      </c>
      <c r="D33" s="103">
        <v>90183.796459395409</v>
      </c>
      <c r="E33" s="103">
        <v>762843.30641017715</v>
      </c>
      <c r="F33" s="103">
        <v>519916.47002170916</v>
      </c>
      <c r="G33" s="103">
        <v>1259050.4333085555</v>
      </c>
    </row>
    <row r="34" spans="1:7" x14ac:dyDescent="0.25">
      <c r="A34" s="140">
        <v>2014</v>
      </c>
      <c r="B34" s="141">
        <v>121916.61397432383</v>
      </c>
      <c r="C34" s="103">
        <v>103823.7370760686</v>
      </c>
      <c r="D34" s="103">
        <v>150435.90595045869</v>
      </c>
      <c r="E34" s="103">
        <v>982854.87536432338</v>
      </c>
      <c r="F34" s="103">
        <v>839184.75697691459</v>
      </c>
      <c r="G34" s="103">
        <v>1209500.5327974951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3"/>
  <sheetViews>
    <sheetView topLeftCell="O7" zoomScale="209" zoomScaleNormal="209" workbookViewId="0">
      <selection activeCell="AB9" sqref="AB9"/>
    </sheetView>
  </sheetViews>
  <sheetFormatPr defaultRowHeight="12.6" x14ac:dyDescent="0.25"/>
  <cols>
    <col min="1" max="1" width="6.44140625" customWidth="1"/>
    <col min="2" max="2" width="5.5546875" style="31" customWidth="1"/>
    <col min="3" max="3" width="7.109375" customWidth="1"/>
    <col min="4" max="4" width="7" style="3" customWidth="1"/>
    <col min="5" max="5" width="12.44140625" style="45" customWidth="1"/>
    <col min="8" max="8" width="15.109375" bestFit="1" customWidth="1"/>
    <col min="9" max="9" width="23.6640625" customWidth="1"/>
    <col min="10" max="12" width="2.44140625" customWidth="1"/>
    <col min="13" max="13" width="11.88671875" customWidth="1"/>
    <col min="14" max="14" width="14.88671875" customWidth="1"/>
    <col min="15" max="17" width="2.44140625" customWidth="1"/>
    <col min="18" max="21" width="3.5546875" customWidth="1"/>
    <col min="22" max="22" width="8.109375" customWidth="1"/>
    <col min="23" max="23" width="13" bestFit="1" customWidth="1"/>
  </cols>
  <sheetData>
    <row r="1" spans="1:14" x14ac:dyDescent="0.25">
      <c r="H1" s="150" t="s">
        <v>20</v>
      </c>
      <c r="I1" t="s">
        <v>165</v>
      </c>
      <c r="M1" s="136" t="s">
        <v>163</v>
      </c>
      <c r="N1" t="s">
        <v>162</v>
      </c>
    </row>
    <row r="2" spans="1:14" x14ac:dyDescent="0.25">
      <c r="A2" t="s">
        <v>21</v>
      </c>
      <c r="B2" s="31" t="s">
        <v>44</v>
      </c>
      <c r="C2" s="1" t="s">
        <v>0</v>
      </c>
      <c r="D2" s="4" t="s">
        <v>20</v>
      </c>
      <c r="E2" s="45" t="s">
        <v>31</v>
      </c>
    </row>
    <row r="3" spans="1:14" x14ac:dyDescent="0.25">
      <c r="A3">
        <v>1988</v>
      </c>
      <c r="B3" s="31" t="s">
        <v>45</v>
      </c>
      <c r="C3" s="1">
        <v>1</v>
      </c>
      <c r="D3" s="4" t="s">
        <v>7</v>
      </c>
      <c r="E3" s="45">
        <v>461677.80565900035</v>
      </c>
      <c r="H3" s="150" t="s">
        <v>161</v>
      </c>
      <c r="I3" t="s">
        <v>32</v>
      </c>
      <c r="M3" t="s">
        <v>161</v>
      </c>
      <c r="N3" t="s">
        <v>32</v>
      </c>
    </row>
    <row r="4" spans="1:14" x14ac:dyDescent="0.25">
      <c r="A4">
        <v>1988</v>
      </c>
      <c r="B4" s="31" t="s">
        <v>45</v>
      </c>
      <c r="C4" s="1">
        <v>2</v>
      </c>
      <c r="D4" s="4" t="s">
        <v>8</v>
      </c>
      <c r="E4" s="45">
        <v>1773346.1722759379</v>
      </c>
      <c r="H4" s="151">
        <v>1996</v>
      </c>
      <c r="I4" s="40">
        <v>47448.349730736809</v>
      </c>
      <c r="M4">
        <v>1996</v>
      </c>
      <c r="N4" s="40">
        <v>47448.349730736809</v>
      </c>
    </row>
    <row r="5" spans="1:14" x14ac:dyDescent="0.25">
      <c r="A5">
        <v>1988</v>
      </c>
      <c r="B5" s="31" t="s">
        <v>45</v>
      </c>
      <c r="C5" s="1">
        <v>3</v>
      </c>
      <c r="D5" s="4" t="s">
        <v>9</v>
      </c>
      <c r="E5" s="45">
        <v>262708.45307035849</v>
      </c>
      <c r="H5" s="151">
        <v>1999</v>
      </c>
      <c r="I5" s="40">
        <v>216305.45447319438</v>
      </c>
      <c r="M5">
        <v>1997</v>
      </c>
    </row>
    <row r="6" spans="1:14" x14ac:dyDescent="0.25">
      <c r="A6">
        <v>1988</v>
      </c>
      <c r="B6" s="31" t="s">
        <v>45</v>
      </c>
      <c r="C6" s="1">
        <v>4</v>
      </c>
      <c r="D6" s="4" t="s">
        <v>10</v>
      </c>
      <c r="E6" s="45">
        <v>1787317.5312350995</v>
      </c>
      <c r="H6" s="151">
        <v>2000</v>
      </c>
      <c r="I6" s="40">
        <v>124749.77848998032</v>
      </c>
      <c r="M6">
        <v>1998</v>
      </c>
    </row>
    <row r="7" spans="1:14" x14ac:dyDescent="0.25">
      <c r="A7" s="55">
        <v>1989</v>
      </c>
      <c r="B7" s="56" t="s">
        <v>45</v>
      </c>
      <c r="C7" s="57">
        <v>1</v>
      </c>
      <c r="D7" s="58" t="s">
        <v>7</v>
      </c>
      <c r="E7" s="61">
        <v>764108.01735173713</v>
      </c>
      <c r="H7" s="151">
        <v>2001</v>
      </c>
      <c r="I7" s="40">
        <v>129418.85726665353</v>
      </c>
      <c r="M7">
        <v>1999</v>
      </c>
      <c r="N7" s="40">
        <v>216305.45447319438</v>
      </c>
    </row>
    <row r="8" spans="1:14" x14ac:dyDescent="0.25">
      <c r="A8" s="55">
        <v>1989</v>
      </c>
      <c r="B8" s="56" t="s">
        <v>45</v>
      </c>
      <c r="C8" s="57">
        <v>2</v>
      </c>
      <c r="D8" s="58" t="s">
        <v>8</v>
      </c>
      <c r="E8" s="61">
        <v>560177.62060273159</v>
      </c>
      <c r="H8" s="151">
        <v>2002</v>
      </c>
      <c r="I8" s="40">
        <v>83865.016448557421</v>
      </c>
      <c r="M8">
        <v>2000</v>
      </c>
      <c r="N8" s="40">
        <v>124749.77848998032</v>
      </c>
    </row>
    <row r="9" spans="1:14" x14ac:dyDescent="0.25">
      <c r="A9" s="55">
        <v>1989</v>
      </c>
      <c r="B9" s="56" t="s">
        <v>45</v>
      </c>
      <c r="C9" s="57">
        <v>3</v>
      </c>
      <c r="D9" s="58" t="s">
        <v>9</v>
      </c>
      <c r="E9" s="61">
        <v>758183.61580624955</v>
      </c>
      <c r="H9" s="151">
        <v>2003</v>
      </c>
      <c r="I9" s="40">
        <v>108139.10917210922</v>
      </c>
      <c r="M9">
        <v>2001</v>
      </c>
      <c r="N9" s="40">
        <v>129418.85726665353</v>
      </c>
    </row>
    <row r="10" spans="1:14" x14ac:dyDescent="0.25">
      <c r="A10" s="55">
        <v>1989</v>
      </c>
      <c r="B10" s="56" t="s">
        <v>45</v>
      </c>
      <c r="C10" s="57">
        <v>4</v>
      </c>
      <c r="D10" s="58" t="s">
        <v>10</v>
      </c>
      <c r="E10" s="61">
        <v>784123.09672922094</v>
      </c>
      <c r="H10" s="151">
        <v>2004</v>
      </c>
      <c r="I10" s="40">
        <v>125159.63663769749</v>
      </c>
      <c r="M10">
        <v>2002</v>
      </c>
      <c r="N10" s="40">
        <v>83865.016448557421</v>
      </c>
    </row>
    <row r="11" spans="1:14" x14ac:dyDescent="0.25">
      <c r="A11" s="55">
        <v>1989</v>
      </c>
      <c r="B11" s="56" t="s">
        <v>45</v>
      </c>
      <c r="C11" s="57">
        <v>5</v>
      </c>
      <c r="D11" s="58" t="s">
        <v>11</v>
      </c>
      <c r="E11" s="61">
        <v>438062.05487030972</v>
      </c>
      <c r="H11" s="151">
        <v>2005</v>
      </c>
      <c r="I11" s="40">
        <v>98073.814690821731</v>
      </c>
      <c r="M11">
        <v>2003</v>
      </c>
      <c r="N11" s="40">
        <v>108139.10917210922</v>
      </c>
    </row>
    <row r="12" spans="1:14" x14ac:dyDescent="0.25">
      <c r="A12" s="55">
        <v>1989</v>
      </c>
      <c r="B12" s="56" t="s">
        <v>45</v>
      </c>
      <c r="C12" s="57">
        <v>6</v>
      </c>
      <c r="D12" s="58" t="s">
        <v>12</v>
      </c>
      <c r="E12" s="61">
        <v>407673.39763650269</v>
      </c>
      <c r="H12" s="151">
        <v>2007</v>
      </c>
      <c r="I12" s="40">
        <v>300477.18434017949</v>
      </c>
      <c r="M12">
        <v>2004</v>
      </c>
      <c r="N12" s="40">
        <v>125159.63663769749</v>
      </c>
    </row>
    <row r="13" spans="1:14" x14ac:dyDescent="0.25">
      <c r="A13">
        <v>1990</v>
      </c>
      <c r="B13" s="31" t="s">
        <v>45</v>
      </c>
      <c r="C13" s="2">
        <v>1</v>
      </c>
      <c r="D13" s="4" t="s">
        <v>7</v>
      </c>
      <c r="E13" s="45">
        <v>1125637.5452683454</v>
      </c>
      <c r="H13" s="151">
        <v>2008</v>
      </c>
      <c r="I13" s="40">
        <v>262855.00204694958</v>
      </c>
      <c r="M13">
        <v>2005</v>
      </c>
      <c r="N13" s="40">
        <v>98073.814690821731</v>
      </c>
    </row>
    <row r="14" spans="1:14" x14ac:dyDescent="0.25">
      <c r="A14">
        <v>1990</v>
      </c>
      <c r="B14" s="31" t="s">
        <v>45</v>
      </c>
      <c r="C14" s="2">
        <v>2</v>
      </c>
      <c r="D14" s="4" t="s">
        <v>8</v>
      </c>
      <c r="E14" s="45">
        <v>1083551.8328352345</v>
      </c>
      <c r="H14" s="151">
        <v>2009</v>
      </c>
      <c r="I14" s="40">
        <v>262166.38724987791</v>
      </c>
      <c r="M14">
        <v>2006</v>
      </c>
    </row>
    <row r="15" spans="1:14" x14ac:dyDescent="0.25">
      <c r="A15">
        <v>1990</v>
      </c>
      <c r="B15" s="31" t="s">
        <v>45</v>
      </c>
      <c r="C15" s="2">
        <v>3</v>
      </c>
      <c r="D15" s="4" t="s">
        <v>9</v>
      </c>
      <c r="E15" s="45">
        <v>1214540.8580894261</v>
      </c>
      <c r="H15" s="151">
        <v>2010</v>
      </c>
      <c r="I15" s="40">
        <v>23229.83022097902</v>
      </c>
      <c r="M15">
        <v>2007</v>
      </c>
      <c r="N15" s="40">
        <v>300477.18434017949</v>
      </c>
    </row>
    <row r="16" spans="1:14" x14ac:dyDescent="0.25">
      <c r="A16">
        <v>1990</v>
      </c>
      <c r="B16" s="31" t="s">
        <v>45</v>
      </c>
      <c r="C16" s="2">
        <v>4</v>
      </c>
      <c r="D16" s="4" t="s">
        <v>10</v>
      </c>
      <c r="E16" s="45">
        <v>1251997.8728852237</v>
      </c>
      <c r="H16" s="151">
        <v>2011</v>
      </c>
      <c r="I16" s="40">
        <v>209645.70212735829</v>
      </c>
      <c r="M16">
        <v>2008</v>
      </c>
      <c r="N16" s="40">
        <v>262855.00204694958</v>
      </c>
    </row>
    <row r="17" spans="1:14" x14ac:dyDescent="0.25">
      <c r="A17">
        <v>1990</v>
      </c>
      <c r="B17" s="31" t="s">
        <v>45</v>
      </c>
      <c r="C17" s="2">
        <v>5</v>
      </c>
      <c r="D17" s="4" t="s">
        <v>11</v>
      </c>
      <c r="E17" s="45">
        <v>481209.67833152489</v>
      </c>
      <c r="H17" s="151">
        <v>2012</v>
      </c>
      <c r="I17" s="40">
        <v>209447.11250010232</v>
      </c>
      <c r="M17">
        <v>2009</v>
      </c>
      <c r="N17" s="40">
        <v>262166.38724987791</v>
      </c>
    </row>
    <row r="18" spans="1:14" x14ac:dyDescent="0.25">
      <c r="A18">
        <v>1990</v>
      </c>
      <c r="B18" s="31" t="s">
        <v>45</v>
      </c>
      <c r="C18" s="2">
        <v>6</v>
      </c>
      <c r="D18" s="4" t="s">
        <v>12</v>
      </c>
      <c r="E18" s="45">
        <v>625886.71097756969</v>
      </c>
      <c r="H18" s="151">
        <v>2013</v>
      </c>
      <c r="I18" s="40">
        <v>762843.30641017715</v>
      </c>
      <c r="M18">
        <v>2010</v>
      </c>
      <c r="N18" s="40">
        <v>23229.83022097902</v>
      </c>
    </row>
    <row r="19" spans="1:14" x14ac:dyDescent="0.25">
      <c r="A19" s="55">
        <v>1991</v>
      </c>
      <c r="B19" s="56" t="s">
        <v>45</v>
      </c>
      <c r="C19" s="57">
        <v>3</v>
      </c>
      <c r="D19" s="58" t="s">
        <v>9</v>
      </c>
      <c r="E19" s="61">
        <v>82781.034951218258</v>
      </c>
      <c r="H19" s="151">
        <v>2014</v>
      </c>
      <c r="I19" s="40">
        <v>982854.87536432338</v>
      </c>
      <c r="M19">
        <v>2011</v>
      </c>
      <c r="N19" s="40">
        <v>209645.70212735829</v>
      </c>
    </row>
    <row r="20" spans="1:14" x14ac:dyDescent="0.25">
      <c r="A20" s="55">
        <v>1991</v>
      </c>
      <c r="B20" s="56" t="s">
        <v>45</v>
      </c>
      <c r="C20" s="57">
        <v>4</v>
      </c>
      <c r="D20" s="58" t="s">
        <v>10</v>
      </c>
      <c r="E20" s="61">
        <v>11669.876531268263</v>
      </c>
      <c r="H20" s="151">
        <v>2015</v>
      </c>
      <c r="I20" s="40">
        <v>661257.9339102729</v>
      </c>
      <c r="M20">
        <v>2012</v>
      </c>
      <c r="N20" s="40">
        <v>209447.11250010232</v>
      </c>
    </row>
    <row r="21" spans="1:14" x14ac:dyDescent="0.25">
      <c r="A21" s="55">
        <v>1991</v>
      </c>
      <c r="B21" s="56" t="s">
        <v>45</v>
      </c>
      <c r="C21" s="57">
        <v>5</v>
      </c>
      <c r="D21" s="58" t="s">
        <v>11</v>
      </c>
      <c r="E21" s="61">
        <v>31.535202850947879</v>
      </c>
      <c r="H21" s="151">
        <v>2017</v>
      </c>
      <c r="I21" s="40">
        <v>158039.71445226943</v>
      </c>
      <c r="M21">
        <v>2013</v>
      </c>
      <c r="N21" s="40">
        <v>762843.30641017715</v>
      </c>
    </row>
    <row r="22" spans="1:14" x14ac:dyDescent="0.25">
      <c r="A22" s="55">
        <v>1991</v>
      </c>
      <c r="B22" s="56" t="s">
        <v>45</v>
      </c>
      <c r="C22" s="57">
        <v>6</v>
      </c>
      <c r="D22" s="58" t="s">
        <v>12</v>
      </c>
      <c r="E22" s="61">
        <v>43345.849382981098</v>
      </c>
      <c r="H22" s="151" t="s">
        <v>164</v>
      </c>
      <c r="I22" s="40"/>
      <c r="M22">
        <v>2014</v>
      </c>
      <c r="N22" s="40">
        <v>982854.87536432338</v>
      </c>
    </row>
    <row r="23" spans="1:14" x14ac:dyDescent="0.25">
      <c r="A23">
        <v>1992</v>
      </c>
      <c r="B23" s="31" t="s">
        <v>45</v>
      </c>
      <c r="C23" s="1">
        <v>1</v>
      </c>
      <c r="D23" s="4" t="s">
        <v>7</v>
      </c>
      <c r="E23" s="45">
        <v>74427.667587862627</v>
      </c>
      <c r="H23" s="151" t="s">
        <v>28</v>
      </c>
      <c r="I23" s="40">
        <v>4765977.0655322401</v>
      </c>
      <c r="M23">
        <v>2015</v>
      </c>
      <c r="N23" s="40">
        <v>661257.9339102729</v>
      </c>
    </row>
    <row r="24" spans="1:14" x14ac:dyDescent="0.25">
      <c r="A24">
        <v>1992</v>
      </c>
      <c r="B24" s="31" t="s">
        <v>45</v>
      </c>
      <c r="C24" s="1">
        <v>2</v>
      </c>
      <c r="D24" s="4" t="s">
        <v>8</v>
      </c>
      <c r="E24" s="45">
        <v>47636.504572333812</v>
      </c>
      <c r="M24">
        <v>2016</v>
      </c>
    </row>
    <row r="25" spans="1:14" x14ac:dyDescent="0.25">
      <c r="A25">
        <v>1992</v>
      </c>
      <c r="B25" s="31" t="s">
        <v>45</v>
      </c>
      <c r="C25" s="1">
        <v>3</v>
      </c>
      <c r="D25" s="4" t="s">
        <v>9</v>
      </c>
      <c r="E25" s="45">
        <v>12977.763183101102</v>
      </c>
      <c r="M25">
        <v>2017</v>
      </c>
      <c r="N25" s="40">
        <v>158039.71445226943</v>
      </c>
    </row>
    <row r="26" spans="1:14" x14ac:dyDescent="0.25">
      <c r="A26">
        <v>1992</v>
      </c>
      <c r="B26" s="31" t="s">
        <v>45</v>
      </c>
      <c r="C26" s="1">
        <v>4</v>
      </c>
      <c r="D26" s="4" t="s">
        <v>10</v>
      </c>
      <c r="E26" s="45">
        <v>2940.1881550024491</v>
      </c>
    </row>
    <row r="27" spans="1:14" x14ac:dyDescent="0.25">
      <c r="A27">
        <v>1992</v>
      </c>
      <c r="B27" s="31" t="s">
        <v>45</v>
      </c>
      <c r="C27" s="1">
        <v>5</v>
      </c>
      <c r="D27" s="4" t="s">
        <v>11</v>
      </c>
      <c r="E27" s="45">
        <v>24.860827828157781</v>
      </c>
    </row>
    <row r="28" spans="1:14" x14ac:dyDescent="0.25">
      <c r="A28">
        <v>1992</v>
      </c>
      <c r="B28" s="31" t="s">
        <v>45</v>
      </c>
      <c r="C28" s="1">
        <v>6</v>
      </c>
      <c r="D28" s="4" t="s">
        <v>12</v>
      </c>
      <c r="E28" s="45">
        <v>11.941367687257578</v>
      </c>
    </row>
    <row r="29" spans="1:14" x14ac:dyDescent="0.25">
      <c r="A29" s="55">
        <v>1996</v>
      </c>
      <c r="B29" s="56" t="s">
        <v>45</v>
      </c>
      <c r="C29" s="57">
        <v>1</v>
      </c>
      <c r="D29" s="58" t="s">
        <v>7</v>
      </c>
      <c r="E29" s="61">
        <v>1216.0529426343287</v>
      </c>
    </row>
    <row r="30" spans="1:14" x14ac:dyDescent="0.25">
      <c r="A30" s="55">
        <v>1996</v>
      </c>
      <c r="B30" s="56" t="s">
        <v>45</v>
      </c>
      <c r="C30" s="57">
        <v>2</v>
      </c>
      <c r="D30" s="58" t="s">
        <v>8</v>
      </c>
      <c r="E30" s="61">
        <v>8486.9425734651395</v>
      </c>
    </row>
    <row r="31" spans="1:14" x14ac:dyDescent="0.25">
      <c r="A31" s="55">
        <v>1996</v>
      </c>
      <c r="B31" s="56" t="s">
        <v>45</v>
      </c>
      <c r="C31" s="57">
        <v>3</v>
      </c>
      <c r="D31" s="58" t="s">
        <v>9</v>
      </c>
      <c r="E31" s="61">
        <v>6321.5201468098794</v>
      </c>
    </row>
    <row r="32" spans="1:14" x14ac:dyDescent="0.25">
      <c r="A32" s="55">
        <v>1996</v>
      </c>
      <c r="B32" s="56" t="s">
        <v>45</v>
      </c>
      <c r="C32" s="57">
        <v>4</v>
      </c>
      <c r="D32" s="58" t="s">
        <v>10</v>
      </c>
      <c r="E32" s="61">
        <v>24431.923381331519</v>
      </c>
    </row>
    <row r="33" spans="1:5" x14ac:dyDescent="0.25">
      <c r="A33" s="55">
        <v>1996</v>
      </c>
      <c r="B33" s="56" t="s">
        <v>45</v>
      </c>
      <c r="C33" s="57">
        <v>5</v>
      </c>
      <c r="D33" s="58" t="s">
        <v>11</v>
      </c>
      <c r="E33" s="61">
        <v>6991.9106864959431</v>
      </c>
    </row>
    <row r="34" spans="1:5" x14ac:dyDescent="0.25">
      <c r="A34">
        <v>1999</v>
      </c>
      <c r="B34" s="31" t="s">
        <v>45</v>
      </c>
      <c r="C34" s="1">
        <v>1</v>
      </c>
      <c r="D34" s="4" t="s">
        <v>7</v>
      </c>
      <c r="E34" s="45">
        <v>44899.011344194485</v>
      </c>
    </row>
    <row r="35" spans="1:5" x14ac:dyDescent="0.25">
      <c r="A35">
        <v>1999</v>
      </c>
      <c r="B35" s="31" t="s">
        <v>45</v>
      </c>
      <c r="C35" s="1">
        <v>2</v>
      </c>
      <c r="D35" s="4" t="s">
        <v>8</v>
      </c>
      <c r="E35" s="45">
        <v>107084.40477016315</v>
      </c>
    </row>
    <row r="36" spans="1:5" x14ac:dyDescent="0.25">
      <c r="A36">
        <v>1999</v>
      </c>
      <c r="B36" s="31" t="s">
        <v>45</v>
      </c>
      <c r="C36" s="1">
        <v>3</v>
      </c>
      <c r="D36" s="4" t="s">
        <v>9</v>
      </c>
      <c r="E36" s="45">
        <v>8818.579742052003</v>
      </c>
    </row>
    <row r="37" spans="1:5" x14ac:dyDescent="0.25">
      <c r="A37">
        <v>1999</v>
      </c>
      <c r="B37" s="31" t="s">
        <v>45</v>
      </c>
      <c r="C37" s="1">
        <v>4</v>
      </c>
      <c r="D37" s="4" t="s">
        <v>10</v>
      </c>
      <c r="E37" s="45">
        <v>29085.255867741413</v>
      </c>
    </row>
    <row r="38" spans="1:5" x14ac:dyDescent="0.25">
      <c r="A38">
        <v>1999</v>
      </c>
      <c r="B38" s="31" t="s">
        <v>45</v>
      </c>
      <c r="C38" s="1">
        <v>5</v>
      </c>
      <c r="D38" s="4" t="s">
        <v>11</v>
      </c>
      <c r="E38" s="45">
        <v>7644.1342759421523</v>
      </c>
    </row>
    <row r="39" spans="1:5" x14ac:dyDescent="0.25">
      <c r="A39">
        <v>1999</v>
      </c>
      <c r="B39" s="31" t="s">
        <v>45</v>
      </c>
      <c r="C39" s="1">
        <v>6</v>
      </c>
      <c r="D39" s="4" t="s">
        <v>12</v>
      </c>
      <c r="E39" s="45">
        <v>18774.068473101146</v>
      </c>
    </row>
    <row r="40" spans="1:5" x14ac:dyDescent="0.25">
      <c r="A40" s="55">
        <v>2000</v>
      </c>
      <c r="B40" s="56" t="s">
        <v>45</v>
      </c>
      <c r="C40" s="55">
        <v>1</v>
      </c>
      <c r="D40" s="58" t="s">
        <v>7</v>
      </c>
      <c r="E40" s="61">
        <v>57448.30313364412</v>
      </c>
    </row>
    <row r="41" spans="1:5" x14ac:dyDescent="0.25">
      <c r="A41" s="55">
        <v>2000</v>
      </c>
      <c r="B41" s="56" t="s">
        <v>45</v>
      </c>
      <c r="C41" s="55">
        <v>2</v>
      </c>
      <c r="D41" s="58" t="s">
        <v>8</v>
      </c>
      <c r="E41" s="61">
        <v>235.94742313727249</v>
      </c>
    </row>
    <row r="42" spans="1:5" x14ac:dyDescent="0.25">
      <c r="A42" s="55">
        <v>2000</v>
      </c>
      <c r="B42" s="56" t="s">
        <v>45</v>
      </c>
      <c r="C42" s="55">
        <v>3</v>
      </c>
      <c r="D42" s="58" t="s">
        <v>9</v>
      </c>
      <c r="E42" s="61">
        <v>29801.87715409365</v>
      </c>
    </row>
    <row r="43" spans="1:5" x14ac:dyDescent="0.25">
      <c r="A43" s="55">
        <v>2000</v>
      </c>
      <c r="B43" s="56" t="s">
        <v>45</v>
      </c>
      <c r="C43" s="55">
        <v>4</v>
      </c>
      <c r="D43" s="58" t="s">
        <v>10</v>
      </c>
      <c r="E43" s="61">
        <v>34248.153445983378</v>
      </c>
    </row>
    <row r="44" spans="1:5" x14ac:dyDescent="0.25">
      <c r="A44" s="55">
        <v>2000</v>
      </c>
      <c r="B44" s="56" t="s">
        <v>45</v>
      </c>
      <c r="C44" s="55">
        <v>5</v>
      </c>
      <c r="D44" s="58" t="s">
        <v>11</v>
      </c>
      <c r="E44" s="61">
        <v>1254.6237398728003</v>
      </c>
    </row>
    <row r="45" spans="1:5" x14ac:dyDescent="0.25">
      <c r="A45" s="55">
        <v>2000</v>
      </c>
      <c r="B45" s="56" t="s">
        <v>45</v>
      </c>
      <c r="C45" s="55">
        <v>6</v>
      </c>
      <c r="D45" s="58" t="s">
        <v>12</v>
      </c>
      <c r="E45" s="61">
        <v>1760.8735932491077</v>
      </c>
    </row>
    <row r="46" spans="1:5" x14ac:dyDescent="0.25">
      <c r="A46">
        <v>2001</v>
      </c>
      <c r="B46" s="31" t="s">
        <v>45</v>
      </c>
      <c r="C46" s="1">
        <v>1</v>
      </c>
      <c r="D46" s="4" t="s">
        <v>7</v>
      </c>
      <c r="E46" s="45">
        <v>1372.3266071404587</v>
      </c>
    </row>
    <row r="47" spans="1:5" x14ac:dyDescent="0.25">
      <c r="A47">
        <v>2001</v>
      </c>
      <c r="B47" s="31" t="s">
        <v>45</v>
      </c>
      <c r="C47" s="1">
        <v>2</v>
      </c>
      <c r="D47" s="4" t="s">
        <v>8</v>
      </c>
      <c r="E47" s="45">
        <v>2699.5728786552258</v>
      </c>
    </row>
    <row r="48" spans="1:5" x14ac:dyDescent="0.25">
      <c r="A48">
        <v>2001</v>
      </c>
      <c r="B48" s="31" t="s">
        <v>45</v>
      </c>
      <c r="C48" s="1">
        <v>3</v>
      </c>
      <c r="D48" s="4" t="s">
        <v>9</v>
      </c>
      <c r="E48" s="45">
        <v>69616.723261131308</v>
      </c>
    </row>
    <row r="49" spans="1:5" x14ac:dyDescent="0.25">
      <c r="A49">
        <v>2001</v>
      </c>
      <c r="B49" s="31" t="s">
        <v>45</v>
      </c>
      <c r="C49" s="1">
        <v>4</v>
      </c>
      <c r="D49" s="4" t="s">
        <v>10</v>
      </c>
      <c r="E49" s="45">
        <v>2408.9903574757523</v>
      </c>
    </row>
    <row r="50" spans="1:5" x14ac:dyDescent="0.25">
      <c r="A50">
        <v>2001</v>
      </c>
      <c r="B50" s="31" t="s">
        <v>45</v>
      </c>
      <c r="C50" s="1">
        <v>5</v>
      </c>
      <c r="D50" s="4" t="s">
        <v>11</v>
      </c>
      <c r="E50" s="45">
        <v>11195.174210505224</v>
      </c>
    </row>
    <row r="51" spans="1:5" x14ac:dyDescent="0.25">
      <c r="A51">
        <v>2001</v>
      </c>
      <c r="B51" s="31" t="s">
        <v>45</v>
      </c>
      <c r="C51" s="1">
        <v>6</v>
      </c>
      <c r="D51" s="4" t="s">
        <v>12</v>
      </c>
      <c r="E51" s="45">
        <v>1517.3191747273179</v>
      </c>
    </row>
    <row r="52" spans="1:5" x14ac:dyDescent="0.25">
      <c r="A52">
        <v>2001</v>
      </c>
      <c r="B52" s="31" t="s">
        <v>45</v>
      </c>
      <c r="C52" s="1">
        <v>7</v>
      </c>
      <c r="D52" s="4" t="s">
        <v>13</v>
      </c>
      <c r="E52" s="45">
        <v>616.98515800630241</v>
      </c>
    </row>
    <row r="53" spans="1:5" x14ac:dyDescent="0.25">
      <c r="A53">
        <v>2001</v>
      </c>
      <c r="B53" s="31" t="s">
        <v>45</v>
      </c>
      <c r="C53" s="1">
        <v>8</v>
      </c>
      <c r="D53" s="4" t="s">
        <v>14</v>
      </c>
      <c r="E53" s="45">
        <v>5212.1735838397108</v>
      </c>
    </row>
    <row r="54" spans="1:5" x14ac:dyDescent="0.25">
      <c r="A54">
        <v>2001</v>
      </c>
      <c r="B54" s="31" t="s">
        <v>45</v>
      </c>
      <c r="C54" s="1">
        <v>9</v>
      </c>
      <c r="D54" s="4" t="s">
        <v>15</v>
      </c>
      <c r="E54" s="45">
        <v>4888.6780343518658</v>
      </c>
    </row>
    <row r="55" spans="1:5" x14ac:dyDescent="0.25">
      <c r="A55">
        <v>2001</v>
      </c>
      <c r="B55" s="31" t="s">
        <v>45</v>
      </c>
      <c r="C55" s="1">
        <v>10</v>
      </c>
      <c r="D55" s="4" t="s">
        <v>16</v>
      </c>
      <c r="E55" s="45">
        <v>19000.917743586193</v>
      </c>
    </row>
    <row r="56" spans="1:5" x14ac:dyDescent="0.25">
      <c r="A56">
        <v>2001</v>
      </c>
      <c r="B56" s="31" t="s">
        <v>45</v>
      </c>
      <c r="C56" s="1">
        <v>11</v>
      </c>
      <c r="D56" s="4" t="s">
        <v>17</v>
      </c>
      <c r="E56" s="45">
        <v>0</v>
      </c>
    </row>
    <row r="57" spans="1:5" x14ac:dyDescent="0.25">
      <c r="A57">
        <v>2001</v>
      </c>
      <c r="B57" s="31" t="s">
        <v>45</v>
      </c>
      <c r="C57" s="1">
        <v>12</v>
      </c>
      <c r="D57" s="4" t="s">
        <v>18</v>
      </c>
      <c r="E57" s="45">
        <v>0</v>
      </c>
    </row>
    <row r="58" spans="1:5" x14ac:dyDescent="0.25">
      <c r="A58">
        <v>2001</v>
      </c>
      <c r="B58" s="31" t="s">
        <v>45</v>
      </c>
      <c r="C58" s="1">
        <v>13</v>
      </c>
      <c r="D58" s="4" t="s">
        <v>19</v>
      </c>
      <c r="E58" s="45">
        <v>10889.996257234183</v>
      </c>
    </row>
    <row r="59" spans="1:5" x14ac:dyDescent="0.25">
      <c r="A59" s="55">
        <v>2002</v>
      </c>
      <c r="B59" s="56" t="s">
        <v>45</v>
      </c>
      <c r="C59" s="57">
        <v>1</v>
      </c>
      <c r="D59" s="58" t="s">
        <v>7</v>
      </c>
      <c r="E59" s="61">
        <v>1371.820142144943</v>
      </c>
    </row>
    <row r="60" spans="1:5" x14ac:dyDescent="0.25">
      <c r="A60" s="55">
        <v>2002</v>
      </c>
      <c r="B60" s="56" t="s">
        <v>45</v>
      </c>
      <c r="C60" s="57">
        <v>2</v>
      </c>
      <c r="D60" s="58" t="s">
        <v>8</v>
      </c>
      <c r="E60" s="61">
        <v>1199.9027739538374</v>
      </c>
    </row>
    <row r="61" spans="1:5" x14ac:dyDescent="0.25">
      <c r="A61" s="55">
        <v>2002</v>
      </c>
      <c r="B61" s="56" t="s">
        <v>45</v>
      </c>
      <c r="C61" s="57">
        <v>3</v>
      </c>
      <c r="D61" s="58" t="s">
        <v>9</v>
      </c>
      <c r="E61" s="61">
        <v>15154.295167402553</v>
      </c>
    </row>
    <row r="62" spans="1:5" x14ac:dyDescent="0.25">
      <c r="A62" s="55"/>
      <c r="B62" s="56"/>
      <c r="C62" s="57"/>
      <c r="D62" s="58" t="s">
        <v>10</v>
      </c>
      <c r="E62" s="61"/>
    </row>
    <row r="63" spans="1:5" x14ac:dyDescent="0.25">
      <c r="A63" s="55">
        <v>2002</v>
      </c>
      <c r="B63" s="56" t="s">
        <v>45</v>
      </c>
      <c r="C63" s="57">
        <v>5</v>
      </c>
      <c r="D63" s="58" t="s">
        <v>11</v>
      </c>
      <c r="E63" s="61">
        <v>19554.338618244885</v>
      </c>
    </row>
    <row r="64" spans="1:5" x14ac:dyDescent="0.25">
      <c r="A64" s="55">
        <v>2002</v>
      </c>
      <c r="B64" s="56" t="s">
        <v>45</v>
      </c>
      <c r="C64" s="57">
        <v>6</v>
      </c>
      <c r="D64" s="58" t="s">
        <v>12</v>
      </c>
      <c r="E64" s="61">
        <v>4773.1314782469053</v>
      </c>
    </row>
    <row r="65" spans="1:5" x14ac:dyDescent="0.25">
      <c r="A65" s="55">
        <v>2002</v>
      </c>
      <c r="B65" s="56" t="s">
        <v>45</v>
      </c>
      <c r="C65" s="57">
        <v>7</v>
      </c>
      <c r="D65" s="58" t="s">
        <v>13</v>
      </c>
      <c r="E65" s="61">
        <v>1791.8908362748966</v>
      </c>
    </row>
    <row r="66" spans="1:5" x14ac:dyDescent="0.25">
      <c r="A66" s="55">
        <v>2002</v>
      </c>
      <c r="B66" s="56" t="s">
        <v>45</v>
      </c>
      <c r="C66" s="57">
        <v>8</v>
      </c>
      <c r="D66" s="58" t="s">
        <v>14</v>
      </c>
      <c r="E66" s="61">
        <v>6719.4271145574567</v>
      </c>
    </row>
    <row r="67" spans="1:5" x14ac:dyDescent="0.25">
      <c r="A67" s="55">
        <v>2002</v>
      </c>
      <c r="B67" s="56" t="s">
        <v>45</v>
      </c>
      <c r="C67" s="57">
        <v>9</v>
      </c>
      <c r="D67" s="58" t="s">
        <v>15</v>
      </c>
      <c r="E67" s="61">
        <v>4848.2775627359251</v>
      </c>
    </row>
    <row r="68" spans="1:5" x14ac:dyDescent="0.25">
      <c r="A68" s="55">
        <v>2002</v>
      </c>
      <c r="B68" s="56" t="s">
        <v>45</v>
      </c>
      <c r="C68" s="57">
        <v>10</v>
      </c>
      <c r="D68" s="58" t="s">
        <v>16</v>
      </c>
      <c r="E68" s="61">
        <v>25386.090852851798</v>
      </c>
    </row>
    <row r="69" spans="1:5" x14ac:dyDescent="0.25">
      <c r="A69" s="55">
        <v>2002</v>
      </c>
      <c r="B69" s="56" t="s">
        <v>45</v>
      </c>
      <c r="C69" s="57">
        <v>11</v>
      </c>
      <c r="D69" s="58" t="s">
        <v>17</v>
      </c>
      <c r="E69" s="61">
        <v>455.48919908171001</v>
      </c>
    </row>
    <row r="70" spans="1:5" x14ac:dyDescent="0.25">
      <c r="A70" s="55">
        <v>2002</v>
      </c>
      <c r="B70" s="56" t="s">
        <v>45</v>
      </c>
      <c r="C70" s="57">
        <v>12</v>
      </c>
      <c r="D70" s="58" t="s">
        <v>18</v>
      </c>
      <c r="E70" s="61">
        <v>148.42131421913879</v>
      </c>
    </row>
    <row r="71" spans="1:5" x14ac:dyDescent="0.25">
      <c r="A71" s="55">
        <v>2002</v>
      </c>
      <c r="B71" s="56" t="s">
        <v>45</v>
      </c>
      <c r="C71" s="57">
        <v>13</v>
      </c>
      <c r="D71" s="58" t="s">
        <v>19</v>
      </c>
      <c r="E71" s="61">
        <v>2461.9313888433467</v>
      </c>
    </row>
    <row r="72" spans="1:5" x14ac:dyDescent="0.25">
      <c r="A72">
        <v>2003</v>
      </c>
      <c r="B72" s="31" t="s">
        <v>45</v>
      </c>
      <c r="C72" s="57">
        <v>1</v>
      </c>
      <c r="D72" s="4" t="s">
        <v>7</v>
      </c>
    </row>
    <row r="73" spans="1:5" x14ac:dyDescent="0.25">
      <c r="A73">
        <v>2003</v>
      </c>
      <c r="B73" s="31" t="s">
        <v>45</v>
      </c>
      <c r="C73" s="1">
        <v>2</v>
      </c>
      <c r="D73" s="3" t="s">
        <v>8</v>
      </c>
      <c r="E73" s="45">
        <v>27771.410211130555</v>
      </c>
    </row>
    <row r="74" spans="1:5" x14ac:dyDescent="0.25">
      <c r="A74">
        <v>2003</v>
      </c>
      <c r="B74" s="31" t="s">
        <v>45</v>
      </c>
      <c r="C74" s="1">
        <v>3</v>
      </c>
      <c r="D74" s="3" t="s">
        <v>9</v>
      </c>
      <c r="E74" s="45">
        <v>36237.718573701</v>
      </c>
    </row>
    <row r="75" spans="1:5" x14ac:dyDescent="0.25">
      <c r="A75">
        <v>2003</v>
      </c>
      <c r="B75" s="31" t="s">
        <v>45</v>
      </c>
      <c r="C75" s="1">
        <v>4</v>
      </c>
      <c r="D75" s="3" t="s">
        <v>10</v>
      </c>
    </row>
    <row r="76" spans="1:5" x14ac:dyDescent="0.25">
      <c r="A76">
        <v>2003</v>
      </c>
      <c r="B76" s="31" t="s">
        <v>45</v>
      </c>
      <c r="C76" s="1">
        <v>5</v>
      </c>
      <c r="D76" s="3" t="s">
        <v>11</v>
      </c>
      <c r="E76" s="45">
        <v>14614.976877751549</v>
      </c>
    </row>
    <row r="77" spans="1:5" x14ac:dyDescent="0.25">
      <c r="A77">
        <v>2003</v>
      </c>
      <c r="B77" s="31" t="s">
        <v>45</v>
      </c>
      <c r="C77" s="1">
        <v>6</v>
      </c>
      <c r="D77" s="3" t="s">
        <v>12</v>
      </c>
      <c r="E77" s="45">
        <v>7234.0800413991656</v>
      </c>
    </row>
    <row r="78" spans="1:5" x14ac:dyDescent="0.25">
      <c r="A78">
        <v>2003</v>
      </c>
      <c r="B78" s="31" t="s">
        <v>45</v>
      </c>
      <c r="C78" s="1">
        <v>7</v>
      </c>
      <c r="D78" s="3" t="s">
        <v>13</v>
      </c>
      <c r="E78" s="45">
        <v>1415.7015373908214</v>
      </c>
    </row>
    <row r="79" spans="1:5" x14ac:dyDescent="0.25">
      <c r="A79">
        <v>2003</v>
      </c>
      <c r="B79" s="31" t="s">
        <v>45</v>
      </c>
      <c r="C79" s="1">
        <v>8</v>
      </c>
      <c r="D79" s="3" t="s">
        <v>14</v>
      </c>
      <c r="E79" s="45">
        <v>5969.6487836212746</v>
      </c>
    </row>
    <row r="80" spans="1:5" x14ac:dyDescent="0.25">
      <c r="A80">
        <v>2003</v>
      </c>
      <c r="B80" s="31" t="s">
        <v>45</v>
      </c>
      <c r="C80" s="1">
        <v>9</v>
      </c>
      <c r="D80" s="3" t="s">
        <v>15</v>
      </c>
      <c r="E80" s="45">
        <v>4214.5558076680409</v>
      </c>
    </row>
    <row r="81" spans="1:5" x14ac:dyDescent="0.25">
      <c r="A81">
        <v>2003</v>
      </c>
      <c r="B81" s="31" t="s">
        <v>45</v>
      </c>
      <c r="C81" s="1">
        <v>10</v>
      </c>
      <c r="D81" s="3" t="s">
        <v>16</v>
      </c>
      <c r="E81" s="45">
        <v>10681.017339446797</v>
      </c>
    </row>
    <row r="82" spans="1:5" x14ac:dyDescent="0.25">
      <c r="A82">
        <v>2003</v>
      </c>
      <c r="B82" s="31" t="s">
        <v>45</v>
      </c>
      <c r="C82" s="1">
        <v>11</v>
      </c>
      <c r="D82" s="3" t="s">
        <v>17</v>
      </c>
    </row>
    <row r="83" spans="1:5" x14ac:dyDescent="0.25">
      <c r="A83">
        <v>2003</v>
      </c>
      <c r="B83" s="31" t="s">
        <v>45</v>
      </c>
      <c r="C83" s="1">
        <v>12</v>
      </c>
      <c r="D83" s="3" t="s">
        <v>18</v>
      </c>
    </row>
    <row r="84" spans="1:5" x14ac:dyDescent="0.25">
      <c r="A84">
        <v>2003</v>
      </c>
      <c r="B84" s="31" t="s">
        <v>45</v>
      </c>
      <c r="C84" s="1">
        <v>13</v>
      </c>
      <c r="D84" s="3" t="s">
        <v>19</v>
      </c>
      <c r="E84" s="45">
        <v>0</v>
      </c>
    </row>
    <row r="85" spans="1:5" x14ac:dyDescent="0.25">
      <c r="A85" s="55">
        <v>2004</v>
      </c>
      <c r="B85" s="56" t="s">
        <v>45</v>
      </c>
      <c r="C85" s="57">
        <v>1</v>
      </c>
      <c r="D85" s="63" t="s">
        <v>7</v>
      </c>
      <c r="E85" s="61">
        <v>781.75222160825138</v>
      </c>
    </row>
    <row r="86" spans="1:5" x14ac:dyDescent="0.25">
      <c r="A86" s="55">
        <v>2004</v>
      </c>
      <c r="B86" s="56" t="s">
        <v>45</v>
      </c>
      <c r="C86" s="57">
        <v>2</v>
      </c>
      <c r="D86" s="63" t="s">
        <v>8</v>
      </c>
      <c r="E86" s="61">
        <v>19190.740584407733</v>
      </c>
    </row>
    <row r="87" spans="1:5" x14ac:dyDescent="0.25">
      <c r="A87" s="55">
        <v>2004</v>
      </c>
      <c r="B87" s="56" t="s">
        <v>45</v>
      </c>
      <c r="C87" s="57">
        <v>3</v>
      </c>
      <c r="D87" s="63" t="s">
        <v>9</v>
      </c>
      <c r="E87" s="61">
        <v>54909.155632157686</v>
      </c>
    </row>
    <row r="88" spans="1:5" x14ac:dyDescent="0.25">
      <c r="A88" s="55">
        <v>2004</v>
      </c>
      <c r="B88" s="56" t="s">
        <v>45</v>
      </c>
      <c r="C88" s="57">
        <v>4</v>
      </c>
      <c r="D88" s="63" t="s">
        <v>10</v>
      </c>
      <c r="E88" s="61">
        <v>4017.7624537717716</v>
      </c>
    </row>
    <row r="89" spans="1:5" x14ac:dyDescent="0.25">
      <c r="A89" s="55">
        <v>2004</v>
      </c>
      <c r="B89" s="56" t="s">
        <v>45</v>
      </c>
      <c r="C89" s="57">
        <v>5</v>
      </c>
      <c r="D89" s="63" t="s">
        <v>11</v>
      </c>
      <c r="E89" s="61">
        <v>12106.878062014533</v>
      </c>
    </row>
    <row r="90" spans="1:5" x14ac:dyDescent="0.25">
      <c r="A90" s="55">
        <v>2004</v>
      </c>
      <c r="B90" s="56" t="s">
        <v>45</v>
      </c>
      <c r="C90" s="57">
        <v>6</v>
      </c>
      <c r="D90" s="63" t="s">
        <v>12</v>
      </c>
      <c r="E90" s="61">
        <v>20017.285121903802</v>
      </c>
    </row>
    <row r="91" spans="1:5" x14ac:dyDescent="0.25">
      <c r="A91" s="55">
        <v>2004</v>
      </c>
      <c r="B91" s="56" t="s">
        <v>45</v>
      </c>
      <c r="C91" s="57">
        <v>7</v>
      </c>
      <c r="D91" s="63" t="s">
        <v>13</v>
      </c>
      <c r="E91" s="61">
        <v>472.40860468402167</v>
      </c>
    </row>
    <row r="92" spans="1:5" x14ac:dyDescent="0.25">
      <c r="A92" s="55">
        <v>2004</v>
      </c>
      <c r="B92" s="56" t="s">
        <v>45</v>
      </c>
      <c r="C92" s="57">
        <v>8</v>
      </c>
      <c r="D92" s="63" t="s">
        <v>14</v>
      </c>
      <c r="E92" s="61">
        <v>2038.6699221691349</v>
      </c>
    </row>
    <row r="93" spans="1:5" x14ac:dyDescent="0.25">
      <c r="A93" s="55">
        <v>2004</v>
      </c>
      <c r="B93" s="56" t="s">
        <v>45</v>
      </c>
      <c r="C93" s="57">
        <v>9</v>
      </c>
      <c r="D93" s="63" t="s">
        <v>15</v>
      </c>
      <c r="E93" s="61">
        <v>3202.3143578619593</v>
      </c>
    </row>
    <row r="94" spans="1:5" x14ac:dyDescent="0.25">
      <c r="A94" s="55">
        <v>2004</v>
      </c>
      <c r="B94" s="56" t="s">
        <v>45</v>
      </c>
      <c r="C94" s="57">
        <v>10</v>
      </c>
      <c r="D94" s="63" t="s">
        <v>16</v>
      </c>
      <c r="E94" s="61">
        <v>7260.7489689156346</v>
      </c>
    </row>
    <row r="95" spans="1:5" x14ac:dyDescent="0.25">
      <c r="A95" s="55">
        <v>2004</v>
      </c>
      <c r="B95" s="56" t="s">
        <v>45</v>
      </c>
      <c r="C95" s="57">
        <v>11</v>
      </c>
      <c r="D95" s="63" t="s">
        <v>17</v>
      </c>
      <c r="E95" s="61">
        <v>98.935179149480533</v>
      </c>
    </row>
    <row r="96" spans="1:5" x14ac:dyDescent="0.25">
      <c r="A96" s="55">
        <v>2004</v>
      </c>
      <c r="B96" s="56" t="s">
        <v>45</v>
      </c>
      <c r="C96" s="57">
        <v>12</v>
      </c>
      <c r="D96" s="63" t="s">
        <v>18</v>
      </c>
      <c r="E96" s="61">
        <v>0</v>
      </c>
    </row>
    <row r="97" spans="1:5" x14ac:dyDescent="0.25">
      <c r="A97" s="55">
        <v>2004</v>
      </c>
      <c r="B97" s="56" t="s">
        <v>45</v>
      </c>
      <c r="C97" s="57">
        <v>13</v>
      </c>
      <c r="D97" s="63" t="s">
        <v>19</v>
      </c>
      <c r="E97" s="61">
        <v>1062.9855290534742</v>
      </c>
    </row>
    <row r="98" spans="1:5" x14ac:dyDescent="0.25">
      <c r="A98" s="16">
        <v>2005</v>
      </c>
      <c r="B98" s="42" t="s">
        <v>45</v>
      </c>
      <c r="C98" s="33">
        <v>1</v>
      </c>
      <c r="D98" s="43" t="s">
        <v>7</v>
      </c>
      <c r="E98" s="46">
        <v>12640.196844771013</v>
      </c>
    </row>
    <row r="99" spans="1:5" x14ac:dyDescent="0.25">
      <c r="A99" s="16">
        <v>2005</v>
      </c>
      <c r="B99" s="42" t="s">
        <v>45</v>
      </c>
      <c r="C99" s="33">
        <v>2</v>
      </c>
      <c r="D99" s="43" t="s">
        <v>8</v>
      </c>
      <c r="E99" s="46">
        <v>334.30097603238386</v>
      </c>
    </row>
    <row r="100" spans="1:5" x14ac:dyDescent="0.25">
      <c r="A100" s="16">
        <v>2005</v>
      </c>
      <c r="B100" s="42" t="s">
        <v>45</v>
      </c>
      <c r="C100" s="33">
        <v>3</v>
      </c>
      <c r="D100" s="43" t="s">
        <v>9</v>
      </c>
      <c r="E100" s="46">
        <v>28898.556191212872</v>
      </c>
    </row>
    <row r="101" spans="1:5" x14ac:dyDescent="0.25">
      <c r="A101" s="16">
        <v>2005</v>
      </c>
      <c r="B101" s="42" t="s">
        <v>45</v>
      </c>
      <c r="C101" s="33">
        <v>4</v>
      </c>
      <c r="D101" s="43" t="s">
        <v>10</v>
      </c>
      <c r="E101" s="46"/>
    </row>
    <row r="102" spans="1:5" x14ac:dyDescent="0.25">
      <c r="A102" s="16">
        <v>2005</v>
      </c>
      <c r="B102" s="42" t="s">
        <v>45</v>
      </c>
      <c r="C102" s="33">
        <v>5</v>
      </c>
      <c r="D102" s="43" t="s">
        <v>11</v>
      </c>
      <c r="E102" s="46">
        <v>46004.195315729477</v>
      </c>
    </row>
    <row r="103" spans="1:5" x14ac:dyDescent="0.25">
      <c r="A103" s="16">
        <v>2005</v>
      </c>
      <c r="B103" s="42" t="s">
        <v>45</v>
      </c>
      <c r="C103" s="33">
        <v>6</v>
      </c>
      <c r="D103" s="43" t="s">
        <v>12</v>
      </c>
      <c r="E103" s="46">
        <v>8237.7735187611815</v>
      </c>
    </row>
    <row r="104" spans="1:5" x14ac:dyDescent="0.25">
      <c r="A104" s="16">
        <v>2005</v>
      </c>
      <c r="B104" s="42" t="s">
        <v>45</v>
      </c>
      <c r="C104" s="33">
        <v>7</v>
      </c>
      <c r="D104" s="43" t="s">
        <v>13</v>
      </c>
      <c r="E104" s="46">
        <v>1339.9252156896298</v>
      </c>
    </row>
    <row r="105" spans="1:5" x14ac:dyDescent="0.25">
      <c r="A105" s="16">
        <v>2005</v>
      </c>
      <c r="B105" s="42" t="s">
        <v>45</v>
      </c>
      <c r="C105" s="33">
        <v>8</v>
      </c>
      <c r="D105" s="43" t="s">
        <v>14</v>
      </c>
      <c r="E105" s="46">
        <v>349.66857342076628</v>
      </c>
    </row>
    <row r="106" spans="1:5" x14ac:dyDescent="0.25">
      <c r="A106" s="16">
        <v>2005</v>
      </c>
      <c r="B106" s="42" t="s">
        <v>45</v>
      </c>
      <c r="C106" s="33">
        <v>9</v>
      </c>
      <c r="D106" s="43" t="s">
        <v>15</v>
      </c>
      <c r="E106" s="46">
        <v>0</v>
      </c>
    </row>
    <row r="107" spans="1:5" x14ac:dyDescent="0.25">
      <c r="A107" s="16">
        <v>2005</v>
      </c>
      <c r="B107" s="42" t="s">
        <v>45</v>
      </c>
      <c r="C107" s="33">
        <v>10</v>
      </c>
      <c r="D107" s="43" t="s">
        <v>16</v>
      </c>
      <c r="E107" s="46">
        <v>0</v>
      </c>
    </row>
    <row r="108" spans="1:5" x14ac:dyDescent="0.25">
      <c r="A108" s="16">
        <v>2005</v>
      </c>
      <c r="B108" s="42" t="s">
        <v>45</v>
      </c>
      <c r="C108" s="33">
        <v>12</v>
      </c>
      <c r="D108" s="43" t="s">
        <v>18</v>
      </c>
      <c r="E108" s="46">
        <v>0</v>
      </c>
    </row>
    <row r="109" spans="1:5" x14ac:dyDescent="0.25">
      <c r="A109" s="16">
        <v>2005</v>
      </c>
      <c r="B109" s="42" t="s">
        <v>45</v>
      </c>
      <c r="C109" s="33">
        <v>13</v>
      </c>
      <c r="D109" s="43" t="s">
        <v>19</v>
      </c>
      <c r="E109" s="46">
        <v>269.19805520439922</v>
      </c>
    </row>
    <row r="110" spans="1:5" x14ac:dyDescent="0.25">
      <c r="A110" s="62">
        <v>2007</v>
      </c>
      <c r="B110" s="56" t="s">
        <v>45</v>
      </c>
      <c r="C110" s="57">
        <v>1</v>
      </c>
      <c r="D110" s="63" t="s">
        <v>7</v>
      </c>
      <c r="E110" s="61">
        <v>8615.0009035251842</v>
      </c>
    </row>
    <row r="111" spans="1:5" x14ac:dyDescent="0.25">
      <c r="A111" s="62">
        <v>2007</v>
      </c>
      <c r="B111" s="56" t="s">
        <v>45</v>
      </c>
      <c r="C111" s="57">
        <v>2</v>
      </c>
      <c r="D111" s="63" t="s">
        <v>8</v>
      </c>
      <c r="E111" s="61">
        <v>79917.172524480804</v>
      </c>
    </row>
    <row r="112" spans="1:5" x14ac:dyDescent="0.25">
      <c r="A112" s="62">
        <v>2007</v>
      </c>
      <c r="B112" s="56" t="s">
        <v>45</v>
      </c>
      <c r="C112" s="57">
        <v>3</v>
      </c>
      <c r="D112" s="63" t="s">
        <v>9</v>
      </c>
      <c r="E112" s="61"/>
    </row>
    <row r="113" spans="1:5" x14ac:dyDescent="0.25">
      <c r="A113" s="62">
        <v>2007</v>
      </c>
      <c r="B113" s="56" t="s">
        <v>45</v>
      </c>
      <c r="C113" s="57">
        <v>4</v>
      </c>
      <c r="D113" s="63" t="s">
        <v>10</v>
      </c>
      <c r="E113" s="61">
        <v>0</v>
      </c>
    </row>
    <row r="114" spans="1:5" x14ac:dyDescent="0.25">
      <c r="A114" s="62">
        <v>2007</v>
      </c>
      <c r="B114" s="56" t="s">
        <v>45</v>
      </c>
      <c r="C114" s="57">
        <v>5</v>
      </c>
      <c r="D114" s="63" t="s">
        <v>11</v>
      </c>
      <c r="E114" s="61"/>
    </row>
    <row r="115" spans="1:5" x14ac:dyDescent="0.25">
      <c r="A115" s="62">
        <v>2007</v>
      </c>
      <c r="B115" s="56" t="s">
        <v>45</v>
      </c>
      <c r="C115" s="57">
        <v>6</v>
      </c>
      <c r="D115" s="63" t="s">
        <v>12</v>
      </c>
      <c r="E115" s="61">
        <v>35844.714279161351</v>
      </c>
    </row>
    <row r="116" spans="1:5" x14ac:dyDescent="0.25">
      <c r="A116" s="62">
        <v>2007</v>
      </c>
      <c r="B116" s="56" t="s">
        <v>45</v>
      </c>
      <c r="C116" s="57">
        <v>7</v>
      </c>
      <c r="D116" s="63" t="s">
        <v>13</v>
      </c>
      <c r="E116" s="61">
        <v>25447.335996547277</v>
      </c>
    </row>
    <row r="117" spans="1:5" x14ac:dyDescent="0.25">
      <c r="A117" s="62">
        <v>2007</v>
      </c>
      <c r="B117" s="56" t="s">
        <v>45</v>
      </c>
      <c r="C117" s="57">
        <v>8</v>
      </c>
      <c r="D117" s="63" t="s">
        <v>14</v>
      </c>
      <c r="E117" s="61">
        <v>28617.206289876929</v>
      </c>
    </row>
    <row r="118" spans="1:5" x14ac:dyDescent="0.25">
      <c r="A118" s="62">
        <v>2007</v>
      </c>
      <c r="B118" s="56" t="s">
        <v>45</v>
      </c>
      <c r="C118" s="57">
        <v>9</v>
      </c>
      <c r="D118" s="63" t="s">
        <v>15</v>
      </c>
      <c r="E118" s="61">
        <v>19872.372146677244</v>
      </c>
    </row>
    <row r="119" spans="1:5" x14ac:dyDescent="0.25">
      <c r="A119" s="62">
        <v>2007</v>
      </c>
      <c r="B119" s="56" t="s">
        <v>45</v>
      </c>
      <c r="C119" s="57">
        <v>10</v>
      </c>
      <c r="D119" s="63" t="s">
        <v>16</v>
      </c>
      <c r="E119" s="61">
        <v>86795.8457340366</v>
      </c>
    </row>
    <row r="120" spans="1:5" x14ac:dyDescent="0.25">
      <c r="A120" s="62">
        <v>2007</v>
      </c>
      <c r="B120" s="56" t="s">
        <v>45</v>
      </c>
      <c r="C120" s="57">
        <v>11</v>
      </c>
      <c r="D120" s="63" t="s">
        <v>17</v>
      </c>
      <c r="E120" s="61">
        <v>1446.6549142594151</v>
      </c>
    </row>
    <row r="121" spans="1:5" x14ac:dyDescent="0.25">
      <c r="A121" s="62">
        <v>2007</v>
      </c>
      <c r="B121" s="56" t="s">
        <v>45</v>
      </c>
      <c r="C121" s="57">
        <v>12</v>
      </c>
      <c r="D121" s="63" t="s">
        <v>18</v>
      </c>
      <c r="E121" s="61">
        <v>1.3994877739101586</v>
      </c>
    </row>
    <row r="122" spans="1:5" x14ac:dyDescent="0.25">
      <c r="A122" s="62">
        <v>2007</v>
      </c>
      <c r="B122" s="56" t="s">
        <v>45</v>
      </c>
      <c r="C122" s="57">
        <v>13</v>
      </c>
      <c r="D122" s="63" t="s">
        <v>19</v>
      </c>
      <c r="E122" s="61">
        <v>13919.482063840858</v>
      </c>
    </row>
    <row r="123" spans="1:5" x14ac:dyDescent="0.25">
      <c r="A123" s="48">
        <v>2008</v>
      </c>
      <c r="B123" s="42" t="s">
        <v>45</v>
      </c>
      <c r="C123" s="33">
        <v>1</v>
      </c>
      <c r="D123" s="43" t="s">
        <v>7</v>
      </c>
      <c r="E123" s="46">
        <v>19266.671796028244</v>
      </c>
    </row>
    <row r="124" spans="1:5" x14ac:dyDescent="0.25">
      <c r="A124" s="48">
        <v>2008</v>
      </c>
      <c r="B124" s="42" t="s">
        <v>45</v>
      </c>
      <c r="C124" s="33">
        <v>2</v>
      </c>
      <c r="D124" s="43" t="s">
        <v>8</v>
      </c>
      <c r="E124" s="46">
        <v>18242.561452812206</v>
      </c>
    </row>
    <row r="125" spans="1:5" x14ac:dyDescent="0.25">
      <c r="A125" s="48">
        <v>2008</v>
      </c>
      <c r="B125" s="42" t="s">
        <v>45</v>
      </c>
      <c r="C125" s="33">
        <v>3</v>
      </c>
      <c r="D125" s="43" t="s">
        <v>9</v>
      </c>
      <c r="E125" s="46">
        <v>68252.958517816704</v>
      </c>
    </row>
    <row r="126" spans="1:5" x14ac:dyDescent="0.25">
      <c r="A126" s="48">
        <v>2008</v>
      </c>
      <c r="B126" s="42" t="s">
        <v>45</v>
      </c>
      <c r="C126" s="33">
        <v>4</v>
      </c>
      <c r="D126" s="43" t="s">
        <v>10</v>
      </c>
      <c r="E126" s="46">
        <v>4831.6948143933632</v>
      </c>
    </row>
    <row r="127" spans="1:5" x14ac:dyDescent="0.25">
      <c r="A127" s="48">
        <v>2008</v>
      </c>
      <c r="B127" s="42" t="s">
        <v>45</v>
      </c>
      <c r="C127" s="33">
        <v>5</v>
      </c>
      <c r="D127" s="43" t="s">
        <v>11</v>
      </c>
      <c r="E127" s="46">
        <v>23062.246941035737</v>
      </c>
    </row>
    <row r="128" spans="1:5" x14ac:dyDescent="0.25">
      <c r="A128" s="48">
        <v>2008</v>
      </c>
      <c r="B128" s="42" t="s">
        <v>45</v>
      </c>
      <c r="C128" s="33">
        <v>6</v>
      </c>
      <c r="D128" s="43" t="s">
        <v>12</v>
      </c>
      <c r="E128" s="46">
        <v>10201.911698027219</v>
      </c>
    </row>
    <row r="129" spans="1:5" x14ac:dyDescent="0.25">
      <c r="A129" s="48">
        <v>2008</v>
      </c>
      <c r="B129" s="42" t="s">
        <v>45</v>
      </c>
      <c r="C129" s="33">
        <v>7</v>
      </c>
      <c r="D129" s="43" t="s">
        <v>13</v>
      </c>
      <c r="E129" s="46">
        <v>589.47151398363872</v>
      </c>
    </row>
    <row r="130" spans="1:5" x14ac:dyDescent="0.25">
      <c r="A130" s="48">
        <v>2008</v>
      </c>
      <c r="B130" s="42" t="s">
        <v>45</v>
      </c>
      <c r="C130" s="33">
        <v>8</v>
      </c>
      <c r="D130" s="43" t="s">
        <v>14</v>
      </c>
      <c r="E130" s="46">
        <v>66836.411500426519</v>
      </c>
    </row>
    <row r="131" spans="1:5" x14ac:dyDescent="0.25">
      <c r="A131" s="48">
        <v>2008</v>
      </c>
      <c r="B131" s="42" t="s">
        <v>45</v>
      </c>
      <c r="C131" s="33">
        <v>9</v>
      </c>
      <c r="D131" s="43" t="s">
        <v>15</v>
      </c>
      <c r="E131" s="46">
        <v>2197.6711725124514</v>
      </c>
    </row>
    <row r="132" spans="1:5" x14ac:dyDescent="0.25">
      <c r="A132" s="48">
        <v>2008</v>
      </c>
      <c r="B132" s="42" t="s">
        <v>45</v>
      </c>
      <c r="C132" s="33">
        <v>10</v>
      </c>
      <c r="D132" s="43" t="s">
        <v>16</v>
      </c>
      <c r="E132" s="46">
        <v>34129.801555342259</v>
      </c>
    </row>
    <row r="133" spans="1:5" x14ac:dyDescent="0.25">
      <c r="A133" s="48">
        <v>2008</v>
      </c>
      <c r="B133" s="42" t="s">
        <v>45</v>
      </c>
      <c r="C133" s="33">
        <v>11</v>
      </c>
      <c r="D133" s="43" t="s">
        <v>17</v>
      </c>
      <c r="E133" s="46">
        <v>771.03273475013532</v>
      </c>
    </row>
    <row r="134" spans="1:5" x14ac:dyDescent="0.25">
      <c r="A134" s="48">
        <v>2008</v>
      </c>
      <c r="B134" s="42" t="s">
        <v>45</v>
      </c>
      <c r="C134" s="33">
        <v>12</v>
      </c>
      <c r="D134" s="43" t="s">
        <v>18</v>
      </c>
      <c r="E134" s="46">
        <v>3224.3771907137657</v>
      </c>
    </row>
    <row r="135" spans="1:5" x14ac:dyDescent="0.25">
      <c r="A135" s="48">
        <v>2008</v>
      </c>
      <c r="B135" s="42" t="s">
        <v>45</v>
      </c>
      <c r="C135" s="33">
        <v>13</v>
      </c>
      <c r="D135" s="43" t="s">
        <v>19</v>
      </c>
      <c r="E135" s="46">
        <v>11248.191159107313</v>
      </c>
    </row>
    <row r="136" spans="1:5" x14ac:dyDescent="0.25">
      <c r="A136" s="48">
        <v>2009</v>
      </c>
      <c r="B136" s="42" t="s">
        <v>45</v>
      </c>
      <c r="C136" s="1">
        <v>1</v>
      </c>
      <c r="D136" s="43" t="s">
        <v>7</v>
      </c>
      <c r="E136" s="46">
        <v>13921.690736391638</v>
      </c>
    </row>
    <row r="137" spans="1:5" x14ac:dyDescent="0.25">
      <c r="A137" s="48">
        <v>2009</v>
      </c>
      <c r="B137" s="42" t="s">
        <v>45</v>
      </c>
      <c r="C137" s="1">
        <v>2</v>
      </c>
      <c r="D137" s="43" t="s">
        <v>8</v>
      </c>
      <c r="E137" s="46">
        <v>46492.302103200273</v>
      </c>
    </row>
    <row r="138" spans="1:5" x14ac:dyDescent="0.25">
      <c r="A138" s="48">
        <v>2009</v>
      </c>
      <c r="B138" s="42" t="s">
        <v>45</v>
      </c>
      <c r="C138" s="1">
        <v>3</v>
      </c>
      <c r="D138" s="43" t="s">
        <v>9</v>
      </c>
      <c r="E138" s="46">
        <v>37807.512479463454</v>
      </c>
    </row>
    <row r="139" spans="1:5" x14ac:dyDescent="0.25">
      <c r="A139" s="48">
        <v>2009</v>
      </c>
      <c r="B139" s="42" t="s">
        <v>45</v>
      </c>
      <c r="C139" s="1">
        <v>5</v>
      </c>
      <c r="D139" s="43" t="s">
        <v>11</v>
      </c>
      <c r="E139" s="46">
        <v>42662.165474979338</v>
      </c>
    </row>
    <row r="140" spans="1:5" x14ac:dyDescent="0.25">
      <c r="A140" s="48">
        <v>2009</v>
      </c>
      <c r="B140" s="42" t="s">
        <v>45</v>
      </c>
      <c r="C140" s="1">
        <v>6</v>
      </c>
      <c r="D140" s="43" t="s">
        <v>12</v>
      </c>
      <c r="E140" s="46">
        <v>11362.639389314627</v>
      </c>
    </row>
    <row r="141" spans="1:5" x14ac:dyDescent="0.25">
      <c r="A141" s="48">
        <v>2009</v>
      </c>
      <c r="B141" s="42" t="s">
        <v>45</v>
      </c>
      <c r="C141" s="1">
        <v>7</v>
      </c>
      <c r="D141" s="43" t="s">
        <v>13</v>
      </c>
      <c r="E141" s="46">
        <v>1240.3705928839743</v>
      </c>
    </row>
    <row r="142" spans="1:5" x14ac:dyDescent="0.25">
      <c r="A142" s="48">
        <v>2009</v>
      </c>
      <c r="B142" s="42" t="s">
        <v>45</v>
      </c>
      <c r="C142" s="1">
        <v>8</v>
      </c>
      <c r="D142" s="43" t="s">
        <v>14</v>
      </c>
      <c r="E142" s="46">
        <v>26447.144182334239</v>
      </c>
    </row>
    <row r="143" spans="1:5" x14ac:dyDescent="0.25">
      <c r="A143" s="48">
        <v>2009</v>
      </c>
      <c r="B143" s="42" t="s">
        <v>45</v>
      </c>
      <c r="C143" s="1">
        <v>9</v>
      </c>
      <c r="D143" s="43" t="s">
        <v>15</v>
      </c>
      <c r="E143" s="46">
        <v>10121.304053337011</v>
      </c>
    </row>
    <row r="144" spans="1:5" x14ac:dyDescent="0.25">
      <c r="A144" s="48">
        <v>2009</v>
      </c>
      <c r="B144" s="42" t="s">
        <v>45</v>
      </c>
      <c r="C144" s="1">
        <v>10</v>
      </c>
      <c r="D144" s="43" t="s">
        <v>16</v>
      </c>
      <c r="E144" s="46">
        <v>57671.668891561523</v>
      </c>
    </row>
    <row r="145" spans="1:5" x14ac:dyDescent="0.25">
      <c r="A145" s="48">
        <v>2009</v>
      </c>
      <c r="B145" s="42" t="s">
        <v>45</v>
      </c>
      <c r="C145" s="1">
        <v>11</v>
      </c>
      <c r="D145" s="43" t="s">
        <v>17</v>
      </c>
      <c r="E145" s="46">
        <v>12671.894356078585</v>
      </c>
    </row>
    <row r="146" spans="1:5" x14ac:dyDescent="0.25">
      <c r="A146" s="48">
        <v>2009</v>
      </c>
      <c r="B146" s="42" t="s">
        <v>45</v>
      </c>
      <c r="C146" s="1">
        <v>12</v>
      </c>
      <c r="D146" s="43" t="s">
        <v>18</v>
      </c>
      <c r="E146" s="46">
        <v>29.312321043208925</v>
      </c>
    </row>
    <row r="147" spans="1:5" x14ac:dyDescent="0.25">
      <c r="A147" s="48">
        <v>2009</v>
      </c>
      <c r="B147" s="42" t="s">
        <v>45</v>
      </c>
      <c r="C147" s="1">
        <v>13</v>
      </c>
      <c r="D147" s="43" t="s">
        <v>19</v>
      </c>
      <c r="E147" s="46">
        <v>1738.3826692900234</v>
      </c>
    </row>
    <row r="148" spans="1:5" x14ac:dyDescent="0.25">
      <c r="A148" s="1">
        <v>2010</v>
      </c>
      <c r="B148" s="42" t="s">
        <v>45</v>
      </c>
      <c r="C148" s="1">
        <v>1</v>
      </c>
      <c r="D148" s="43" t="s">
        <v>7</v>
      </c>
      <c r="E148" s="46">
        <v>1155.2797884846118</v>
      </c>
    </row>
    <row r="149" spans="1:5" x14ac:dyDescent="0.25">
      <c r="A149" s="1">
        <v>2010</v>
      </c>
      <c r="B149" s="42" t="s">
        <v>45</v>
      </c>
      <c r="C149" s="1">
        <v>2</v>
      </c>
      <c r="D149" s="43" t="s">
        <v>8</v>
      </c>
      <c r="E149" s="46">
        <v>7444.9671724531445</v>
      </c>
    </row>
    <row r="150" spans="1:5" x14ac:dyDescent="0.25">
      <c r="A150" s="1">
        <v>2010</v>
      </c>
      <c r="B150" s="42" t="s">
        <v>45</v>
      </c>
      <c r="C150" s="1">
        <v>3</v>
      </c>
      <c r="D150" s="43" t="s">
        <v>9</v>
      </c>
      <c r="E150" s="46">
        <v>134.70236235666709</v>
      </c>
    </row>
    <row r="151" spans="1:5" x14ac:dyDescent="0.25">
      <c r="A151" s="1">
        <v>2010</v>
      </c>
      <c r="B151" s="42" t="s">
        <v>45</v>
      </c>
      <c r="C151" s="1">
        <v>5</v>
      </c>
      <c r="D151" s="43" t="s">
        <v>11</v>
      </c>
      <c r="E151" s="46">
        <v>4076.4458678751935</v>
      </c>
    </row>
    <row r="152" spans="1:5" x14ac:dyDescent="0.25">
      <c r="A152" s="1">
        <v>2010</v>
      </c>
      <c r="B152" s="42" t="s">
        <v>45</v>
      </c>
      <c r="C152" s="1">
        <v>6</v>
      </c>
      <c r="D152" s="43" t="s">
        <v>12</v>
      </c>
      <c r="E152" s="46">
        <v>1877.4264896558416</v>
      </c>
    </row>
    <row r="153" spans="1:5" x14ac:dyDescent="0.25">
      <c r="A153" s="1">
        <v>2010</v>
      </c>
      <c r="B153" s="42" t="s">
        <v>45</v>
      </c>
      <c r="C153" s="1">
        <v>7</v>
      </c>
      <c r="D153" s="43" t="s">
        <v>13</v>
      </c>
      <c r="E153" s="46">
        <v>2655.3041441054274</v>
      </c>
    </row>
    <row r="154" spans="1:5" x14ac:dyDescent="0.25">
      <c r="A154" s="1">
        <v>2010</v>
      </c>
      <c r="B154" s="42" t="s">
        <v>45</v>
      </c>
      <c r="C154" s="1">
        <v>8</v>
      </c>
      <c r="D154" s="43" t="s">
        <v>14</v>
      </c>
      <c r="E154" s="46">
        <v>672.82102651656032</v>
      </c>
    </row>
    <row r="155" spans="1:5" x14ac:dyDescent="0.25">
      <c r="A155" s="1">
        <v>2010</v>
      </c>
      <c r="B155" s="42" t="s">
        <v>45</v>
      </c>
      <c r="C155" s="1">
        <v>9</v>
      </c>
      <c r="D155" s="43" t="s">
        <v>15</v>
      </c>
      <c r="E155" s="46">
        <v>4294.0703725543281</v>
      </c>
    </row>
    <row r="156" spans="1:5" x14ac:dyDescent="0.25">
      <c r="A156" s="1">
        <v>2010</v>
      </c>
      <c r="B156" s="42" t="s">
        <v>45</v>
      </c>
      <c r="C156" s="1">
        <v>10</v>
      </c>
      <c r="D156" s="43" t="s">
        <v>16</v>
      </c>
      <c r="E156" s="46">
        <v>31.632936698638392</v>
      </c>
    </row>
    <row r="157" spans="1:5" x14ac:dyDescent="0.25">
      <c r="A157" s="1">
        <v>2010</v>
      </c>
      <c r="B157" s="42" t="s">
        <v>45</v>
      </c>
      <c r="C157" s="1">
        <v>11</v>
      </c>
      <c r="D157" s="43" t="s">
        <v>17</v>
      </c>
      <c r="E157" s="46">
        <v>707.70834882950396</v>
      </c>
    </row>
    <row r="158" spans="1:5" x14ac:dyDescent="0.25">
      <c r="A158" s="1">
        <v>2010</v>
      </c>
      <c r="B158" s="42" t="s">
        <v>45</v>
      </c>
      <c r="C158" s="1">
        <v>12</v>
      </c>
      <c r="D158" s="43" t="s">
        <v>18</v>
      </c>
      <c r="E158" s="46">
        <v>14.068076511500399</v>
      </c>
    </row>
    <row r="159" spans="1:5" x14ac:dyDescent="0.25">
      <c r="A159" s="1">
        <v>2010</v>
      </c>
      <c r="B159" s="42" t="s">
        <v>45</v>
      </c>
      <c r="C159" s="1">
        <v>13</v>
      </c>
      <c r="D159" s="43" t="s">
        <v>19</v>
      </c>
      <c r="E159" s="46">
        <v>165.40363493760444</v>
      </c>
    </row>
    <row r="160" spans="1:5" x14ac:dyDescent="0.25">
      <c r="A160" s="1"/>
      <c r="B160" s="42"/>
      <c r="C160" s="1"/>
      <c r="D160" s="43"/>
      <c r="E160" s="46"/>
    </row>
    <row r="161" spans="1:5" x14ac:dyDescent="0.25">
      <c r="A161" s="1">
        <v>2011</v>
      </c>
      <c r="B161" s="42" t="s">
        <v>45</v>
      </c>
      <c r="C161" s="1">
        <v>1</v>
      </c>
      <c r="D161" s="3" t="s">
        <v>7</v>
      </c>
      <c r="E161" s="46">
        <v>53527.879388853573</v>
      </c>
    </row>
    <row r="162" spans="1:5" x14ac:dyDescent="0.25">
      <c r="A162" s="1">
        <v>2011</v>
      </c>
      <c r="B162" s="42" t="s">
        <v>45</v>
      </c>
      <c r="C162" s="1">
        <v>2</v>
      </c>
      <c r="D162" s="3" t="s">
        <v>8</v>
      </c>
      <c r="E162" s="46">
        <v>60377.592080606606</v>
      </c>
    </row>
    <row r="163" spans="1:5" x14ac:dyDescent="0.25">
      <c r="A163" s="1">
        <v>2011</v>
      </c>
      <c r="B163" s="42" t="s">
        <v>45</v>
      </c>
      <c r="C163" s="1">
        <v>3</v>
      </c>
      <c r="D163" s="3" t="s">
        <v>9</v>
      </c>
      <c r="E163" s="46">
        <v>30815.626690168541</v>
      </c>
    </row>
    <row r="164" spans="1:5" x14ac:dyDescent="0.25">
      <c r="A164" s="1">
        <v>2011</v>
      </c>
      <c r="B164" s="42" t="s">
        <v>45</v>
      </c>
      <c r="C164" s="1">
        <v>5</v>
      </c>
      <c r="D164" s="3" t="s">
        <v>11</v>
      </c>
      <c r="E164" s="46">
        <v>460.20227102767728</v>
      </c>
    </row>
    <row r="165" spans="1:5" x14ac:dyDescent="0.25">
      <c r="A165" s="1">
        <v>2011</v>
      </c>
      <c r="B165" s="42" t="s">
        <v>45</v>
      </c>
      <c r="C165" s="1">
        <v>6</v>
      </c>
      <c r="D165" s="3" t="s">
        <v>12</v>
      </c>
      <c r="E165" s="46">
        <v>15008.312076278045</v>
      </c>
    </row>
    <row r="166" spans="1:5" x14ac:dyDescent="0.25">
      <c r="A166" s="1">
        <v>2011</v>
      </c>
      <c r="B166" s="42" t="s">
        <v>45</v>
      </c>
      <c r="C166" s="1">
        <v>7</v>
      </c>
      <c r="D166" s="3" t="s">
        <v>13</v>
      </c>
      <c r="E166" s="46">
        <v>222.83079408364992</v>
      </c>
    </row>
    <row r="167" spans="1:5" x14ac:dyDescent="0.25">
      <c r="A167" s="1">
        <v>2011</v>
      </c>
      <c r="B167" s="42" t="s">
        <v>45</v>
      </c>
      <c r="C167" s="1">
        <v>8</v>
      </c>
      <c r="D167" s="3" t="s">
        <v>14</v>
      </c>
      <c r="E167" s="46">
        <v>11057.863999534919</v>
      </c>
    </row>
    <row r="168" spans="1:5" x14ac:dyDescent="0.25">
      <c r="A168" s="1">
        <v>2011</v>
      </c>
      <c r="B168" s="42" t="s">
        <v>45</v>
      </c>
      <c r="C168" s="1">
        <v>9</v>
      </c>
      <c r="D168" s="3" t="s">
        <v>15</v>
      </c>
      <c r="E168" s="46">
        <v>622.70637049025879</v>
      </c>
    </row>
    <row r="169" spans="1:5" x14ac:dyDescent="0.25">
      <c r="A169" s="1">
        <v>2011</v>
      </c>
      <c r="B169" s="42" t="s">
        <v>45</v>
      </c>
      <c r="C169" s="1">
        <v>10</v>
      </c>
      <c r="D169" s="3" t="s">
        <v>16</v>
      </c>
      <c r="E169" s="46">
        <v>37367.368846177451</v>
      </c>
    </row>
    <row r="170" spans="1:5" x14ac:dyDescent="0.25">
      <c r="A170" s="1">
        <v>2011</v>
      </c>
      <c r="B170" s="42" t="s">
        <v>45</v>
      </c>
      <c r="C170" s="1">
        <v>11</v>
      </c>
      <c r="D170" s="3" t="s">
        <v>17</v>
      </c>
      <c r="E170" s="46">
        <v>185.31961013758712</v>
      </c>
    </row>
    <row r="171" spans="1:5" x14ac:dyDescent="0.25">
      <c r="A171" s="1">
        <v>2011</v>
      </c>
      <c r="B171" s="42" t="s">
        <v>45</v>
      </c>
      <c r="C171" s="1">
        <v>13</v>
      </c>
      <c r="D171" s="3" t="s">
        <v>19</v>
      </c>
      <c r="E171" s="46">
        <v>0</v>
      </c>
    </row>
    <row r="172" spans="1:5" x14ac:dyDescent="0.25">
      <c r="A172" s="130">
        <v>2012</v>
      </c>
      <c r="B172" s="122" t="s">
        <v>45</v>
      </c>
      <c r="C172" s="130">
        <v>1</v>
      </c>
      <c r="D172" s="123" t="s">
        <v>7</v>
      </c>
      <c r="E172" s="127">
        <v>68302.858044743407</v>
      </c>
    </row>
    <row r="173" spans="1:5" x14ac:dyDescent="0.25">
      <c r="A173" s="130">
        <v>2012</v>
      </c>
      <c r="B173" s="122" t="s">
        <v>45</v>
      </c>
      <c r="C173" s="130">
        <v>2</v>
      </c>
      <c r="D173" s="128" t="s">
        <v>8</v>
      </c>
      <c r="E173" s="127">
        <v>27559.253543354411</v>
      </c>
    </row>
    <row r="174" spans="1:5" x14ac:dyDescent="0.25">
      <c r="A174" s="130">
        <v>2012</v>
      </c>
      <c r="B174" s="122" t="s">
        <v>45</v>
      </c>
      <c r="C174" s="130">
        <v>3</v>
      </c>
      <c r="D174" s="128" t="s">
        <v>9</v>
      </c>
      <c r="E174" s="127">
        <v>25274.557177451279</v>
      </c>
    </row>
    <row r="175" spans="1:5" x14ac:dyDescent="0.25">
      <c r="A175" s="130">
        <v>2012</v>
      </c>
      <c r="B175" s="122" t="s">
        <v>45</v>
      </c>
      <c r="C175" s="130">
        <v>5</v>
      </c>
      <c r="D175" s="128" t="s">
        <v>11</v>
      </c>
      <c r="E175" s="127">
        <v>8510.2885393518573</v>
      </c>
    </row>
    <row r="176" spans="1:5" x14ac:dyDescent="0.25">
      <c r="A176" s="130">
        <v>2012</v>
      </c>
      <c r="B176" s="122" t="s">
        <v>45</v>
      </c>
      <c r="C176" s="130">
        <v>6</v>
      </c>
      <c r="D176" s="128" t="s">
        <v>12</v>
      </c>
      <c r="E176" s="127">
        <v>14793.68851468693</v>
      </c>
    </row>
    <row r="177" spans="1:5" x14ac:dyDescent="0.25">
      <c r="A177" s="130">
        <v>2012</v>
      </c>
      <c r="B177" s="122" t="s">
        <v>45</v>
      </c>
      <c r="C177" s="130">
        <v>7</v>
      </c>
      <c r="D177" s="128" t="s">
        <v>13</v>
      </c>
      <c r="E177" s="127">
        <v>60.37980855942984</v>
      </c>
    </row>
    <row r="178" spans="1:5" x14ac:dyDescent="0.25">
      <c r="A178" s="130">
        <v>2012</v>
      </c>
      <c r="B178" s="122" t="s">
        <v>45</v>
      </c>
      <c r="C178" s="130">
        <v>8</v>
      </c>
      <c r="D178" s="128" t="s">
        <v>14</v>
      </c>
      <c r="E178" s="127">
        <v>21389.919888107619</v>
      </c>
    </row>
    <row r="179" spans="1:5" x14ac:dyDescent="0.25">
      <c r="A179" s="130">
        <v>2012</v>
      </c>
      <c r="B179" s="122" t="s">
        <v>45</v>
      </c>
      <c r="C179" s="130">
        <v>9</v>
      </c>
      <c r="D179" s="128" t="s">
        <v>15</v>
      </c>
      <c r="E179" s="127">
        <v>2831.8042387897481</v>
      </c>
    </row>
    <row r="180" spans="1:5" x14ac:dyDescent="0.25">
      <c r="A180" s="130">
        <v>2012</v>
      </c>
      <c r="B180" s="122" t="s">
        <v>45</v>
      </c>
      <c r="C180" s="130">
        <v>10</v>
      </c>
      <c r="D180" s="128" t="s">
        <v>16</v>
      </c>
      <c r="E180" s="127">
        <v>5760.1957107292083</v>
      </c>
    </row>
    <row r="181" spans="1:5" x14ac:dyDescent="0.25">
      <c r="A181" s="130">
        <v>2012</v>
      </c>
      <c r="B181" s="122" t="s">
        <v>45</v>
      </c>
      <c r="C181" s="132">
        <v>11</v>
      </c>
      <c r="D181" s="128" t="s">
        <v>17</v>
      </c>
      <c r="E181" s="127">
        <v>387.7997608985396</v>
      </c>
    </row>
    <row r="182" spans="1:5" x14ac:dyDescent="0.25">
      <c r="A182" s="130">
        <v>2012</v>
      </c>
      <c r="B182" s="122" t="s">
        <v>45</v>
      </c>
      <c r="C182" s="130">
        <v>12</v>
      </c>
      <c r="D182" s="128" t="s">
        <v>18</v>
      </c>
      <c r="E182" s="127">
        <v>34186.536586162481</v>
      </c>
    </row>
    <row r="183" spans="1:5" x14ac:dyDescent="0.25">
      <c r="A183" s="130">
        <v>2012</v>
      </c>
      <c r="B183" s="122" t="s">
        <v>45</v>
      </c>
      <c r="C183" s="130">
        <v>13</v>
      </c>
      <c r="D183" s="128" t="s">
        <v>19</v>
      </c>
      <c r="E183" s="127">
        <v>389.83068726742704</v>
      </c>
    </row>
    <row r="184" spans="1:5" x14ac:dyDescent="0.25">
      <c r="A184" s="108">
        <v>2013</v>
      </c>
      <c r="B184" s="42" t="s">
        <v>45</v>
      </c>
      <c r="C184" s="108">
        <v>1</v>
      </c>
      <c r="D184" s="4" t="s">
        <v>7</v>
      </c>
      <c r="E184" s="46">
        <v>233369.18728334591</v>
      </c>
    </row>
    <row r="185" spans="1:5" x14ac:dyDescent="0.25">
      <c r="A185" s="108">
        <v>2013</v>
      </c>
      <c r="B185" s="42" t="s">
        <v>45</v>
      </c>
      <c r="C185" s="108">
        <v>2</v>
      </c>
      <c r="D185" s="43" t="s">
        <v>8</v>
      </c>
      <c r="E185" s="46">
        <v>158506.012298316</v>
      </c>
    </row>
    <row r="186" spans="1:5" x14ac:dyDescent="0.25">
      <c r="A186" s="108">
        <v>2013</v>
      </c>
      <c r="B186" s="42" t="s">
        <v>45</v>
      </c>
      <c r="C186" s="108">
        <v>3</v>
      </c>
      <c r="D186" s="43" t="s">
        <v>9</v>
      </c>
      <c r="E186" s="46">
        <v>105134.10463409065</v>
      </c>
    </row>
    <row r="187" spans="1:5" x14ac:dyDescent="0.25">
      <c r="A187" s="108">
        <v>2013</v>
      </c>
      <c r="B187" s="42" t="s">
        <v>45</v>
      </c>
      <c r="C187" s="108">
        <v>5</v>
      </c>
      <c r="D187" s="43" t="s">
        <v>11</v>
      </c>
      <c r="E187" s="46">
        <v>100158.73103510325</v>
      </c>
    </row>
    <row r="188" spans="1:5" x14ac:dyDescent="0.25">
      <c r="A188" s="108">
        <v>2013</v>
      </c>
      <c r="B188" s="42" t="s">
        <v>45</v>
      </c>
      <c r="C188" s="108">
        <v>6</v>
      </c>
      <c r="D188" s="43" t="s">
        <v>12</v>
      </c>
      <c r="E188" s="46">
        <v>14444.518841960225</v>
      </c>
    </row>
    <row r="189" spans="1:5" x14ac:dyDescent="0.25">
      <c r="A189" s="108">
        <v>2013</v>
      </c>
      <c r="B189" s="42" t="s">
        <v>45</v>
      </c>
      <c r="C189" s="108">
        <v>7</v>
      </c>
      <c r="D189" s="43" t="s">
        <v>13</v>
      </c>
      <c r="E189" s="46">
        <v>3273.629364476416</v>
      </c>
    </row>
    <row r="190" spans="1:5" x14ac:dyDescent="0.25">
      <c r="A190" s="108">
        <v>2013</v>
      </c>
      <c r="B190" s="42" t="s">
        <v>45</v>
      </c>
      <c r="C190" s="108">
        <v>8</v>
      </c>
      <c r="D190" s="43" t="s">
        <v>14</v>
      </c>
      <c r="E190" s="46">
        <v>21762.070652720417</v>
      </c>
    </row>
    <row r="191" spans="1:5" x14ac:dyDescent="0.25">
      <c r="A191" s="108">
        <v>2013</v>
      </c>
      <c r="B191" s="42" t="s">
        <v>45</v>
      </c>
      <c r="C191" s="108">
        <v>9</v>
      </c>
      <c r="D191" s="43" t="s">
        <v>15</v>
      </c>
      <c r="E191" s="46">
        <v>14203.346446119893</v>
      </c>
    </row>
    <row r="192" spans="1:5" x14ac:dyDescent="0.25">
      <c r="A192" s="108">
        <v>2013</v>
      </c>
      <c r="B192" s="42" t="s">
        <v>45</v>
      </c>
      <c r="C192" s="108">
        <v>10</v>
      </c>
      <c r="D192" s="43" t="s">
        <v>16</v>
      </c>
      <c r="E192" s="46">
        <v>46867.242364000012</v>
      </c>
    </row>
    <row r="193" spans="1:5" x14ac:dyDescent="0.25">
      <c r="A193" s="108">
        <v>2013</v>
      </c>
      <c r="B193" s="42" t="s">
        <v>45</v>
      </c>
      <c r="C193" s="108">
        <v>11</v>
      </c>
      <c r="D193" s="43" t="s">
        <v>17</v>
      </c>
      <c r="E193" s="46">
        <v>20940.74829416279</v>
      </c>
    </row>
    <row r="194" spans="1:5" x14ac:dyDescent="0.25">
      <c r="A194" s="108">
        <v>2013</v>
      </c>
      <c r="B194" s="42" t="s">
        <v>45</v>
      </c>
      <c r="C194" s="108">
        <v>12</v>
      </c>
      <c r="D194" s="43" t="s">
        <v>18</v>
      </c>
      <c r="E194" s="46">
        <v>19158.019214123742</v>
      </c>
    </row>
    <row r="195" spans="1:5" x14ac:dyDescent="0.25">
      <c r="A195" s="108">
        <v>2013</v>
      </c>
      <c r="B195" s="42" t="s">
        <v>45</v>
      </c>
      <c r="C195" s="108">
        <v>13</v>
      </c>
      <c r="D195" s="43" t="s">
        <v>19</v>
      </c>
      <c r="E195" s="46">
        <v>25025.695981757846</v>
      </c>
    </row>
    <row r="196" spans="1:5" x14ac:dyDescent="0.25">
      <c r="A196" s="121">
        <v>2014</v>
      </c>
      <c r="B196" s="122" t="s">
        <v>45</v>
      </c>
      <c r="C196" s="121">
        <v>1</v>
      </c>
      <c r="D196" s="123" t="s">
        <v>7</v>
      </c>
      <c r="E196" s="127">
        <v>274332.80353761453</v>
      </c>
    </row>
    <row r="197" spans="1:5" x14ac:dyDescent="0.25">
      <c r="A197" s="121">
        <v>2014</v>
      </c>
      <c r="B197" s="122" t="s">
        <v>45</v>
      </c>
      <c r="C197" s="121">
        <v>2</v>
      </c>
      <c r="D197" s="128" t="s">
        <v>8</v>
      </c>
      <c r="E197" s="127">
        <v>97616.958530652832</v>
      </c>
    </row>
    <row r="198" spans="1:5" x14ac:dyDescent="0.25">
      <c r="A198" s="121">
        <v>2014</v>
      </c>
      <c r="B198" s="122" t="s">
        <v>45</v>
      </c>
      <c r="C198" s="121">
        <v>3</v>
      </c>
      <c r="D198" s="128" t="s">
        <v>9</v>
      </c>
      <c r="E198" s="127">
        <v>232190.5508982873</v>
      </c>
    </row>
    <row r="199" spans="1:5" x14ac:dyDescent="0.25">
      <c r="A199" s="121">
        <v>2014</v>
      </c>
      <c r="B199" s="122" t="s">
        <v>45</v>
      </c>
      <c r="C199" s="121">
        <v>5</v>
      </c>
      <c r="D199" s="128" t="s">
        <v>11</v>
      </c>
      <c r="E199" s="127">
        <v>270744.38107371551</v>
      </c>
    </row>
    <row r="200" spans="1:5" x14ac:dyDescent="0.25">
      <c r="A200" s="121">
        <v>2014</v>
      </c>
      <c r="B200" s="122" t="s">
        <v>45</v>
      </c>
      <c r="C200" s="121">
        <v>6</v>
      </c>
      <c r="D200" s="128" t="s">
        <v>12</v>
      </c>
      <c r="E200" s="127">
        <v>44155.711850160376</v>
      </c>
    </row>
    <row r="201" spans="1:5" x14ac:dyDescent="0.25">
      <c r="A201" s="121">
        <v>2014</v>
      </c>
      <c r="B201" s="122" t="s">
        <v>45</v>
      </c>
      <c r="C201" s="121">
        <v>7</v>
      </c>
      <c r="D201" s="128" t="s">
        <v>13</v>
      </c>
      <c r="E201" s="127">
        <v>1610.4622848827498</v>
      </c>
    </row>
    <row r="202" spans="1:5" x14ac:dyDescent="0.25">
      <c r="A202" s="121">
        <v>2014</v>
      </c>
      <c r="B202" s="122" t="s">
        <v>45</v>
      </c>
      <c r="C202" s="121">
        <v>8</v>
      </c>
      <c r="D202" s="128" t="s">
        <v>14</v>
      </c>
      <c r="E202" s="127">
        <v>0</v>
      </c>
    </row>
    <row r="203" spans="1:5" x14ac:dyDescent="0.25">
      <c r="A203" s="121">
        <v>2014</v>
      </c>
      <c r="B203" s="122" t="s">
        <v>45</v>
      </c>
      <c r="C203" s="121">
        <v>9</v>
      </c>
      <c r="D203" s="128" t="s">
        <v>15</v>
      </c>
      <c r="E203" s="127">
        <v>43717.664451407327</v>
      </c>
    </row>
    <row r="204" spans="1:5" x14ac:dyDescent="0.25">
      <c r="A204" s="121">
        <v>2014</v>
      </c>
      <c r="B204" s="122" t="s">
        <v>45</v>
      </c>
      <c r="C204" s="121">
        <v>10</v>
      </c>
      <c r="D204" s="128" t="s">
        <v>16</v>
      </c>
      <c r="E204" s="127">
        <v>790.61147010469836</v>
      </c>
    </row>
    <row r="205" spans="1:5" x14ac:dyDescent="0.25">
      <c r="A205" s="121">
        <v>2014</v>
      </c>
      <c r="B205" s="122" t="s">
        <v>45</v>
      </c>
      <c r="C205" s="121">
        <v>11</v>
      </c>
      <c r="D205" s="128" t="s">
        <v>17</v>
      </c>
      <c r="E205" s="127"/>
    </row>
    <row r="206" spans="1:5" x14ac:dyDescent="0.25">
      <c r="A206" s="121">
        <v>2014</v>
      </c>
      <c r="B206" s="122" t="s">
        <v>45</v>
      </c>
      <c r="C206" s="121">
        <v>12</v>
      </c>
      <c r="D206" s="128" t="s">
        <v>18</v>
      </c>
      <c r="E206" s="127">
        <v>122.10947116932275</v>
      </c>
    </row>
    <row r="207" spans="1:5" x14ac:dyDescent="0.25">
      <c r="A207" s="121">
        <v>2014</v>
      </c>
      <c r="B207" s="122" t="s">
        <v>45</v>
      </c>
      <c r="C207" s="121">
        <v>13</v>
      </c>
      <c r="D207" s="128" t="s">
        <v>19</v>
      </c>
      <c r="E207" s="127">
        <v>17573.621796328724</v>
      </c>
    </row>
    <row r="208" spans="1:5" x14ac:dyDescent="0.25">
      <c r="A208" s="121">
        <v>2015</v>
      </c>
      <c r="B208" s="122" t="s">
        <v>45</v>
      </c>
      <c r="C208" s="142">
        <v>1</v>
      </c>
      <c r="D208" s="143" t="s">
        <v>7</v>
      </c>
      <c r="E208" s="144">
        <v>24352.083192214595</v>
      </c>
    </row>
    <row r="209" spans="1:5" x14ac:dyDescent="0.25">
      <c r="A209" s="121">
        <v>2015</v>
      </c>
      <c r="B209" s="122" t="s">
        <v>45</v>
      </c>
      <c r="C209" s="142">
        <v>2</v>
      </c>
      <c r="D209" s="43" t="s">
        <v>8</v>
      </c>
      <c r="E209" s="144">
        <v>154595.98712656301</v>
      </c>
    </row>
    <row r="210" spans="1:5" x14ac:dyDescent="0.25">
      <c r="A210" s="121">
        <v>2015</v>
      </c>
      <c r="B210" s="122" t="s">
        <v>45</v>
      </c>
      <c r="C210" s="142">
        <v>3</v>
      </c>
      <c r="D210" s="43" t="s">
        <v>9</v>
      </c>
      <c r="E210" s="144">
        <v>191928.24936611607</v>
      </c>
    </row>
    <row r="211" spans="1:5" x14ac:dyDescent="0.25">
      <c r="A211" s="121">
        <v>2015</v>
      </c>
      <c r="B211" s="122" t="s">
        <v>45</v>
      </c>
      <c r="C211" s="142">
        <v>5</v>
      </c>
      <c r="D211" s="43" t="s">
        <v>11</v>
      </c>
      <c r="E211" s="144">
        <v>58466.713618702961</v>
      </c>
    </row>
    <row r="212" spans="1:5" x14ac:dyDescent="0.25">
      <c r="A212" s="121">
        <v>2015</v>
      </c>
      <c r="B212" s="122" t="s">
        <v>45</v>
      </c>
      <c r="C212" s="142">
        <v>6</v>
      </c>
      <c r="D212" s="43" t="s">
        <v>12</v>
      </c>
      <c r="E212" s="144">
        <v>5152.569430782115</v>
      </c>
    </row>
    <row r="213" spans="1:5" x14ac:dyDescent="0.25">
      <c r="A213" s="121">
        <v>2015</v>
      </c>
      <c r="B213" s="122" t="s">
        <v>45</v>
      </c>
      <c r="C213" s="142">
        <v>7</v>
      </c>
      <c r="D213" s="43" t="s">
        <v>13</v>
      </c>
      <c r="E213" s="144">
        <v>0</v>
      </c>
    </row>
    <row r="214" spans="1:5" x14ac:dyDescent="0.25">
      <c r="A214" s="121">
        <v>2015</v>
      </c>
      <c r="B214" s="122" t="s">
        <v>45</v>
      </c>
      <c r="C214" s="142">
        <v>8</v>
      </c>
      <c r="D214" s="43" t="s">
        <v>14</v>
      </c>
      <c r="E214" s="144">
        <v>330.35452067311797</v>
      </c>
    </row>
    <row r="215" spans="1:5" x14ac:dyDescent="0.25">
      <c r="A215" s="121">
        <v>2015</v>
      </c>
      <c r="B215" s="122" t="s">
        <v>45</v>
      </c>
      <c r="C215" s="142">
        <v>9</v>
      </c>
      <c r="D215" s="43" t="s">
        <v>15</v>
      </c>
      <c r="E215" s="144">
        <v>0</v>
      </c>
    </row>
    <row r="216" spans="1:5" x14ac:dyDescent="0.25">
      <c r="A216" s="121">
        <v>2015</v>
      </c>
      <c r="B216" s="122" t="s">
        <v>45</v>
      </c>
      <c r="C216" s="142">
        <v>10</v>
      </c>
      <c r="D216" s="43" t="s">
        <v>16</v>
      </c>
      <c r="E216" s="144">
        <v>78614.486955051849</v>
      </c>
    </row>
    <row r="217" spans="1:5" x14ac:dyDescent="0.25">
      <c r="A217" s="121">
        <v>2015</v>
      </c>
      <c r="B217" s="122" t="s">
        <v>45</v>
      </c>
      <c r="C217" s="142">
        <v>11</v>
      </c>
      <c r="D217" s="43" t="s">
        <v>17</v>
      </c>
      <c r="E217" s="144">
        <v>140044.13840685243</v>
      </c>
    </row>
    <row r="218" spans="1:5" x14ac:dyDescent="0.25">
      <c r="A218" s="121">
        <v>2015</v>
      </c>
      <c r="B218" s="122" t="s">
        <v>45</v>
      </c>
      <c r="C218" s="142">
        <v>12</v>
      </c>
      <c r="D218" s="43" t="s">
        <v>18</v>
      </c>
      <c r="E218" s="144">
        <v>0</v>
      </c>
    </row>
    <row r="219" spans="1:5" x14ac:dyDescent="0.25">
      <c r="A219" s="121">
        <v>2015</v>
      </c>
      <c r="B219" s="122" t="s">
        <v>45</v>
      </c>
      <c r="C219" s="142">
        <v>13</v>
      </c>
      <c r="D219" s="43" t="s">
        <v>19</v>
      </c>
      <c r="E219" s="144">
        <v>7773.3512933167476</v>
      </c>
    </row>
    <row r="220" spans="1:5" x14ac:dyDescent="0.25">
      <c r="A220" s="135">
        <v>2017</v>
      </c>
      <c r="B220" s="146" t="s">
        <v>45</v>
      </c>
      <c r="C220" s="135"/>
      <c r="D220" s="135" t="s">
        <v>7</v>
      </c>
      <c r="E220" s="144">
        <v>9.5687261734997069</v>
      </c>
    </row>
    <row r="221" spans="1:5" x14ac:dyDescent="0.25">
      <c r="A221" s="135">
        <v>2017</v>
      </c>
      <c r="B221" s="146" t="s">
        <v>45</v>
      </c>
      <c r="C221" s="135"/>
      <c r="D221" s="135" t="s">
        <v>8</v>
      </c>
      <c r="E221" s="144">
        <v>6395.3069565706119</v>
      </c>
    </row>
    <row r="222" spans="1:5" x14ac:dyDescent="0.25">
      <c r="A222" s="135">
        <v>2017</v>
      </c>
      <c r="B222" s="146" t="s">
        <v>45</v>
      </c>
      <c r="C222" s="135"/>
      <c r="D222" s="135" t="s">
        <v>9</v>
      </c>
      <c r="E222" s="144">
        <v>10233.340055639022</v>
      </c>
    </row>
    <row r="223" spans="1:5" x14ac:dyDescent="0.25">
      <c r="A223" s="135">
        <v>2017</v>
      </c>
      <c r="B223" s="146" t="s">
        <v>45</v>
      </c>
      <c r="C223" s="135"/>
      <c r="D223" s="135" t="s">
        <v>11</v>
      </c>
      <c r="E223" s="144">
        <v>2186.8160926154083</v>
      </c>
    </row>
    <row r="224" spans="1:5" x14ac:dyDescent="0.25">
      <c r="A224" s="135">
        <v>2017</v>
      </c>
      <c r="B224" s="146" t="s">
        <v>45</v>
      </c>
      <c r="C224" s="135"/>
      <c r="D224" s="135" t="s">
        <v>12</v>
      </c>
      <c r="E224" s="144">
        <v>35214.677150961827</v>
      </c>
    </row>
    <row r="225" spans="1:5" x14ac:dyDescent="0.25">
      <c r="A225" s="135">
        <v>2017</v>
      </c>
      <c r="B225" s="146" t="s">
        <v>45</v>
      </c>
      <c r="C225" s="135"/>
      <c r="D225" s="135" t="s">
        <v>13</v>
      </c>
      <c r="E225" s="144">
        <v>2566.4740361008744</v>
      </c>
    </row>
    <row r="226" spans="1:5" x14ac:dyDescent="0.25">
      <c r="A226" s="135">
        <v>2017</v>
      </c>
      <c r="B226" s="146" t="s">
        <v>45</v>
      </c>
      <c r="C226" s="135"/>
      <c r="D226" s="135" t="s">
        <v>14</v>
      </c>
      <c r="E226" s="144">
        <v>37195.696490639231</v>
      </c>
    </row>
    <row r="227" spans="1:5" x14ac:dyDescent="0.25">
      <c r="A227" s="135">
        <v>2017</v>
      </c>
      <c r="B227" s="146" t="s">
        <v>45</v>
      </c>
      <c r="D227" s="135" t="s">
        <v>15</v>
      </c>
      <c r="E227" s="144">
        <v>5299.3579969076654</v>
      </c>
    </row>
    <row r="228" spans="1:5" x14ac:dyDescent="0.25">
      <c r="A228" s="135">
        <v>2017</v>
      </c>
      <c r="B228" s="146" t="s">
        <v>45</v>
      </c>
      <c r="D228" s="135" t="s">
        <v>16</v>
      </c>
      <c r="E228" s="144">
        <v>55220.735456213275</v>
      </c>
    </row>
    <row r="229" spans="1:5" x14ac:dyDescent="0.25">
      <c r="A229" s="135">
        <v>2017</v>
      </c>
      <c r="B229" s="146" t="s">
        <v>45</v>
      </c>
      <c r="D229" s="135" t="s">
        <v>17</v>
      </c>
      <c r="E229" s="144">
        <v>1743.7022976372464</v>
      </c>
    </row>
    <row r="230" spans="1:5" x14ac:dyDescent="0.25">
      <c r="A230" s="135">
        <v>2017</v>
      </c>
      <c r="B230" s="146" t="s">
        <v>45</v>
      </c>
      <c r="D230" s="135" t="s">
        <v>18</v>
      </c>
      <c r="E230" s="144">
        <v>0</v>
      </c>
    </row>
    <row r="231" spans="1:5" x14ac:dyDescent="0.25">
      <c r="A231" s="135">
        <v>2017</v>
      </c>
      <c r="B231" s="146" t="s">
        <v>45</v>
      </c>
      <c r="D231" s="135" t="s">
        <v>19</v>
      </c>
      <c r="E231" s="144">
        <v>1974.0391928107824</v>
      </c>
    </row>
    <row r="232" spans="1:5" x14ac:dyDescent="0.25">
      <c r="A232" s="152">
        <v>1982</v>
      </c>
      <c r="B232" s="153" t="s">
        <v>45</v>
      </c>
      <c r="C232" s="152">
        <v>1</v>
      </c>
      <c r="D232" s="154" t="s">
        <v>7</v>
      </c>
      <c r="E232" s="155">
        <v>0</v>
      </c>
    </row>
    <row r="233" spans="1:5" x14ac:dyDescent="0.25">
      <c r="A233" s="152">
        <v>1983</v>
      </c>
      <c r="B233" s="153" t="s">
        <v>45</v>
      </c>
      <c r="C233" s="152">
        <v>1</v>
      </c>
      <c r="D233" s="154" t="s">
        <v>7</v>
      </c>
      <c r="E233" s="155">
        <v>0</v>
      </c>
    </row>
    <row r="234" spans="1:5" x14ac:dyDescent="0.25">
      <c r="A234" s="152">
        <v>1984</v>
      </c>
      <c r="B234" s="153" t="s">
        <v>45</v>
      </c>
      <c r="C234" s="152">
        <v>1</v>
      </c>
      <c r="D234" s="154" t="s">
        <v>7</v>
      </c>
      <c r="E234" s="155">
        <v>0</v>
      </c>
    </row>
    <row r="235" spans="1:5" x14ac:dyDescent="0.25">
      <c r="A235" s="152">
        <v>1985</v>
      </c>
      <c r="B235" s="153" t="s">
        <v>45</v>
      </c>
      <c r="C235" s="152">
        <v>1</v>
      </c>
      <c r="D235" s="154" t="s">
        <v>7</v>
      </c>
      <c r="E235" s="155">
        <v>0</v>
      </c>
    </row>
    <row r="236" spans="1:5" x14ac:dyDescent="0.25">
      <c r="A236" s="152">
        <v>1986</v>
      </c>
      <c r="B236" s="153" t="s">
        <v>45</v>
      </c>
      <c r="C236" s="152">
        <v>1</v>
      </c>
      <c r="D236" s="154" t="s">
        <v>7</v>
      </c>
      <c r="E236" s="155">
        <v>0</v>
      </c>
    </row>
    <row r="237" spans="1:5" x14ac:dyDescent="0.25">
      <c r="A237" s="152">
        <v>1987</v>
      </c>
      <c r="B237" s="153" t="s">
        <v>45</v>
      </c>
      <c r="C237" s="152">
        <v>1</v>
      </c>
      <c r="D237" s="154" t="s">
        <v>7</v>
      </c>
      <c r="E237" s="155">
        <v>0</v>
      </c>
    </row>
    <row r="238" spans="1:5" x14ac:dyDescent="0.25">
      <c r="A238" s="152">
        <v>1993</v>
      </c>
      <c r="B238" s="153" t="s">
        <v>45</v>
      </c>
      <c r="C238" s="152">
        <v>1</v>
      </c>
      <c r="D238" s="154" t="s">
        <v>7</v>
      </c>
      <c r="E238" s="155">
        <v>0</v>
      </c>
    </row>
    <row r="239" spans="1:5" x14ac:dyDescent="0.25">
      <c r="A239" s="152">
        <v>1994</v>
      </c>
      <c r="B239" s="153" t="s">
        <v>45</v>
      </c>
      <c r="C239" s="152">
        <v>1</v>
      </c>
      <c r="D239" s="154" t="s">
        <v>7</v>
      </c>
      <c r="E239" s="155">
        <v>0</v>
      </c>
    </row>
    <row r="240" spans="1:5" x14ac:dyDescent="0.25">
      <c r="A240" s="152">
        <v>1995</v>
      </c>
      <c r="B240" s="153" t="s">
        <v>45</v>
      </c>
      <c r="C240" s="152">
        <v>1</v>
      </c>
      <c r="D240" s="154" t="s">
        <v>7</v>
      </c>
      <c r="E240" s="155">
        <v>0</v>
      </c>
    </row>
    <row r="241" spans="1:5" x14ac:dyDescent="0.25">
      <c r="A241" s="152">
        <v>1997</v>
      </c>
      <c r="B241" s="153" t="s">
        <v>45</v>
      </c>
      <c r="C241" s="152">
        <v>1</v>
      </c>
      <c r="D241" s="154" t="s">
        <v>7</v>
      </c>
      <c r="E241" s="155">
        <v>0</v>
      </c>
    </row>
    <row r="242" spans="1:5" x14ac:dyDescent="0.25">
      <c r="A242" s="152">
        <v>1998</v>
      </c>
      <c r="B242" s="153" t="s">
        <v>45</v>
      </c>
      <c r="C242" s="152">
        <v>1</v>
      </c>
      <c r="D242" s="154" t="s">
        <v>7</v>
      </c>
      <c r="E242" s="155">
        <v>0</v>
      </c>
    </row>
    <row r="243" spans="1:5" x14ac:dyDescent="0.25">
      <c r="A243" s="152">
        <v>2006</v>
      </c>
      <c r="B243" s="153" t="s">
        <v>45</v>
      </c>
      <c r="C243" s="152">
        <v>1</v>
      </c>
      <c r="D243" s="154" t="s">
        <v>7</v>
      </c>
      <c r="E243" s="155">
        <v>0</v>
      </c>
    </row>
    <row r="244" spans="1:5" x14ac:dyDescent="0.25">
      <c r="A244" s="152">
        <v>2016</v>
      </c>
      <c r="B244" s="153" t="s">
        <v>45</v>
      </c>
      <c r="C244" s="152">
        <v>1</v>
      </c>
      <c r="D244" s="154" t="s">
        <v>7</v>
      </c>
      <c r="E244" s="155">
        <v>0</v>
      </c>
    </row>
    <row r="246" spans="1:5" x14ac:dyDescent="0.25">
      <c r="A246" s="1">
        <v>2003</v>
      </c>
      <c r="B246" s="32" t="s">
        <v>46</v>
      </c>
      <c r="C246" s="1">
        <v>2</v>
      </c>
      <c r="D246" s="4" t="s">
        <v>8</v>
      </c>
    </row>
    <row r="247" spans="1:5" x14ac:dyDescent="0.25">
      <c r="A247" s="1">
        <v>2003</v>
      </c>
      <c r="B247" s="32" t="s">
        <v>46</v>
      </c>
      <c r="C247" s="1">
        <v>3</v>
      </c>
      <c r="D247" s="4" t="s">
        <v>9</v>
      </c>
    </row>
    <row r="248" spans="1:5" x14ac:dyDescent="0.25">
      <c r="A248" s="1">
        <v>2003</v>
      </c>
      <c r="B248" s="32" t="s">
        <v>46</v>
      </c>
      <c r="C248" s="1">
        <v>5</v>
      </c>
      <c r="D248" s="4" t="s">
        <v>11</v>
      </c>
    </row>
    <row r="249" spans="1:5" x14ac:dyDescent="0.25">
      <c r="A249" s="1">
        <v>2003</v>
      </c>
      <c r="B249" s="32" t="s">
        <v>46</v>
      </c>
      <c r="C249" s="1">
        <v>6</v>
      </c>
      <c r="D249" s="4" t="s">
        <v>12</v>
      </c>
    </row>
    <row r="250" spans="1:5" x14ac:dyDescent="0.25">
      <c r="A250" s="1">
        <v>2003</v>
      </c>
      <c r="B250" s="32" t="s">
        <v>46</v>
      </c>
      <c r="C250" s="1">
        <v>7</v>
      </c>
      <c r="D250" s="4" t="s">
        <v>13</v>
      </c>
    </row>
    <row r="251" spans="1:5" x14ac:dyDescent="0.25">
      <c r="A251" s="1">
        <v>2003</v>
      </c>
      <c r="B251" s="32" t="s">
        <v>46</v>
      </c>
      <c r="C251" s="1">
        <v>8</v>
      </c>
      <c r="D251" s="4" t="s">
        <v>14</v>
      </c>
    </row>
    <row r="252" spans="1:5" x14ac:dyDescent="0.25">
      <c r="A252" s="1">
        <v>2003</v>
      </c>
      <c r="B252" s="32" t="s">
        <v>46</v>
      </c>
      <c r="C252" s="1">
        <v>9</v>
      </c>
      <c r="D252" s="4" t="s">
        <v>15</v>
      </c>
    </row>
    <row r="253" spans="1:5" x14ac:dyDescent="0.25">
      <c r="A253" s="1">
        <v>2003</v>
      </c>
      <c r="B253" s="32" t="s">
        <v>46</v>
      </c>
      <c r="C253" s="1">
        <v>10</v>
      </c>
      <c r="D253" s="4" t="s">
        <v>16</v>
      </c>
    </row>
  </sheetData>
  <pageMargins left="0.7" right="0.7" top="0.75" bottom="0.75" header="0.3" footer="0.3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A14" sqref="A14:XFD52"/>
    </sheetView>
  </sheetViews>
  <sheetFormatPr defaultRowHeight="12.6" x14ac:dyDescent="0.25"/>
  <sheetData>
    <row r="1" spans="1:28" ht="15.6" x14ac:dyDescent="0.25">
      <c r="A1" t="s">
        <v>113</v>
      </c>
      <c r="B1" t="s">
        <v>47</v>
      </c>
      <c r="C1" t="s">
        <v>21</v>
      </c>
      <c r="D1" s="31" t="s">
        <v>44</v>
      </c>
      <c r="E1" s="1" t="s">
        <v>0</v>
      </c>
      <c r="F1" s="4" t="s">
        <v>20</v>
      </c>
      <c r="G1" s="1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47" t="s">
        <v>90</v>
      </c>
      <c r="N1" s="110" t="s">
        <v>73</v>
      </c>
      <c r="O1" s="12" t="s">
        <v>23</v>
      </c>
      <c r="P1" s="12" t="s">
        <v>24</v>
      </c>
      <c r="Q1" t="s">
        <v>30</v>
      </c>
      <c r="R1" s="45" t="s">
        <v>31</v>
      </c>
      <c r="S1" s="45" t="s">
        <v>128</v>
      </c>
      <c r="T1" s="45" t="s">
        <v>127</v>
      </c>
      <c r="U1" t="s">
        <v>112</v>
      </c>
      <c r="V1" s="16"/>
      <c r="W1" s="117" t="s">
        <v>149</v>
      </c>
      <c r="X1" s="118" t="s">
        <v>150</v>
      </c>
      <c r="Y1" s="16"/>
      <c r="Z1" s="16"/>
      <c r="AA1" s="16"/>
      <c r="AB1" s="16"/>
    </row>
    <row r="2" spans="1:28" s="135" customFormat="1" ht="13.5" customHeight="1" x14ac:dyDescent="0.25">
      <c r="A2" s="135">
        <v>217</v>
      </c>
      <c r="B2" s="135" t="s">
        <v>160</v>
      </c>
      <c r="C2" s="135">
        <v>2017</v>
      </c>
      <c r="D2" s="146" t="s">
        <v>45</v>
      </c>
      <c r="E2" s="159">
        <v>1</v>
      </c>
      <c r="F2" s="135" t="s">
        <v>7</v>
      </c>
      <c r="G2" s="135">
        <v>1000</v>
      </c>
      <c r="H2" s="135">
        <v>4.3599700000000002E-5</v>
      </c>
      <c r="I2" s="135">
        <v>3.5002300000000002E-5</v>
      </c>
      <c r="J2" s="135">
        <v>4.1405400000000002E-5</v>
      </c>
      <c r="K2" s="135">
        <v>1.36904E-5</v>
      </c>
      <c r="L2" s="135">
        <v>7.66439E-5</v>
      </c>
      <c r="M2" s="147">
        <v>20710.167560200389</v>
      </c>
      <c r="N2" s="148">
        <f t="shared" ref="N2:N13" si="0">$M2*I2</f>
        <v>0.72490349799240206</v>
      </c>
      <c r="O2" s="156">
        <f t="shared" ref="O2:P13" si="1">$M2*K2</f>
        <v>0.28353047796616743</v>
      </c>
      <c r="P2" s="156">
        <f t="shared" si="1"/>
        <v>1.5873080114672427</v>
      </c>
      <c r="Q2" s="135">
        <v>13.2</v>
      </c>
      <c r="R2" s="144">
        <f t="shared" ref="R2:R13" si="2">Q2*N2</f>
        <v>9.5687261734997069</v>
      </c>
      <c r="S2" s="144">
        <f t="shared" ref="S2:T13" si="3">O2*$Q2</f>
        <v>3.7426023091534097</v>
      </c>
      <c r="T2" s="144">
        <f t="shared" si="3"/>
        <v>20.952465751367601</v>
      </c>
      <c r="U2" s="135">
        <v>11</v>
      </c>
    </row>
    <row r="3" spans="1:28" s="135" customFormat="1" x14ac:dyDescent="0.25">
      <c r="A3" s="135">
        <v>218</v>
      </c>
      <c r="B3" s="135" t="s">
        <v>160</v>
      </c>
      <c r="C3" s="135">
        <v>2017</v>
      </c>
      <c r="D3" s="146" t="s">
        <v>45</v>
      </c>
      <c r="E3" s="159">
        <v>2</v>
      </c>
      <c r="F3" s="135" t="s">
        <v>8</v>
      </c>
      <c r="G3" s="135">
        <v>1000</v>
      </c>
      <c r="H3" s="135">
        <v>5.5530912199999997E-2</v>
      </c>
      <c r="I3" s="135">
        <v>5.4924740200000002E-2</v>
      </c>
      <c r="J3" s="135">
        <v>7.0423114999999996E-3</v>
      </c>
      <c r="K3" s="135">
        <v>4.47076291E-2</v>
      </c>
      <c r="L3" s="135">
        <v>6.79037683E-2</v>
      </c>
      <c r="M3" s="147">
        <v>12937.515211791189</v>
      </c>
      <c r="N3" s="148">
        <f t="shared" si="0"/>
        <v>710.58966184117912</v>
      </c>
      <c r="O3" s="156">
        <f t="shared" si="1"/>
        <v>578.40563156436849</v>
      </c>
      <c r="P3" s="156">
        <f t="shared" si="1"/>
        <v>878.50603531919432</v>
      </c>
      <c r="Q3" s="135">
        <v>9</v>
      </c>
      <c r="R3" s="144">
        <f t="shared" si="2"/>
        <v>6395.3069565706119</v>
      </c>
      <c r="S3" s="144">
        <f t="shared" si="3"/>
        <v>5205.6506840793163</v>
      </c>
      <c r="T3" s="144">
        <f t="shared" si="3"/>
        <v>7906.5543178727494</v>
      </c>
      <c r="U3" s="135">
        <v>7</v>
      </c>
    </row>
    <row r="4" spans="1:28" s="135" customFormat="1" x14ac:dyDescent="0.25">
      <c r="A4" s="135">
        <v>219</v>
      </c>
      <c r="B4" s="135" t="s">
        <v>160</v>
      </c>
      <c r="C4" s="135">
        <v>2017</v>
      </c>
      <c r="D4" s="146" t="s">
        <v>45</v>
      </c>
      <c r="E4" s="159">
        <v>3</v>
      </c>
      <c r="F4" s="135" t="s">
        <v>9</v>
      </c>
      <c r="G4" s="135">
        <v>1000</v>
      </c>
      <c r="H4" s="135">
        <v>0.10117</v>
      </c>
      <c r="I4" s="135">
        <v>0.10079</v>
      </c>
      <c r="J4" s="135">
        <v>1.1820000000000001E-2</v>
      </c>
      <c r="K4" s="135">
        <v>8.1309999999999993E-2</v>
      </c>
      <c r="L4" s="135">
        <v>0.12106</v>
      </c>
      <c r="M4" s="147">
        <v>10953.043037802479</v>
      </c>
      <c r="N4" s="148">
        <f t="shared" si="0"/>
        <v>1103.957207780112</v>
      </c>
      <c r="O4" s="156">
        <f t="shared" si="1"/>
        <v>890.59192940371952</v>
      </c>
      <c r="P4" s="156">
        <f t="shared" si="1"/>
        <v>1325.9753901563681</v>
      </c>
      <c r="Q4" s="135">
        <v>8.9</v>
      </c>
      <c r="R4" s="144">
        <f t="shared" si="2"/>
        <v>9825.2191492429974</v>
      </c>
      <c r="S4" s="144">
        <f t="shared" si="3"/>
        <v>7926.2681716931038</v>
      </c>
      <c r="T4" s="144">
        <f t="shared" si="3"/>
        <v>11801.180972391678</v>
      </c>
      <c r="U4" s="135">
        <v>4</v>
      </c>
    </row>
    <row r="5" spans="1:28" s="135" customFormat="1" x14ac:dyDescent="0.25">
      <c r="A5" s="135">
        <v>220</v>
      </c>
      <c r="B5" s="135" t="s">
        <v>160</v>
      </c>
      <c r="C5" s="135">
        <v>2017</v>
      </c>
      <c r="D5" s="146" t="s">
        <v>45</v>
      </c>
      <c r="E5" s="159">
        <v>5</v>
      </c>
      <c r="F5" s="135" t="s">
        <v>11</v>
      </c>
      <c r="G5" s="135">
        <v>1000</v>
      </c>
      <c r="H5" s="135">
        <v>1.4080751900000001E-2</v>
      </c>
      <c r="I5" s="135">
        <v>1.3831902300000001E-2</v>
      </c>
      <c r="J5" s="135">
        <v>1.8617944999999999E-3</v>
      </c>
      <c r="K5" s="135">
        <v>1.1558901599999999E-2</v>
      </c>
      <c r="L5" s="135">
        <v>1.7545522300000001E-2</v>
      </c>
      <c r="M5" s="147">
        <v>13991.101427824766</v>
      </c>
      <c r="N5" s="148">
        <f t="shared" si="0"/>
        <v>193.52354801906267</v>
      </c>
      <c r="O5" s="156">
        <f t="shared" si="1"/>
        <v>161.72176467984596</v>
      </c>
      <c r="P5" s="156">
        <f t="shared" si="1"/>
        <v>245.48118210346129</v>
      </c>
      <c r="Q5" s="135">
        <v>11.3</v>
      </c>
      <c r="R5" s="144">
        <f t="shared" si="2"/>
        <v>2186.8160926154083</v>
      </c>
      <c r="S5" s="144">
        <f t="shared" si="3"/>
        <v>1827.4559408822595</v>
      </c>
      <c r="T5" s="144">
        <f t="shared" si="3"/>
        <v>2773.9373577691126</v>
      </c>
      <c r="U5" s="135">
        <v>10</v>
      </c>
    </row>
    <row r="6" spans="1:28" s="135" customFormat="1" x14ac:dyDescent="0.25">
      <c r="A6" s="135">
        <v>221</v>
      </c>
      <c r="B6" s="135" t="s">
        <v>160</v>
      </c>
      <c r="C6" s="135">
        <v>2017</v>
      </c>
      <c r="D6" s="146" t="s">
        <v>45</v>
      </c>
      <c r="E6" s="159">
        <v>6</v>
      </c>
      <c r="F6" s="135" t="s">
        <v>12</v>
      </c>
      <c r="G6" s="135">
        <v>1000</v>
      </c>
      <c r="H6" s="135">
        <v>0.76379867960000003</v>
      </c>
      <c r="I6" s="135">
        <v>0.70210383430000001</v>
      </c>
      <c r="J6" s="135">
        <v>0.1855337161</v>
      </c>
      <c r="K6" s="135">
        <v>0.57864943349999998</v>
      </c>
      <c r="L6" s="135">
        <v>1.1623997226</v>
      </c>
      <c r="M6" s="147">
        <v>6966.102651973556</v>
      </c>
      <c r="N6" s="148">
        <f t="shared" si="0"/>
        <v>4890.9273820780318</v>
      </c>
      <c r="O6" s="156">
        <f t="shared" si="1"/>
        <v>4030.9313532673459</v>
      </c>
      <c r="P6" s="156">
        <f t="shared" si="1"/>
        <v>8097.3957902571856</v>
      </c>
      <c r="Q6" s="135">
        <v>7.2</v>
      </c>
      <c r="R6" s="144">
        <f t="shared" si="2"/>
        <v>35214.677150961827</v>
      </c>
      <c r="S6" s="144">
        <f t="shared" si="3"/>
        <v>29022.70574352489</v>
      </c>
      <c r="T6" s="144">
        <f t="shared" si="3"/>
        <v>58301.249689851735</v>
      </c>
      <c r="U6" s="135">
        <v>2</v>
      </c>
    </row>
    <row r="7" spans="1:28" s="135" customFormat="1" x14ac:dyDescent="0.25">
      <c r="A7" s="135">
        <v>222</v>
      </c>
      <c r="B7" s="135" t="s">
        <v>160</v>
      </c>
      <c r="C7" s="135">
        <v>2017</v>
      </c>
      <c r="D7" s="146" t="s">
        <v>45</v>
      </c>
      <c r="E7" s="159">
        <v>7</v>
      </c>
      <c r="F7" s="135" t="s">
        <v>13</v>
      </c>
      <c r="G7" s="135">
        <v>1000</v>
      </c>
      <c r="H7" s="135">
        <v>0.20223556200000001</v>
      </c>
      <c r="I7" s="135">
        <v>0.1407502612</v>
      </c>
      <c r="J7" s="135">
        <v>0.17999255929999999</v>
      </c>
      <c r="K7" s="135">
        <v>2.3923264400000002E-2</v>
      </c>
      <c r="L7" s="135">
        <v>0.58679626519999994</v>
      </c>
      <c r="M7" s="147">
        <v>2532.5333267390947</v>
      </c>
      <c r="N7" s="148">
        <f t="shared" si="0"/>
        <v>356.45472723623254</v>
      </c>
      <c r="O7" s="156">
        <f t="shared" si="1"/>
        <v>60.586464377390953</v>
      </c>
      <c r="P7" s="156">
        <f t="shared" si="1"/>
        <v>1486.081097625032</v>
      </c>
      <c r="Q7" s="135">
        <v>7.2</v>
      </c>
      <c r="R7" s="144">
        <f t="shared" si="2"/>
        <v>2566.4740361008744</v>
      </c>
      <c r="S7" s="144">
        <f t="shared" si="3"/>
        <v>436.22254351721489</v>
      </c>
      <c r="T7" s="144">
        <f t="shared" si="3"/>
        <v>10699.783902900232</v>
      </c>
      <c r="U7" s="135">
        <v>5</v>
      </c>
    </row>
    <row r="8" spans="1:28" s="135" customFormat="1" x14ac:dyDescent="0.25">
      <c r="A8" s="135">
        <v>223</v>
      </c>
      <c r="B8" s="135" t="s">
        <v>160</v>
      </c>
      <c r="C8" s="135">
        <v>2017</v>
      </c>
      <c r="D8" s="146" t="s">
        <v>45</v>
      </c>
      <c r="E8" s="159">
        <v>8</v>
      </c>
      <c r="F8" s="135" t="s">
        <v>14</v>
      </c>
      <c r="G8" s="135">
        <v>1000</v>
      </c>
      <c r="H8" s="135">
        <v>0.344434132</v>
      </c>
      <c r="I8" s="135">
        <v>0.34397488510000002</v>
      </c>
      <c r="J8" s="135">
        <v>2.0829076700000001E-2</v>
      </c>
      <c r="K8" s="135">
        <v>0.3099412842</v>
      </c>
      <c r="L8" s="135">
        <v>0.37851072590000001</v>
      </c>
      <c r="M8" s="147">
        <v>13775.148973606703</v>
      </c>
      <c r="N8" s="148">
        <f t="shared" si="0"/>
        <v>4738.3052854317493</v>
      </c>
      <c r="O8" s="156">
        <f t="shared" si="1"/>
        <v>4269.4873629259737</v>
      </c>
      <c r="P8" s="156">
        <f t="shared" si="1"/>
        <v>5214.0416373805137</v>
      </c>
      <c r="Q8" s="135">
        <v>7.85</v>
      </c>
      <c r="R8" s="144">
        <f t="shared" si="2"/>
        <v>37195.696490639231</v>
      </c>
      <c r="S8" s="144">
        <f t="shared" si="3"/>
        <v>33515.475798968895</v>
      </c>
      <c r="T8" s="144">
        <f t="shared" si="3"/>
        <v>40930.226853437031</v>
      </c>
      <c r="U8" s="135">
        <v>3</v>
      </c>
    </row>
    <row r="9" spans="1:28" s="135" customFormat="1" ht="13.5" customHeight="1" x14ac:dyDescent="0.25">
      <c r="A9" s="135">
        <v>224</v>
      </c>
      <c r="B9" s="135" t="s">
        <v>160</v>
      </c>
      <c r="C9" s="135">
        <v>2017</v>
      </c>
      <c r="D9" s="146" t="s">
        <v>45</v>
      </c>
      <c r="E9" s="159">
        <v>9</v>
      </c>
      <c r="F9" s="135" t="s">
        <v>15</v>
      </c>
      <c r="G9" s="135">
        <v>1000</v>
      </c>
      <c r="H9" s="135">
        <v>0.1137164739</v>
      </c>
      <c r="I9" s="135">
        <v>0.10636037800000001</v>
      </c>
      <c r="J9" s="135">
        <v>3.9028996500000003E-2</v>
      </c>
      <c r="K9" s="135">
        <v>6.3009203499999999E-2</v>
      </c>
      <c r="L9" s="135">
        <v>0.1897422634</v>
      </c>
      <c r="M9" s="147">
        <v>5560.7756961151099</v>
      </c>
      <c r="N9" s="148">
        <f t="shared" si="0"/>
        <v>591.44620501201621</v>
      </c>
      <c r="O9" s="156">
        <f t="shared" si="1"/>
        <v>350.38004745437109</v>
      </c>
      <c r="P9" s="156">
        <f t="shared" si="1"/>
        <v>1055.1141668405915</v>
      </c>
      <c r="Q9" s="135">
        <v>8.9600000000000009</v>
      </c>
      <c r="R9" s="144">
        <f t="shared" si="2"/>
        <v>5299.3579969076654</v>
      </c>
      <c r="S9" s="144">
        <f t="shared" si="3"/>
        <v>3139.4052251911653</v>
      </c>
      <c r="T9" s="144">
        <f t="shared" si="3"/>
        <v>9453.8229348917012</v>
      </c>
      <c r="U9" s="135">
        <v>6</v>
      </c>
    </row>
    <row r="10" spans="1:28" s="135" customFormat="1" ht="13.5" customHeight="1" x14ac:dyDescent="0.25">
      <c r="A10" s="135">
        <v>225</v>
      </c>
      <c r="B10" s="135" t="s">
        <v>160</v>
      </c>
      <c r="C10" s="135">
        <v>2017</v>
      </c>
      <c r="D10" s="146" t="s">
        <v>45</v>
      </c>
      <c r="E10" s="159">
        <v>10</v>
      </c>
      <c r="F10" s="135" t="s">
        <v>16</v>
      </c>
      <c r="G10" s="135">
        <v>1000</v>
      </c>
      <c r="H10" s="135">
        <v>0.51812672410000005</v>
      </c>
      <c r="I10" s="135">
        <v>0.51509863379999998</v>
      </c>
      <c r="J10" s="135">
        <v>3.19288707E-2</v>
      </c>
      <c r="K10" s="135">
        <v>0.47024208360000003</v>
      </c>
      <c r="L10" s="135">
        <v>0.57438204550000005</v>
      </c>
      <c r="M10" s="147">
        <v>10828.706776282988</v>
      </c>
      <c r="N10" s="148">
        <f t="shared" si="0"/>
        <v>5577.8520662841693</v>
      </c>
      <c r="O10" s="156">
        <f t="shared" si="1"/>
        <v>5092.1136371727516</v>
      </c>
      <c r="P10" s="156">
        <f t="shared" si="1"/>
        <v>6219.8147482811346</v>
      </c>
      <c r="Q10" s="135">
        <v>9.9</v>
      </c>
      <c r="R10" s="144">
        <f t="shared" si="2"/>
        <v>55220.735456213275</v>
      </c>
      <c r="S10" s="144">
        <f t="shared" si="3"/>
        <v>50411.925008010243</v>
      </c>
      <c r="T10" s="144">
        <f t="shared" si="3"/>
        <v>61576.166007983236</v>
      </c>
      <c r="U10" s="135">
        <v>1</v>
      </c>
    </row>
    <row r="11" spans="1:28" s="135" customFormat="1" ht="13.5" customHeight="1" x14ac:dyDescent="0.25">
      <c r="A11" s="135">
        <v>226</v>
      </c>
      <c r="B11" s="135" t="s">
        <v>160</v>
      </c>
      <c r="C11" s="135">
        <v>2017</v>
      </c>
      <c r="D11" s="146" t="s">
        <v>45</v>
      </c>
      <c r="E11" s="159">
        <v>11</v>
      </c>
      <c r="F11" s="135" t="s">
        <v>17</v>
      </c>
      <c r="G11" s="135">
        <v>1000</v>
      </c>
      <c r="H11" s="135">
        <v>1.8744109700000001E-2</v>
      </c>
      <c r="I11" s="135">
        <v>1.52950207E-2</v>
      </c>
      <c r="J11" s="135">
        <v>1.15741344E-2</v>
      </c>
      <c r="K11" s="135">
        <v>5.3471059000000003E-3</v>
      </c>
      <c r="L11" s="135">
        <v>4.1169175699999998E-2</v>
      </c>
      <c r="M11" s="147">
        <v>11753.048720473937</v>
      </c>
      <c r="N11" s="148">
        <f t="shared" si="0"/>
        <v>179.76312346775737</v>
      </c>
      <c r="O11" s="156">
        <f t="shared" si="1"/>
        <v>62.844796156233642</v>
      </c>
      <c r="P11" s="156">
        <f t="shared" si="1"/>
        <v>483.86332778385167</v>
      </c>
      <c r="Q11" s="135">
        <v>9.6999999999999993</v>
      </c>
      <c r="R11" s="144">
        <f t="shared" si="2"/>
        <v>1743.7022976372464</v>
      </c>
      <c r="S11" s="144">
        <f t="shared" si="3"/>
        <v>609.59452271546627</v>
      </c>
      <c r="T11" s="144">
        <f t="shared" si="3"/>
        <v>4693.4742795033608</v>
      </c>
      <c r="U11" s="135">
        <v>8</v>
      </c>
    </row>
    <row r="12" spans="1:28" s="135" customFormat="1" ht="13.5" customHeight="1" x14ac:dyDescent="0.25">
      <c r="A12" s="135">
        <v>227</v>
      </c>
      <c r="B12" s="135" t="s">
        <v>160</v>
      </c>
      <c r="C12" s="135">
        <v>2017</v>
      </c>
      <c r="D12" s="146" t="s">
        <v>45</v>
      </c>
      <c r="E12" s="159">
        <v>12</v>
      </c>
      <c r="F12" s="135" t="s">
        <v>18</v>
      </c>
      <c r="G12" s="135">
        <v>1000</v>
      </c>
      <c r="H12" s="135">
        <v>0</v>
      </c>
      <c r="I12" s="135">
        <v>0</v>
      </c>
      <c r="J12" s="135">
        <v>0</v>
      </c>
      <c r="K12" s="135">
        <v>0</v>
      </c>
      <c r="L12" s="135">
        <v>0</v>
      </c>
      <c r="M12" s="147">
        <v>30959.729118353116</v>
      </c>
      <c r="N12" s="148">
        <f t="shared" si="0"/>
        <v>0</v>
      </c>
      <c r="O12" s="156">
        <f t="shared" si="1"/>
        <v>0</v>
      </c>
      <c r="P12" s="156">
        <f t="shared" si="1"/>
        <v>0</v>
      </c>
      <c r="Q12" s="135">
        <v>14</v>
      </c>
      <c r="R12" s="144">
        <f t="shared" si="2"/>
        <v>0</v>
      </c>
      <c r="S12" s="144">
        <f t="shared" si="3"/>
        <v>0</v>
      </c>
      <c r="T12" s="144">
        <f t="shared" si="3"/>
        <v>0</v>
      </c>
    </row>
    <row r="13" spans="1:28" s="135" customFormat="1" ht="13.5" customHeight="1" x14ac:dyDescent="0.25">
      <c r="A13" s="135">
        <v>228</v>
      </c>
      <c r="B13" s="135" t="s">
        <v>160</v>
      </c>
      <c r="C13" s="135">
        <v>2017</v>
      </c>
      <c r="D13" s="146" t="s">
        <v>45</v>
      </c>
      <c r="E13" s="159">
        <v>13</v>
      </c>
      <c r="F13" s="135" t="s">
        <v>19</v>
      </c>
      <c r="G13" s="135">
        <v>1000</v>
      </c>
      <c r="H13" s="135">
        <v>3.0344606100000001E-2</v>
      </c>
      <c r="I13" s="135">
        <v>2.80668718E-2</v>
      </c>
      <c r="J13" s="135">
        <v>7.4053458999999997E-3</v>
      </c>
      <c r="K13" s="135">
        <v>2.32772043E-2</v>
      </c>
      <c r="L13" s="135">
        <v>4.7894454199999999E-2</v>
      </c>
      <c r="M13" s="147">
        <v>5410.2633795388801</v>
      </c>
      <c r="N13" s="148">
        <f t="shared" si="0"/>
        <v>151.84916867775249</v>
      </c>
      <c r="O13" s="156">
        <f t="shared" si="1"/>
        <v>125.93580600233496</v>
      </c>
      <c r="P13" s="156">
        <f t="shared" si="1"/>
        <v>259.12161164126212</v>
      </c>
      <c r="Q13" s="135">
        <v>13</v>
      </c>
      <c r="R13" s="144">
        <f t="shared" si="2"/>
        <v>1974.0391928107824</v>
      </c>
      <c r="S13" s="144">
        <f t="shared" si="3"/>
        <v>1637.1654780303545</v>
      </c>
      <c r="T13" s="144">
        <f t="shared" si="3"/>
        <v>3368.5809513364075</v>
      </c>
      <c r="U13" s="135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6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0" sqref="B20"/>
    </sheetView>
  </sheetViews>
  <sheetFormatPr defaultRowHeight="12.6" x14ac:dyDescent="0.25"/>
  <sheetData>
    <row r="1" spans="1:2" x14ac:dyDescent="0.25">
      <c r="A1">
        <v>1</v>
      </c>
      <c r="B1" t="s">
        <v>7</v>
      </c>
    </row>
    <row r="2" spans="1:2" x14ac:dyDescent="0.25">
      <c r="A2">
        <v>2</v>
      </c>
      <c r="B2" t="s">
        <v>8</v>
      </c>
    </row>
    <row r="3" spans="1:2" x14ac:dyDescent="0.25">
      <c r="A3">
        <v>3</v>
      </c>
      <c r="B3" t="s">
        <v>9</v>
      </c>
    </row>
    <row r="4" spans="1:2" x14ac:dyDescent="0.25">
      <c r="A4">
        <v>4</v>
      </c>
      <c r="B4" t="s">
        <v>10</v>
      </c>
    </row>
    <row r="5" spans="1:2" x14ac:dyDescent="0.25">
      <c r="A5">
        <v>5</v>
      </c>
      <c r="B5" t="s">
        <v>11</v>
      </c>
    </row>
    <row r="6" spans="1:2" x14ac:dyDescent="0.25">
      <c r="A6">
        <v>6</v>
      </c>
      <c r="B6" t="s">
        <v>12</v>
      </c>
    </row>
    <row r="7" spans="1:2" x14ac:dyDescent="0.25">
      <c r="A7">
        <v>7</v>
      </c>
      <c r="B7" t="s">
        <v>13</v>
      </c>
    </row>
    <row r="8" spans="1:2" x14ac:dyDescent="0.25">
      <c r="A8">
        <v>8</v>
      </c>
      <c r="B8" t="s">
        <v>14</v>
      </c>
    </row>
    <row r="9" spans="1:2" x14ac:dyDescent="0.25">
      <c r="A9">
        <v>9</v>
      </c>
      <c r="B9" t="s">
        <v>15</v>
      </c>
    </row>
    <row r="10" spans="1:2" x14ac:dyDescent="0.25">
      <c r="A10">
        <v>10</v>
      </c>
      <c r="B10" t="s">
        <v>16</v>
      </c>
    </row>
    <row r="11" spans="1:2" x14ac:dyDescent="0.25">
      <c r="A11">
        <v>11</v>
      </c>
      <c r="B11" t="s">
        <v>17</v>
      </c>
    </row>
    <row r="12" spans="1:2" x14ac:dyDescent="0.25">
      <c r="A12">
        <v>12</v>
      </c>
      <c r="B12" t="s">
        <v>18</v>
      </c>
    </row>
    <row r="13" spans="1:2" x14ac:dyDescent="0.25">
      <c r="A13">
        <v>13</v>
      </c>
      <c r="B13" t="s">
        <v>19</v>
      </c>
    </row>
    <row r="14" spans="1:2" x14ac:dyDescent="0.25">
      <c r="A14">
        <v>14</v>
      </c>
    </row>
    <row r="15" spans="1:2" x14ac:dyDescent="0.25">
      <c r="A15">
        <v>15</v>
      </c>
    </row>
    <row r="16" spans="1:2" x14ac:dyDescent="0.25">
      <c r="A16">
        <v>16</v>
      </c>
    </row>
    <row r="17" spans="1:2" x14ac:dyDescent="0.25">
      <c r="A17">
        <v>17</v>
      </c>
    </row>
    <row r="18" spans="1:2" x14ac:dyDescent="0.25">
      <c r="A18">
        <v>18</v>
      </c>
    </row>
    <row r="19" spans="1:2" x14ac:dyDescent="0.25">
      <c r="A19">
        <v>19</v>
      </c>
    </row>
    <row r="20" spans="1:2" x14ac:dyDescent="0.25">
      <c r="A20">
        <v>20</v>
      </c>
      <c r="B20" t="s">
        <v>29</v>
      </c>
    </row>
    <row r="21" spans="1:2" x14ac:dyDescent="0.25">
      <c r="A21">
        <v>21</v>
      </c>
      <c r="B21" t="s">
        <v>43</v>
      </c>
    </row>
  </sheetData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13" workbookViewId="0">
      <selection activeCell="C27" sqref="C27:C42"/>
    </sheetView>
  </sheetViews>
  <sheetFormatPr defaultRowHeight="12.6" x14ac:dyDescent="0.25"/>
  <cols>
    <col min="2" max="2" width="24.5546875" customWidth="1"/>
    <col min="7" max="7" width="24.33203125" customWidth="1"/>
    <col min="12" max="12" width="25.6640625" customWidth="1"/>
  </cols>
  <sheetData>
    <row r="1" spans="1:14" x14ac:dyDescent="0.25">
      <c r="A1" s="28" t="s">
        <v>64</v>
      </c>
      <c r="B1" s="28" t="s">
        <v>60</v>
      </c>
      <c r="C1" s="28" t="s">
        <v>65</v>
      </c>
      <c r="D1" s="28" t="s">
        <v>66</v>
      </c>
      <c r="F1" s="28" t="s">
        <v>64</v>
      </c>
      <c r="G1" s="28" t="s">
        <v>60</v>
      </c>
      <c r="H1" s="28" t="s">
        <v>65</v>
      </c>
      <c r="I1" s="28" t="s">
        <v>66</v>
      </c>
      <c r="K1" s="28" t="s">
        <v>64</v>
      </c>
      <c r="L1" s="28" t="s">
        <v>60</v>
      </c>
      <c r="M1" s="28" t="s">
        <v>65</v>
      </c>
      <c r="N1" s="28" t="s">
        <v>66</v>
      </c>
    </row>
    <row r="2" spans="1:14" x14ac:dyDescent="0.25">
      <c r="A2" s="26">
        <v>20064</v>
      </c>
      <c r="B2" s="26" t="s">
        <v>58</v>
      </c>
      <c r="C2" s="26" t="s">
        <v>59</v>
      </c>
      <c r="D2" s="26">
        <v>1982</v>
      </c>
      <c r="F2" s="26">
        <v>20028</v>
      </c>
      <c r="G2" s="26" t="s">
        <v>56</v>
      </c>
      <c r="H2" s="26" t="s">
        <v>57</v>
      </c>
      <c r="I2" s="26">
        <v>1979</v>
      </c>
      <c r="K2" s="26">
        <v>20022</v>
      </c>
      <c r="L2" s="26" t="s">
        <v>61</v>
      </c>
      <c r="M2" s="26" t="s">
        <v>62</v>
      </c>
      <c r="N2" s="26">
        <v>1979</v>
      </c>
    </row>
    <row r="3" spans="1:14" x14ac:dyDescent="0.25">
      <c r="A3" s="26">
        <v>20077</v>
      </c>
      <c r="B3" s="26" t="s">
        <v>58</v>
      </c>
      <c r="C3" s="26" t="s">
        <v>59</v>
      </c>
      <c r="D3" s="26">
        <v>1983</v>
      </c>
      <c r="F3" s="26">
        <v>20043</v>
      </c>
      <c r="G3" s="26" t="s">
        <v>56</v>
      </c>
      <c r="H3" s="26" t="s">
        <v>57</v>
      </c>
      <c r="I3" s="26">
        <v>1980</v>
      </c>
      <c r="K3" s="26">
        <v>20038</v>
      </c>
      <c r="L3" s="26" t="s">
        <v>61</v>
      </c>
      <c r="M3" s="26" t="s">
        <v>63</v>
      </c>
      <c r="N3" s="26">
        <v>1980</v>
      </c>
    </row>
    <row r="4" spans="1:14" x14ac:dyDescent="0.25">
      <c r="A4" s="26">
        <v>20093</v>
      </c>
      <c r="B4" s="26" t="s">
        <v>58</v>
      </c>
      <c r="C4" s="26" t="s">
        <v>59</v>
      </c>
      <c r="D4" s="26">
        <v>1984</v>
      </c>
      <c r="F4" s="26">
        <v>20043</v>
      </c>
      <c r="G4" s="26" t="s">
        <v>56</v>
      </c>
      <c r="H4" s="26" t="s">
        <v>57</v>
      </c>
      <c r="I4" s="26">
        <v>1980</v>
      </c>
      <c r="K4" s="26">
        <v>20052</v>
      </c>
      <c r="L4" s="26" t="s">
        <v>61</v>
      </c>
      <c r="M4" s="26" t="s">
        <v>59</v>
      </c>
      <c r="N4" s="26">
        <v>1981</v>
      </c>
    </row>
    <row r="5" spans="1:14" x14ac:dyDescent="0.25">
      <c r="A5" s="26">
        <v>20109</v>
      </c>
      <c r="B5" s="26" t="s">
        <v>58</v>
      </c>
      <c r="C5" s="26" t="s">
        <v>59</v>
      </c>
      <c r="D5" s="26">
        <v>1985</v>
      </c>
      <c r="F5" s="26">
        <v>20043</v>
      </c>
      <c r="G5" s="26" t="s">
        <v>56</v>
      </c>
      <c r="H5" s="26" t="s">
        <v>57</v>
      </c>
      <c r="I5" s="26">
        <v>1980</v>
      </c>
      <c r="K5" s="26">
        <v>20052</v>
      </c>
      <c r="L5" s="26" t="s">
        <v>61</v>
      </c>
      <c r="M5" s="26" t="s">
        <v>59</v>
      </c>
      <c r="N5" s="26">
        <v>1981</v>
      </c>
    </row>
    <row r="6" spans="1:14" x14ac:dyDescent="0.25">
      <c r="A6" s="26">
        <v>20124</v>
      </c>
      <c r="B6" s="26" t="s">
        <v>58</v>
      </c>
      <c r="C6" s="26" t="s">
        <v>59</v>
      </c>
      <c r="D6" s="26">
        <v>1986</v>
      </c>
      <c r="F6" s="26">
        <v>20056</v>
      </c>
      <c r="G6" s="26" t="s">
        <v>56</v>
      </c>
      <c r="H6" s="26" t="s">
        <v>57</v>
      </c>
      <c r="I6" s="26">
        <v>1981</v>
      </c>
      <c r="K6" s="26">
        <v>20052</v>
      </c>
      <c r="L6" s="26" t="s">
        <v>61</v>
      </c>
      <c r="M6" s="26" t="s">
        <v>59</v>
      </c>
      <c r="N6" s="26">
        <v>1981</v>
      </c>
    </row>
    <row r="7" spans="1:14" x14ac:dyDescent="0.25">
      <c r="A7" s="26">
        <v>20137</v>
      </c>
      <c r="B7" s="26" t="s">
        <v>58</v>
      </c>
      <c r="C7" s="26" t="s">
        <v>59</v>
      </c>
      <c r="D7" s="26">
        <v>1987</v>
      </c>
      <c r="F7" s="26">
        <v>20056</v>
      </c>
      <c r="G7" s="26" t="s">
        <v>56</v>
      </c>
      <c r="H7" s="26" t="s">
        <v>57</v>
      </c>
      <c r="I7" s="26">
        <v>1981</v>
      </c>
      <c r="K7" s="26">
        <v>20066</v>
      </c>
      <c r="L7" s="26" t="s">
        <v>61</v>
      </c>
      <c r="M7" s="26" t="s">
        <v>59</v>
      </c>
      <c r="N7" s="26">
        <v>1982</v>
      </c>
    </row>
    <row r="8" spans="1:14" x14ac:dyDescent="0.25">
      <c r="A8" s="26">
        <v>20151</v>
      </c>
      <c r="B8" s="26" t="s">
        <v>58</v>
      </c>
      <c r="C8" s="26" t="s">
        <v>59</v>
      </c>
      <c r="D8" s="26">
        <v>1988</v>
      </c>
      <c r="F8" s="26">
        <v>20070</v>
      </c>
      <c r="G8" s="26" t="s">
        <v>56</v>
      </c>
      <c r="H8" s="26" t="s">
        <v>57</v>
      </c>
      <c r="I8" s="26">
        <v>1982</v>
      </c>
      <c r="K8" s="26">
        <v>20066</v>
      </c>
      <c r="L8" s="26" t="s">
        <v>61</v>
      </c>
      <c r="M8" s="26" t="s">
        <v>59</v>
      </c>
      <c r="N8" s="26">
        <v>1982</v>
      </c>
    </row>
    <row r="9" spans="1:14" x14ac:dyDescent="0.25">
      <c r="A9" s="26">
        <v>20166</v>
      </c>
      <c r="B9" s="26" t="s">
        <v>58</v>
      </c>
      <c r="C9" s="26" t="s">
        <v>59</v>
      </c>
      <c r="D9" s="26">
        <v>1989</v>
      </c>
      <c r="F9" s="26">
        <v>20070</v>
      </c>
      <c r="G9" s="26" t="s">
        <v>56</v>
      </c>
      <c r="H9" s="26" t="s">
        <v>57</v>
      </c>
      <c r="I9" s="26">
        <v>1982</v>
      </c>
      <c r="K9" s="26">
        <v>20080</v>
      </c>
      <c r="L9" s="26" t="s">
        <v>61</v>
      </c>
      <c r="M9" s="26" t="s">
        <v>59</v>
      </c>
      <c r="N9" s="26">
        <v>1983</v>
      </c>
    </row>
    <row r="10" spans="1:14" x14ac:dyDescent="0.25">
      <c r="A10" s="26">
        <v>20181</v>
      </c>
      <c r="B10" s="26" t="s">
        <v>58</v>
      </c>
      <c r="C10" s="26" t="s">
        <v>59</v>
      </c>
      <c r="D10" s="26">
        <v>1990</v>
      </c>
      <c r="F10" s="26">
        <v>20075</v>
      </c>
      <c r="G10" s="26" t="s">
        <v>56</v>
      </c>
      <c r="H10" s="26" t="s">
        <v>57</v>
      </c>
      <c r="I10" s="26">
        <v>1982</v>
      </c>
      <c r="K10" s="26">
        <v>20080</v>
      </c>
      <c r="L10" s="26" t="s">
        <v>61</v>
      </c>
      <c r="M10" s="26" t="s">
        <v>59</v>
      </c>
      <c r="N10" s="26">
        <v>1983</v>
      </c>
    </row>
    <row r="11" spans="1:14" x14ac:dyDescent="0.25">
      <c r="A11" s="26">
        <v>20200</v>
      </c>
      <c r="B11" s="26" t="s">
        <v>58</v>
      </c>
      <c r="C11" s="26" t="s">
        <v>59</v>
      </c>
      <c r="D11" s="26">
        <v>1991</v>
      </c>
      <c r="F11" s="26">
        <v>20085</v>
      </c>
      <c r="G11" s="26" t="s">
        <v>56</v>
      </c>
      <c r="H11" s="26" t="s">
        <v>57</v>
      </c>
      <c r="I11" s="26">
        <v>1983</v>
      </c>
      <c r="K11" s="26">
        <v>20096</v>
      </c>
      <c r="L11" s="26" t="s">
        <v>61</v>
      </c>
      <c r="M11" s="26" t="s">
        <v>59</v>
      </c>
      <c r="N11" s="26">
        <v>1984</v>
      </c>
    </row>
    <row r="12" spans="1:14" x14ac:dyDescent="0.25">
      <c r="A12" s="26">
        <v>20202</v>
      </c>
      <c r="B12" s="26" t="s">
        <v>58</v>
      </c>
      <c r="C12" s="26" t="s">
        <v>59</v>
      </c>
      <c r="D12" s="26">
        <v>1991</v>
      </c>
      <c r="F12" s="26">
        <v>20085</v>
      </c>
      <c r="G12" s="26" t="s">
        <v>56</v>
      </c>
      <c r="H12" s="26" t="s">
        <v>57</v>
      </c>
      <c r="I12" s="26">
        <v>1983</v>
      </c>
      <c r="K12" s="26">
        <v>20096</v>
      </c>
      <c r="L12" s="26" t="s">
        <v>61</v>
      </c>
      <c r="M12" s="26" t="s">
        <v>59</v>
      </c>
      <c r="N12" s="26">
        <v>1984</v>
      </c>
    </row>
    <row r="13" spans="1:14" x14ac:dyDescent="0.25">
      <c r="A13" s="26">
        <v>20215</v>
      </c>
      <c r="B13" s="26" t="s">
        <v>58</v>
      </c>
      <c r="C13" s="26" t="s">
        <v>59</v>
      </c>
      <c r="D13" s="26">
        <v>1992</v>
      </c>
      <c r="F13" s="26">
        <v>20085</v>
      </c>
      <c r="G13" s="26" t="s">
        <v>56</v>
      </c>
      <c r="H13" s="26" t="s">
        <v>57</v>
      </c>
      <c r="I13" s="26">
        <v>1983</v>
      </c>
      <c r="K13" s="26">
        <v>20111</v>
      </c>
      <c r="L13" s="26" t="s">
        <v>61</v>
      </c>
      <c r="M13" s="26" t="s">
        <v>59</v>
      </c>
      <c r="N13" s="26">
        <v>1985</v>
      </c>
    </row>
    <row r="14" spans="1:14" x14ac:dyDescent="0.25">
      <c r="A14" s="26">
        <v>39029</v>
      </c>
      <c r="B14" s="26" t="s">
        <v>58</v>
      </c>
      <c r="C14" s="26" t="s">
        <v>59</v>
      </c>
      <c r="D14" s="26">
        <v>1996</v>
      </c>
      <c r="F14" s="26">
        <v>20100</v>
      </c>
      <c r="G14" s="26" t="s">
        <v>56</v>
      </c>
      <c r="H14" s="26" t="s">
        <v>57</v>
      </c>
      <c r="I14" s="26">
        <v>1984</v>
      </c>
      <c r="K14" s="26">
        <v>20111</v>
      </c>
      <c r="L14" s="26" t="s">
        <v>61</v>
      </c>
      <c r="M14" s="26" t="s">
        <v>59</v>
      </c>
      <c r="N14" s="26">
        <v>1985</v>
      </c>
    </row>
    <row r="15" spans="1:14" x14ac:dyDescent="0.25">
      <c r="A15" s="26">
        <v>39078</v>
      </c>
      <c r="B15" s="26" t="s">
        <v>58</v>
      </c>
      <c r="C15" s="26" t="s">
        <v>59</v>
      </c>
      <c r="D15" s="26">
        <v>1999</v>
      </c>
      <c r="F15" s="26">
        <v>20100</v>
      </c>
      <c r="G15" s="26" t="s">
        <v>56</v>
      </c>
      <c r="H15" s="26" t="s">
        <v>57</v>
      </c>
      <c r="I15" s="26">
        <v>1984</v>
      </c>
      <c r="K15" s="26">
        <v>20126</v>
      </c>
      <c r="L15" s="26" t="s">
        <v>61</v>
      </c>
      <c r="M15" s="26" t="s">
        <v>59</v>
      </c>
      <c r="N15" s="26">
        <v>1986</v>
      </c>
    </row>
    <row r="16" spans="1:14" x14ac:dyDescent="0.25">
      <c r="A16" s="26">
        <v>39303</v>
      </c>
      <c r="B16" s="26" t="s">
        <v>58</v>
      </c>
      <c r="C16" s="26" t="s">
        <v>59</v>
      </c>
      <c r="D16" s="26">
        <v>2000</v>
      </c>
      <c r="F16" s="26">
        <v>20115</v>
      </c>
      <c r="G16" s="26" t="s">
        <v>56</v>
      </c>
      <c r="H16" s="26" t="s">
        <v>57</v>
      </c>
      <c r="I16" s="26">
        <v>1985</v>
      </c>
      <c r="K16" s="26">
        <v>20126</v>
      </c>
      <c r="L16" s="26" t="s">
        <v>61</v>
      </c>
      <c r="M16" s="26" t="s">
        <v>59</v>
      </c>
      <c r="N16" s="26">
        <v>1986</v>
      </c>
    </row>
    <row r="17" spans="1:14" x14ac:dyDescent="0.25">
      <c r="A17" s="26">
        <v>39353</v>
      </c>
      <c r="B17" s="26" t="s">
        <v>58</v>
      </c>
      <c r="C17" s="26" t="s">
        <v>59</v>
      </c>
      <c r="D17" s="26">
        <v>2001</v>
      </c>
      <c r="F17" s="26">
        <v>20115</v>
      </c>
      <c r="G17" s="26" t="s">
        <v>56</v>
      </c>
      <c r="H17" s="26" t="s">
        <v>57</v>
      </c>
      <c r="I17" s="26">
        <v>1985</v>
      </c>
      <c r="K17" s="26">
        <v>20139</v>
      </c>
      <c r="L17" s="26" t="s">
        <v>61</v>
      </c>
      <c r="M17" s="26" t="s">
        <v>59</v>
      </c>
      <c r="N17" s="26">
        <v>1987</v>
      </c>
    </row>
    <row r="18" spans="1:14" x14ac:dyDescent="0.25">
      <c r="A18" s="26">
        <v>39404</v>
      </c>
      <c r="B18" s="26" t="s">
        <v>58</v>
      </c>
      <c r="C18" s="26" t="s">
        <v>59</v>
      </c>
      <c r="D18" s="26">
        <v>2002</v>
      </c>
      <c r="F18" s="26">
        <v>20130</v>
      </c>
      <c r="G18" s="26" t="s">
        <v>56</v>
      </c>
      <c r="H18" s="26" t="s">
        <v>57</v>
      </c>
      <c r="I18" s="26">
        <v>1986</v>
      </c>
      <c r="K18" s="26">
        <v>20139</v>
      </c>
      <c r="L18" s="26" t="s">
        <v>61</v>
      </c>
      <c r="M18" s="26" t="s">
        <v>59</v>
      </c>
      <c r="N18" s="26">
        <v>1987</v>
      </c>
    </row>
    <row r="19" spans="1:14" x14ac:dyDescent="0.25">
      <c r="A19" s="26">
        <v>39463</v>
      </c>
      <c r="B19" s="26" t="s">
        <v>58</v>
      </c>
      <c r="C19" s="26" t="s">
        <v>59</v>
      </c>
      <c r="D19" s="26">
        <v>2003</v>
      </c>
      <c r="F19" s="26">
        <v>20130</v>
      </c>
      <c r="G19" s="26" t="s">
        <v>56</v>
      </c>
      <c r="H19" s="26" t="s">
        <v>57</v>
      </c>
      <c r="I19" s="26">
        <v>1986</v>
      </c>
      <c r="K19" s="26">
        <v>20153</v>
      </c>
      <c r="L19" s="26" t="s">
        <v>61</v>
      </c>
      <c r="M19" s="26" t="s">
        <v>59</v>
      </c>
      <c r="N19" s="26">
        <v>1988</v>
      </c>
    </row>
    <row r="20" spans="1:14" x14ac:dyDescent="0.25">
      <c r="A20" s="26">
        <v>39508</v>
      </c>
      <c r="B20" s="26" t="s">
        <v>58</v>
      </c>
      <c r="C20" s="26" t="s">
        <v>59</v>
      </c>
      <c r="D20" s="26">
        <v>2003</v>
      </c>
      <c r="F20" s="26">
        <v>20144</v>
      </c>
      <c r="G20" s="26" t="s">
        <v>56</v>
      </c>
      <c r="H20" s="26" t="s">
        <v>57</v>
      </c>
      <c r="I20" s="26">
        <v>1987</v>
      </c>
      <c r="K20" s="26">
        <v>20153</v>
      </c>
      <c r="L20" s="26" t="s">
        <v>61</v>
      </c>
      <c r="M20" s="26" t="s">
        <v>59</v>
      </c>
      <c r="N20" s="26">
        <v>1988</v>
      </c>
    </row>
    <row r="21" spans="1:14" x14ac:dyDescent="0.25">
      <c r="A21" s="26">
        <v>39526</v>
      </c>
      <c r="B21" s="26" t="s">
        <v>58</v>
      </c>
      <c r="C21" s="26" t="s">
        <v>59</v>
      </c>
      <c r="D21" s="26">
        <v>2004</v>
      </c>
      <c r="F21" s="26">
        <v>20144</v>
      </c>
      <c r="G21" s="26" t="s">
        <v>56</v>
      </c>
      <c r="H21" s="26" t="s">
        <v>57</v>
      </c>
      <c r="I21" s="26">
        <v>1987</v>
      </c>
      <c r="K21" s="26">
        <v>20169</v>
      </c>
      <c r="L21" s="26" t="s">
        <v>61</v>
      </c>
      <c r="M21" s="26" t="s">
        <v>59</v>
      </c>
      <c r="N21" s="26">
        <v>1989</v>
      </c>
    </row>
    <row r="22" spans="1:14" x14ac:dyDescent="0.25">
      <c r="A22" s="26">
        <v>39603</v>
      </c>
      <c r="B22" s="26" t="s">
        <v>58</v>
      </c>
      <c r="C22" s="26" t="s">
        <v>59</v>
      </c>
      <c r="D22" s="26">
        <v>2005</v>
      </c>
      <c r="F22" s="26">
        <v>20158</v>
      </c>
      <c r="G22" s="26" t="s">
        <v>56</v>
      </c>
      <c r="H22" s="26" t="s">
        <v>57</v>
      </c>
      <c r="I22" s="26">
        <v>1988</v>
      </c>
      <c r="K22" s="26">
        <v>20169</v>
      </c>
      <c r="L22" s="26" t="s">
        <v>61</v>
      </c>
      <c r="M22" s="26" t="s">
        <v>59</v>
      </c>
      <c r="N22" s="26">
        <v>1989</v>
      </c>
    </row>
    <row r="23" spans="1:14" x14ac:dyDescent="0.25">
      <c r="A23" s="29">
        <v>39742</v>
      </c>
      <c r="B23" s="29" t="s">
        <v>58</v>
      </c>
      <c r="C23" s="29" t="s">
        <v>59</v>
      </c>
      <c r="D23" s="29">
        <v>2007</v>
      </c>
      <c r="F23" s="26">
        <v>20158</v>
      </c>
      <c r="G23" s="26" t="s">
        <v>56</v>
      </c>
      <c r="H23" s="26" t="s">
        <v>57</v>
      </c>
      <c r="I23" s="26">
        <v>1988</v>
      </c>
      <c r="K23" s="26">
        <v>20217</v>
      </c>
      <c r="L23" s="26" t="s">
        <v>61</v>
      </c>
      <c r="M23" s="26" t="s">
        <v>59</v>
      </c>
      <c r="N23" s="26">
        <v>1992</v>
      </c>
    </row>
    <row r="24" spans="1:14" x14ac:dyDescent="0.25">
      <c r="F24" s="26">
        <v>20173</v>
      </c>
      <c r="G24" s="26" t="s">
        <v>56</v>
      </c>
      <c r="H24" s="26" t="s">
        <v>57</v>
      </c>
      <c r="I24" s="26">
        <v>1989</v>
      </c>
      <c r="K24" s="26">
        <v>20217</v>
      </c>
      <c r="L24" s="26" t="s">
        <v>61</v>
      </c>
      <c r="M24" s="26" t="s">
        <v>59</v>
      </c>
      <c r="N24" s="26">
        <v>1992</v>
      </c>
    </row>
    <row r="25" spans="1:14" x14ac:dyDescent="0.25">
      <c r="F25" s="26">
        <v>20173</v>
      </c>
      <c r="G25" s="26" t="s">
        <v>56</v>
      </c>
      <c r="H25" s="26" t="s">
        <v>57</v>
      </c>
      <c r="I25" s="26">
        <v>1989</v>
      </c>
      <c r="K25" s="26">
        <v>39674</v>
      </c>
      <c r="L25" s="26" t="s">
        <v>61</v>
      </c>
      <c r="M25" s="26" t="s">
        <v>59</v>
      </c>
      <c r="N25" s="26">
        <v>2006</v>
      </c>
    </row>
    <row r="26" spans="1:14" x14ac:dyDescent="0.25">
      <c r="F26" s="26">
        <v>20189</v>
      </c>
      <c r="G26" s="26" t="s">
        <v>56</v>
      </c>
      <c r="H26" s="26" t="s">
        <v>57</v>
      </c>
      <c r="I26" s="26">
        <v>1990</v>
      </c>
      <c r="K26" s="26">
        <v>39674</v>
      </c>
      <c r="L26" s="26" t="s">
        <v>61</v>
      </c>
      <c r="M26" s="26" t="s">
        <v>59</v>
      </c>
      <c r="N26" s="26">
        <v>2006</v>
      </c>
    </row>
    <row r="27" spans="1:14" x14ac:dyDescent="0.25">
      <c r="B27" s="26">
        <v>1988</v>
      </c>
      <c r="C27" s="26">
        <v>20151</v>
      </c>
      <c r="F27" s="26">
        <v>20207</v>
      </c>
      <c r="G27" s="26" t="s">
        <v>56</v>
      </c>
      <c r="H27" s="26" t="s">
        <v>57</v>
      </c>
      <c r="I27" s="26">
        <v>1991</v>
      </c>
    </row>
    <row r="28" spans="1:14" x14ac:dyDescent="0.25">
      <c r="B28" s="26">
        <v>1989</v>
      </c>
      <c r="C28" s="26">
        <v>20166</v>
      </c>
      <c r="F28" s="26">
        <v>20207</v>
      </c>
      <c r="G28" s="26" t="s">
        <v>56</v>
      </c>
      <c r="H28" s="26" t="s">
        <v>57</v>
      </c>
      <c r="I28" s="26">
        <v>1991</v>
      </c>
    </row>
    <row r="29" spans="1:14" x14ac:dyDescent="0.25">
      <c r="B29" s="26">
        <v>1990</v>
      </c>
      <c r="C29" s="26">
        <v>20181</v>
      </c>
      <c r="F29" s="26">
        <v>20223</v>
      </c>
      <c r="G29" s="26" t="s">
        <v>56</v>
      </c>
      <c r="H29" s="26" t="s">
        <v>57</v>
      </c>
      <c r="I29" s="26">
        <v>1992</v>
      </c>
    </row>
    <row r="30" spans="1:14" x14ac:dyDescent="0.25">
      <c r="B30" s="26">
        <v>1991</v>
      </c>
      <c r="C30" s="26">
        <v>20200</v>
      </c>
      <c r="F30" s="26">
        <v>20223</v>
      </c>
      <c r="G30" s="26" t="s">
        <v>56</v>
      </c>
      <c r="H30" s="26" t="s">
        <v>57</v>
      </c>
      <c r="I30" s="26">
        <v>1992</v>
      </c>
    </row>
    <row r="31" spans="1:14" x14ac:dyDescent="0.25">
      <c r="B31" s="26">
        <v>1991</v>
      </c>
      <c r="C31" s="26">
        <v>20202</v>
      </c>
      <c r="F31" s="26">
        <v>20234</v>
      </c>
      <c r="G31" s="26" t="s">
        <v>56</v>
      </c>
      <c r="H31" s="26" t="s">
        <v>57</v>
      </c>
      <c r="I31" s="26">
        <v>1993</v>
      </c>
    </row>
    <row r="32" spans="1:14" x14ac:dyDescent="0.25">
      <c r="B32" s="26">
        <v>1992</v>
      </c>
      <c r="C32" s="26">
        <v>20215</v>
      </c>
      <c r="F32" s="26">
        <v>20234</v>
      </c>
      <c r="G32" s="26" t="s">
        <v>56</v>
      </c>
      <c r="H32" s="26" t="s">
        <v>57</v>
      </c>
      <c r="I32" s="26">
        <v>1993</v>
      </c>
    </row>
    <row r="33" spans="2:9" x14ac:dyDescent="0.25">
      <c r="B33" s="26">
        <v>1996</v>
      </c>
      <c r="C33" s="26">
        <v>39029</v>
      </c>
      <c r="F33" s="26">
        <v>20234</v>
      </c>
      <c r="G33" s="26" t="s">
        <v>56</v>
      </c>
      <c r="H33" s="26" t="s">
        <v>57</v>
      </c>
      <c r="I33" s="26">
        <v>1993</v>
      </c>
    </row>
    <row r="34" spans="2:9" x14ac:dyDescent="0.25">
      <c r="B34" s="26">
        <v>1999</v>
      </c>
      <c r="C34" s="26">
        <v>39078</v>
      </c>
      <c r="F34" s="26">
        <v>20248</v>
      </c>
      <c r="G34" s="26" t="s">
        <v>56</v>
      </c>
      <c r="H34" s="26" t="s">
        <v>57</v>
      </c>
      <c r="I34" s="26">
        <v>1994</v>
      </c>
    </row>
    <row r="35" spans="2:9" x14ac:dyDescent="0.25">
      <c r="B35" s="26">
        <v>2000</v>
      </c>
      <c r="C35" s="26">
        <v>39303</v>
      </c>
      <c r="F35" s="26">
        <v>20248</v>
      </c>
      <c r="G35" s="26" t="s">
        <v>56</v>
      </c>
      <c r="H35" s="26" t="s">
        <v>57</v>
      </c>
      <c r="I35" s="26">
        <v>1994</v>
      </c>
    </row>
    <row r="36" spans="2:9" x14ac:dyDescent="0.25">
      <c r="B36" s="26">
        <v>2001</v>
      </c>
      <c r="C36" s="26">
        <v>39353</v>
      </c>
      <c r="E36" s="27"/>
    </row>
    <row r="37" spans="2:9" x14ac:dyDescent="0.25">
      <c r="B37" s="26">
        <v>2002</v>
      </c>
      <c r="C37" s="26">
        <v>39404</v>
      </c>
      <c r="E37" s="27"/>
    </row>
    <row r="38" spans="2:9" x14ac:dyDescent="0.25">
      <c r="B38" s="26">
        <v>2003</v>
      </c>
      <c r="C38" s="26">
        <v>39463</v>
      </c>
      <c r="E38" s="27"/>
    </row>
    <row r="39" spans="2:9" x14ac:dyDescent="0.25">
      <c r="B39" s="26">
        <v>2003</v>
      </c>
      <c r="C39" s="26">
        <v>39508</v>
      </c>
      <c r="E39" s="27"/>
    </row>
    <row r="40" spans="2:9" x14ac:dyDescent="0.25">
      <c r="B40" s="26">
        <v>2004</v>
      </c>
      <c r="C40" s="26">
        <v>39526</v>
      </c>
      <c r="E40" s="27"/>
    </row>
    <row r="41" spans="2:9" x14ac:dyDescent="0.25">
      <c r="B41" s="26">
        <v>2005</v>
      </c>
      <c r="C41" s="26">
        <v>39603</v>
      </c>
      <c r="E41" s="27"/>
    </row>
    <row r="42" spans="2:9" x14ac:dyDescent="0.25">
      <c r="B42" s="29">
        <v>2007</v>
      </c>
      <c r="C42" s="29">
        <v>39742</v>
      </c>
      <c r="E42" s="27"/>
    </row>
    <row r="43" spans="2:9" x14ac:dyDescent="0.25">
      <c r="E43" s="27"/>
    </row>
    <row r="44" spans="2:9" x14ac:dyDescent="0.25">
      <c r="E44" s="27"/>
    </row>
    <row r="45" spans="2:9" x14ac:dyDescent="0.25">
      <c r="E45" s="27"/>
    </row>
    <row r="46" spans="2:9" x14ac:dyDescent="0.25">
      <c r="E46" s="27"/>
    </row>
    <row r="47" spans="2:9" x14ac:dyDescent="0.25">
      <c r="E47" s="27"/>
    </row>
    <row r="48" spans="2:9" x14ac:dyDescent="0.25">
      <c r="E48" s="27"/>
    </row>
    <row r="49" spans="5:5" x14ac:dyDescent="0.25">
      <c r="E49" s="27"/>
    </row>
    <row r="50" spans="5:5" x14ac:dyDescent="0.25">
      <c r="E50" s="27"/>
    </row>
    <row r="51" spans="5:5" x14ac:dyDescent="0.25">
      <c r="E51" s="27"/>
    </row>
    <row r="52" spans="5:5" x14ac:dyDescent="0.25">
      <c r="E52" s="27"/>
    </row>
    <row r="53" spans="5:5" x14ac:dyDescent="0.25">
      <c r="E53" s="27"/>
    </row>
    <row r="54" spans="5:5" x14ac:dyDescent="0.25">
      <c r="E54" s="27"/>
    </row>
    <row r="55" spans="5:5" x14ac:dyDescent="0.25">
      <c r="E55" s="27"/>
    </row>
    <row r="56" spans="5:5" x14ac:dyDescent="0.25">
      <c r="E56" s="27"/>
    </row>
    <row r="57" spans="5:5" x14ac:dyDescent="0.25">
      <c r="E57" s="27"/>
    </row>
    <row r="58" spans="5:5" x14ac:dyDescent="0.25">
      <c r="E58" s="27"/>
    </row>
    <row r="59" spans="5:5" x14ac:dyDescent="0.25">
      <c r="E59" s="27"/>
    </row>
    <row r="60" spans="5:5" x14ac:dyDescent="0.25">
      <c r="E60" s="27"/>
    </row>
    <row r="61" spans="5:5" x14ac:dyDescent="0.25">
      <c r="E61" s="27"/>
    </row>
    <row r="62" spans="5:5" x14ac:dyDescent="0.25">
      <c r="E62" s="27"/>
    </row>
    <row r="63" spans="5:5" x14ac:dyDescent="0.25">
      <c r="E63" s="27"/>
    </row>
    <row r="64" spans="5:5" x14ac:dyDescent="0.25">
      <c r="E64" s="27"/>
    </row>
    <row r="65" spans="5:5" x14ac:dyDescent="0.25">
      <c r="E65" s="27"/>
    </row>
    <row r="66" spans="5:5" x14ac:dyDescent="0.25">
      <c r="E66" s="27"/>
    </row>
    <row r="67" spans="5:5" x14ac:dyDescent="0.25">
      <c r="E67" s="27"/>
    </row>
    <row r="68" spans="5:5" x14ac:dyDescent="0.25">
      <c r="E68" s="27"/>
    </row>
    <row r="69" spans="5:5" x14ac:dyDescent="0.25">
      <c r="E69" s="27"/>
    </row>
    <row r="70" spans="5:5" x14ac:dyDescent="0.25">
      <c r="E70" s="27"/>
    </row>
    <row r="71" spans="5:5" x14ac:dyDescent="0.25">
      <c r="E71" s="27"/>
    </row>
    <row r="72" spans="5:5" x14ac:dyDescent="0.25">
      <c r="E72" s="27"/>
    </row>
    <row r="73" spans="5:5" x14ac:dyDescent="0.25">
      <c r="E73" s="27"/>
    </row>
  </sheetData>
  <phoneticPr fontId="1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9"/>
  <sheetViews>
    <sheetView topLeftCell="A16" workbookViewId="0">
      <selection activeCell="S21" sqref="S21:S39"/>
    </sheetView>
  </sheetViews>
  <sheetFormatPr defaultRowHeight="12.6" x14ac:dyDescent="0.25"/>
  <cols>
    <col min="2" max="2" width="7.6640625" customWidth="1"/>
    <col min="3" max="3" width="14.109375" customWidth="1"/>
    <col min="5" max="5" width="11" customWidth="1"/>
    <col min="11" max="11" width="9.109375" style="10"/>
    <col min="12" max="12" width="12.44140625" style="10" customWidth="1"/>
    <col min="13" max="14" width="9.109375" style="10"/>
    <col min="15" max="15" width="9.109375" style="11"/>
    <col min="16" max="18" width="9.109375" style="45"/>
  </cols>
  <sheetData>
    <row r="1" spans="1:19" x14ac:dyDescent="0.25">
      <c r="B1" s="3"/>
      <c r="C1" s="3"/>
      <c r="K1" s="9" t="s">
        <v>22</v>
      </c>
    </row>
    <row r="2" spans="1:19" ht="15.6" x14ac:dyDescent="0.25">
      <c r="A2" s="40" t="s">
        <v>66</v>
      </c>
      <c r="B2" t="s">
        <v>83</v>
      </c>
      <c r="C2" s="4" t="s">
        <v>20</v>
      </c>
      <c r="D2" s="40" t="s">
        <v>64</v>
      </c>
      <c r="K2" s="9" t="s">
        <v>37</v>
      </c>
    </row>
    <row r="3" spans="1:19" x14ac:dyDescent="0.25">
      <c r="E3" t="s">
        <v>84</v>
      </c>
      <c r="F3" s="14" t="s">
        <v>2</v>
      </c>
      <c r="G3" s="14" t="s">
        <v>3</v>
      </c>
      <c r="H3" s="14" t="s">
        <v>4</v>
      </c>
      <c r="I3" s="14" t="s">
        <v>5</v>
      </c>
      <c r="J3" s="14" t="s">
        <v>6</v>
      </c>
      <c r="K3" s="9">
        <v>10715</v>
      </c>
      <c r="L3" s="10" t="s">
        <v>73</v>
      </c>
      <c r="M3" s="10" t="s">
        <v>23</v>
      </c>
      <c r="N3" s="10" t="s">
        <v>24</v>
      </c>
      <c r="O3" s="11" t="s">
        <v>30</v>
      </c>
      <c r="P3" s="45" t="s">
        <v>31</v>
      </c>
      <c r="Q3" s="162" t="s">
        <v>167</v>
      </c>
      <c r="R3" s="162" t="s">
        <v>168</v>
      </c>
      <c r="S3" s="10" t="s">
        <v>166</v>
      </c>
    </row>
    <row r="4" spans="1:19" x14ac:dyDescent="0.25">
      <c r="F4" s="14"/>
      <c r="G4" s="14"/>
      <c r="H4" s="14"/>
      <c r="I4" s="14"/>
      <c r="J4" s="14"/>
      <c r="K4" s="9"/>
      <c r="Q4" s="162"/>
      <c r="R4" s="162"/>
      <c r="S4" s="10"/>
    </row>
    <row r="5" spans="1:19" x14ac:dyDescent="0.25">
      <c r="F5" s="14"/>
      <c r="G5" s="14"/>
      <c r="H5" s="14"/>
      <c r="I5" s="14"/>
      <c r="J5" s="14"/>
      <c r="K5" s="9"/>
      <c r="Q5" s="162"/>
      <c r="R5" s="162"/>
      <c r="S5" s="10"/>
    </row>
    <row r="6" spans="1:19" x14ac:dyDescent="0.25">
      <c r="F6" s="14"/>
      <c r="G6" s="14"/>
      <c r="H6" s="14"/>
      <c r="I6" s="14"/>
      <c r="J6" s="14"/>
      <c r="K6" s="9"/>
      <c r="Q6" s="162"/>
      <c r="R6" s="162"/>
      <c r="S6" s="10"/>
    </row>
    <row r="7" spans="1:19" x14ac:dyDescent="0.25">
      <c r="F7" s="14"/>
      <c r="G7" s="14"/>
      <c r="H7" s="14"/>
      <c r="I7" s="14"/>
      <c r="J7" s="14"/>
      <c r="K7" s="9"/>
      <c r="Q7" s="162"/>
      <c r="R7" s="162"/>
      <c r="S7" s="10"/>
    </row>
    <row r="8" spans="1:19" x14ac:dyDescent="0.25">
      <c r="F8" s="14"/>
      <c r="G8" s="14"/>
      <c r="H8" s="14"/>
      <c r="I8" s="14"/>
      <c r="J8" s="14"/>
      <c r="K8" s="9"/>
      <c r="Q8" s="162"/>
      <c r="R8" s="162"/>
      <c r="S8" s="10"/>
    </row>
    <row r="9" spans="1:19" x14ac:dyDescent="0.25">
      <c r="F9" s="14"/>
      <c r="G9" s="14"/>
      <c r="H9" s="14"/>
      <c r="I9" s="14"/>
      <c r="J9" s="14"/>
      <c r="K9" s="9"/>
      <c r="Q9" s="162"/>
      <c r="R9" s="162"/>
      <c r="S9" s="10"/>
    </row>
    <row r="10" spans="1:19" x14ac:dyDescent="0.25">
      <c r="A10">
        <v>1988</v>
      </c>
      <c r="F10" s="14"/>
      <c r="G10" s="14"/>
      <c r="H10" s="14"/>
      <c r="I10" s="14"/>
      <c r="J10" s="14"/>
      <c r="K10" s="9"/>
      <c r="Q10" s="162"/>
      <c r="R10" s="162"/>
      <c r="S10" s="10"/>
    </row>
    <row r="11" spans="1:19" x14ac:dyDescent="0.25">
      <c r="A11">
        <v>1989</v>
      </c>
      <c r="F11" s="14"/>
      <c r="G11" s="14"/>
      <c r="H11" s="14"/>
      <c r="I11" s="14"/>
      <c r="J11" s="14"/>
      <c r="K11" s="9"/>
      <c r="Q11" s="162"/>
      <c r="R11" s="162"/>
      <c r="S11" s="10"/>
    </row>
    <row r="12" spans="1:19" x14ac:dyDescent="0.25">
      <c r="A12">
        <v>1990</v>
      </c>
      <c r="F12" s="14"/>
      <c r="G12" s="14"/>
      <c r="H12" s="14"/>
      <c r="I12" s="14"/>
      <c r="J12" s="14"/>
      <c r="K12" s="9"/>
      <c r="Q12" s="162"/>
      <c r="R12" s="162"/>
      <c r="S12" s="10"/>
    </row>
    <row r="13" spans="1:19" x14ac:dyDescent="0.25">
      <c r="A13">
        <v>1991</v>
      </c>
      <c r="F13" s="14"/>
      <c r="G13" s="14"/>
      <c r="H13" s="14"/>
      <c r="I13" s="14"/>
      <c r="J13" s="14"/>
      <c r="K13" s="9"/>
      <c r="Q13" s="162"/>
      <c r="R13" s="162"/>
      <c r="S13" s="10"/>
    </row>
    <row r="14" spans="1:19" x14ac:dyDescent="0.25">
      <c r="A14">
        <v>1992</v>
      </c>
      <c r="F14" s="14"/>
      <c r="G14" s="14"/>
      <c r="H14" s="14"/>
      <c r="I14" s="14"/>
      <c r="J14" s="14"/>
      <c r="K14" s="9"/>
      <c r="Q14" s="162"/>
      <c r="R14" s="162"/>
      <c r="S14" s="10"/>
    </row>
    <row r="15" spans="1:19" x14ac:dyDescent="0.25">
      <c r="A15">
        <v>1993</v>
      </c>
      <c r="F15" s="14"/>
      <c r="G15" s="14"/>
      <c r="H15" s="14"/>
      <c r="I15" s="14"/>
      <c r="J15" s="14"/>
      <c r="K15" s="9"/>
      <c r="Q15" s="162"/>
      <c r="R15" s="162"/>
      <c r="S15" s="10"/>
    </row>
    <row r="16" spans="1:19" x14ac:dyDescent="0.25">
      <c r="A16">
        <v>1994</v>
      </c>
      <c r="F16" s="14"/>
      <c r="G16" s="14"/>
      <c r="H16" s="14"/>
      <c r="I16" s="14"/>
      <c r="J16" s="14"/>
      <c r="K16" s="9"/>
      <c r="Q16" s="162"/>
      <c r="R16" s="162"/>
      <c r="S16" s="10"/>
    </row>
    <row r="17" spans="1:19" x14ac:dyDescent="0.25">
      <c r="A17">
        <v>1995</v>
      </c>
      <c r="F17" s="14"/>
      <c r="G17" s="14"/>
      <c r="H17" s="14"/>
      <c r="I17" s="14"/>
      <c r="J17" s="14"/>
      <c r="K17" s="9"/>
      <c r="Q17" s="162"/>
      <c r="R17" s="162"/>
      <c r="S17" s="10"/>
    </row>
    <row r="18" spans="1:19" x14ac:dyDescent="0.25">
      <c r="A18">
        <v>1996</v>
      </c>
      <c r="F18" s="14"/>
      <c r="G18" s="14"/>
      <c r="H18" s="14"/>
      <c r="I18" s="14"/>
      <c r="J18" s="14"/>
      <c r="K18" s="9"/>
      <c r="Q18" s="162"/>
      <c r="R18" s="162"/>
      <c r="S18" s="10"/>
    </row>
    <row r="19" spans="1:19" x14ac:dyDescent="0.25">
      <c r="A19">
        <v>1997</v>
      </c>
      <c r="F19" s="14"/>
      <c r="G19" s="14"/>
      <c r="H19" s="14"/>
      <c r="I19" s="14"/>
      <c r="J19" s="14"/>
      <c r="K19" s="9"/>
      <c r="Q19" s="162"/>
      <c r="R19" s="162"/>
      <c r="S19" s="10"/>
    </row>
    <row r="20" spans="1:19" x14ac:dyDescent="0.25">
      <c r="A20">
        <v>1998</v>
      </c>
      <c r="F20" s="14"/>
      <c r="G20" s="14"/>
      <c r="H20" s="14"/>
      <c r="I20" s="14"/>
      <c r="J20" s="14"/>
      <c r="K20" s="9"/>
      <c r="Q20" s="162"/>
      <c r="R20" s="162"/>
      <c r="S20" s="10"/>
    </row>
    <row r="21" spans="1:19" x14ac:dyDescent="0.25">
      <c r="A21">
        <v>1999</v>
      </c>
      <c r="B21" s="1">
        <v>20</v>
      </c>
      <c r="C21" s="40" t="s">
        <v>38</v>
      </c>
      <c r="D21" s="1" t="s">
        <v>74</v>
      </c>
      <c r="E21" s="1">
        <v>1000</v>
      </c>
      <c r="F21" s="1">
        <v>1.9738480074281846</v>
      </c>
      <c r="G21" s="1">
        <v>1.7478082145928933</v>
      </c>
      <c r="H21" s="1">
        <v>1.1652706169558271</v>
      </c>
      <c r="I21" s="1">
        <v>0.50048606649391436</v>
      </c>
      <c r="J21" s="1">
        <v>4.1866232568530535</v>
      </c>
      <c r="K21" s="10">
        <v>2072.8163598051892</v>
      </c>
      <c r="L21" s="10">
        <f>$K21*G21</f>
        <v>3622.8854610100479</v>
      </c>
      <c r="M21" s="10">
        <f>$K21*I21</f>
        <v>1037.4157064831334</v>
      </c>
      <c r="N21" s="10">
        <f>$K21*J21</f>
        <v>8678.1011791458914</v>
      </c>
      <c r="O21" s="11">
        <v>5.3</v>
      </c>
      <c r="P21" s="45">
        <f t="shared" ref="P21:P28" si="0">L21*O21</f>
        <v>19201.292943353252</v>
      </c>
      <c r="Q21" s="45">
        <f>O21*M21</f>
        <v>5498.3032443606062</v>
      </c>
      <c r="R21" s="45">
        <f>O21*N21</f>
        <v>45993.93624947322</v>
      </c>
      <c r="S21">
        <f>L21/100</f>
        <v>36.228854610100477</v>
      </c>
    </row>
    <row r="22" spans="1:19" x14ac:dyDescent="0.25">
      <c r="A22">
        <v>2000</v>
      </c>
      <c r="B22" s="1">
        <v>20</v>
      </c>
      <c r="C22" s="40" t="s">
        <v>38</v>
      </c>
      <c r="D22" s="1" t="s">
        <v>76</v>
      </c>
      <c r="E22" s="1">
        <v>1000</v>
      </c>
      <c r="F22" s="1">
        <v>6.5323599999999997</v>
      </c>
      <c r="G22" s="1">
        <v>6.3614100000000002</v>
      </c>
      <c r="H22" s="1">
        <v>2.25867</v>
      </c>
      <c r="I22" s="1">
        <v>3.1768700000000001</v>
      </c>
      <c r="J22" s="1">
        <v>10.6159</v>
      </c>
      <c r="K22" s="10">
        <v>2072.8163598051892</v>
      </c>
      <c r="L22" s="10">
        <f t="shared" ref="L22:L28" si="1">$K22*G22</f>
        <v>13186.034719428329</v>
      </c>
      <c r="M22" s="10">
        <f t="shared" ref="M22:M28" si="2">$K22*I22</f>
        <v>6585.0681089743121</v>
      </c>
      <c r="N22" s="10">
        <f t="shared" ref="N22:N28" si="3">$K22*J22</f>
        <v>22004.811194055907</v>
      </c>
      <c r="O22" s="11">
        <v>6.9</v>
      </c>
      <c r="P22" s="45">
        <f t="shared" si="0"/>
        <v>90983.639564055484</v>
      </c>
      <c r="Q22" s="45">
        <f t="shared" ref="Q22:Q39" si="4">O22*M22</f>
        <v>45436.969951922758</v>
      </c>
      <c r="R22" s="45">
        <f t="shared" ref="R22:R39" si="5">O22*N22</f>
        <v>151833.19723898577</v>
      </c>
      <c r="S22">
        <f t="shared" ref="S22:S39" si="6">L22/100</f>
        <v>131.86034719428329</v>
      </c>
    </row>
    <row r="23" spans="1:19" x14ac:dyDescent="0.25">
      <c r="A23">
        <v>2001</v>
      </c>
      <c r="B23" s="1">
        <v>20</v>
      </c>
      <c r="C23" s="40" t="s">
        <v>38</v>
      </c>
      <c r="D23" s="1" t="s">
        <v>77</v>
      </c>
      <c r="E23" s="1">
        <v>1000</v>
      </c>
      <c r="F23" s="1">
        <v>2.8148572940567886</v>
      </c>
      <c r="G23" s="1">
        <v>2.2188742076274854</v>
      </c>
      <c r="H23" s="1">
        <v>2.4319020337768094</v>
      </c>
      <c r="I23" s="1">
        <v>0.91333118785329603</v>
      </c>
      <c r="J23" s="1">
        <v>9.4473881344996347</v>
      </c>
      <c r="K23" s="10">
        <v>2072.8163598051892</v>
      </c>
      <c r="L23" s="10">
        <f t="shared" si="1"/>
        <v>4599.3187579200276</v>
      </c>
      <c r="M23" s="10">
        <f t="shared" si="2"/>
        <v>1893.1678281026186</v>
      </c>
      <c r="N23" s="10">
        <f t="shared" si="3"/>
        <v>19582.700682620271</v>
      </c>
      <c r="O23" s="11">
        <v>13.1</v>
      </c>
      <c r="P23" s="45">
        <f t="shared" si="0"/>
        <v>60251.075728752359</v>
      </c>
      <c r="Q23" s="45">
        <f t="shared" si="4"/>
        <v>24800.498548144304</v>
      </c>
      <c r="R23" s="45">
        <f t="shared" si="5"/>
        <v>256533.37894232554</v>
      </c>
      <c r="S23">
        <f t="shared" si="6"/>
        <v>45.993187579200274</v>
      </c>
    </row>
    <row r="24" spans="1:19" x14ac:dyDescent="0.25">
      <c r="A24">
        <v>2002</v>
      </c>
      <c r="B24" s="1">
        <v>20</v>
      </c>
      <c r="C24" s="40" t="s">
        <v>38</v>
      </c>
      <c r="D24" s="1" t="s">
        <v>78</v>
      </c>
      <c r="E24" s="1">
        <v>1000</v>
      </c>
      <c r="F24" s="1">
        <v>0.89955385976054769</v>
      </c>
      <c r="G24" s="1">
        <v>0.85626460957888562</v>
      </c>
      <c r="H24" s="1">
        <v>0.18717494247009361</v>
      </c>
      <c r="I24" s="1">
        <v>0.6634262312494541</v>
      </c>
      <c r="J24" s="1">
        <v>1.2539903678371374</v>
      </c>
      <c r="K24" s="10">
        <v>2072.8163598051892</v>
      </c>
      <c r="L24" s="10">
        <f t="shared" si="1"/>
        <v>1774.8792910573172</v>
      </c>
      <c r="M24" s="10">
        <f t="shared" si="2"/>
        <v>1375.1607456577692</v>
      </c>
      <c r="N24" s="10">
        <f t="shared" si="3"/>
        <v>2599.2917494909452</v>
      </c>
      <c r="O24" s="11">
        <v>6</v>
      </c>
      <c r="P24" s="45">
        <f t="shared" si="0"/>
        <v>10649.275746343903</v>
      </c>
      <c r="Q24" s="45">
        <f t="shared" si="4"/>
        <v>8250.9644739466148</v>
      </c>
      <c r="R24" s="45">
        <f t="shared" si="5"/>
        <v>15595.750496945671</v>
      </c>
      <c r="S24">
        <f t="shared" si="6"/>
        <v>17.748792910573172</v>
      </c>
    </row>
    <row r="25" spans="1:19" x14ac:dyDescent="0.25">
      <c r="A25">
        <v>2003</v>
      </c>
      <c r="B25" s="1">
        <v>20</v>
      </c>
      <c r="C25" s="40" t="s">
        <v>38</v>
      </c>
      <c r="D25" s="1" t="s">
        <v>79</v>
      </c>
      <c r="E25" s="1">
        <v>1000</v>
      </c>
      <c r="F25" s="1">
        <v>0.80292318887302416</v>
      </c>
      <c r="G25" s="1">
        <v>0.6812413443529346</v>
      </c>
      <c r="H25" s="1">
        <v>0.35342757206008241</v>
      </c>
      <c r="I25" s="1">
        <v>0.46589693158204426</v>
      </c>
      <c r="J25" s="1">
        <v>1.5805142087675503</v>
      </c>
      <c r="K25" s="10">
        <v>2072.8163598051892</v>
      </c>
      <c r="L25" s="10">
        <f t="shared" si="1"/>
        <v>1412.0882035504433</v>
      </c>
      <c r="M25" s="10">
        <f t="shared" si="2"/>
        <v>965.71878176630025</v>
      </c>
      <c r="N25" s="10">
        <f t="shared" si="3"/>
        <v>3276.1157088379327</v>
      </c>
      <c r="O25" s="11">
        <v>8.6</v>
      </c>
      <c r="P25" s="45">
        <f t="shared" si="0"/>
        <v>12143.958550533811</v>
      </c>
      <c r="Q25" s="45">
        <f t="shared" si="4"/>
        <v>8305.1815231901819</v>
      </c>
      <c r="R25" s="45">
        <f t="shared" si="5"/>
        <v>28174.595096006222</v>
      </c>
      <c r="S25">
        <f t="shared" si="6"/>
        <v>14.120882035504433</v>
      </c>
    </row>
    <row r="26" spans="1:19" x14ac:dyDescent="0.25">
      <c r="A26">
        <v>2004</v>
      </c>
      <c r="B26" s="1">
        <v>20</v>
      </c>
      <c r="C26" s="40" t="s">
        <v>38</v>
      </c>
      <c r="D26" s="1" t="s">
        <v>55</v>
      </c>
      <c r="E26" s="1">
        <v>1000</v>
      </c>
      <c r="F26" s="1">
        <v>0.50890501544126576</v>
      </c>
      <c r="G26" s="1">
        <v>0.22518711640290096</v>
      </c>
      <c r="H26" s="1">
        <v>0.90891539809232769</v>
      </c>
      <c r="I26" s="1">
        <v>5.6988921943943172E-2</v>
      </c>
      <c r="J26" s="1">
        <v>2.8541512932905388</v>
      </c>
      <c r="K26" s="10">
        <v>2072.8163598051892</v>
      </c>
      <c r="L26" s="10">
        <f t="shared" si="1"/>
        <v>466.77153889728856</v>
      </c>
      <c r="M26" s="10">
        <f t="shared" si="2"/>
        <v>118.12756973306635</v>
      </c>
      <c r="N26" s="10">
        <f t="shared" si="3"/>
        <v>5916.1314940917673</v>
      </c>
      <c r="O26" s="11">
        <v>12.1</v>
      </c>
      <c r="P26" s="45">
        <f t="shared" si="0"/>
        <v>5647.9356206571911</v>
      </c>
      <c r="Q26" s="45">
        <f t="shared" si="4"/>
        <v>1429.3435937701029</v>
      </c>
      <c r="R26" s="45">
        <f t="shared" si="5"/>
        <v>71585.191078510383</v>
      </c>
      <c r="S26">
        <f t="shared" si="6"/>
        <v>4.6677153889728853</v>
      </c>
    </row>
    <row r="27" spans="1:19" x14ac:dyDescent="0.25">
      <c r="B27" s="1"/>
      <c r="C27" s="40"/>
      <c r="D27" s="1"/>
      <c r="E27" s="1"/>
      <c r="F27" s="1"/>
      <c r="G27" s="1"/>
      <c r="H27" s="1"/>
      <c r="I27" s="1"/>
      <c r="J27" s="1"/>
      <c r="Q27" s="45">
        <f t="shared" si="4"/>
        <v>0</v>
      </c>
      <c r="R27" s="45">
        <f t="shared" si="5"/>
        <v>0</v>
      </c>
      <c r="S27">
        <f t="shared" si="6"/>
        <v>0</v>
      </c>
    </row>
    <row r="28" spans="1:19" x14ac:dyDescent="0.25">
      <c r="A28">
        <v>2005</v>
      </c>
      <c r="B28" s="1">
        <v>20</v>
      </c>
      <c r="C28" s="40" t="s">
        <v>38</v>
      </c>
      <c r="D28" s="1" t="s">
        <v>81</v>
      </c>
      <c r="E28" s="1">
        <v>1000</v>
      </c>
      <c r="F28" s="1">
        <v>1.1578013373630807</v>
      </c>
      <c r="G28" s="1">
        <v>1.0888584603438396</v>
      </c>
      <c r="H28" s="1">
        <v>0.43345738035269105</v>
      </c>
      <c r="I28" s="1">
        <v>0.59073344857402599</v>
      </c>
      <c r="J28" s="1">
        <v>1.9563405660773614</v>
      </c>
      <c r="K28" s="10">
        <v>2072.8163598051892</v>
      </c>
      <c r="L28" s="10">
        <f t="shared" si="1"/>
        <v>2257.0036301130008</v>
      </c>
      <c r="M28" s="10">
        <f t="shared" si="2"/>
        <v>1224.4819564883785</v>
      </c>
      <c r="N28" s="10">
        <f t="shared" si="3"/>
        <v>4055.1347307156993</v>
      </c>
      <c r="O28" s="11">
        <v>16.399999999999999</v>
      </c>
      <c r="P28" s="45">
        <f t="shared" si="0"/>
        <v>37014.85953385321</v>
      </c>
      <c r="Q28" s="45">
        <f t="shared" si="4"/>
        <v>20081.504086409404</v>
      </c>
      <c r="R28" s="45">
        <f t="shared" si="5"/>
        <v>66504.209583737465</v>
      </c>
      <c r="S28">
        <f t="shared" si="6"/>
        <v>22.570036301130006</v>
      </c>
    </row>
    <row r="29" spans="1:19" x14ac:dyDescent="0.25">
      <c r="A29" s="40">
        <v>2007</v>
      </c>
      <c r="B29" s="1">
        <v>20</v>
      </c>
      <c r="C29" s="40" t="s">
        <v>38</v>
      </c>
      <c r="D29" s="40" t="s">
        <v>89</v>
      </c>
      <c r="E29" s="1">
        <v>1000</v>
      </c>
      <c r="F29" s="1">
        <v>1.4193454762695659</v>
      </c>
      <c r="G29" s="1">
        <v>0.53374017217408976</v>
      </c>
      <c r="H29" s="1">
        <v>2.8455807659967638</v>
      </c>
      <c r="I29" s="1">
        <v>0.39923869942976881</v>
      </c>
      <c r="J29" s="1">
        <v>9.7794685570923754</v>
      </c>
      <c r="K29" s="10">
        <v>2072.8163598051892</v>
      </c>
      <c r="L29" s="10">
        <f t="shared" ref="L29:L34" si="7">$K29*G29</f>
        <v>1106.3453607676918</v>
      </c>
      <c r="M29" s="10">
        <f t="shared" ref="M29:N31" si="8">$K29*I29</f>
        <v>827.5485076453715</v>
      </c>
      <c r="N29" s="10">
        <f t="shared" si="8"/>
        <v>20271.042415341522</v>
      </c>
      <c r="O29" s="11">
        <v>10.9</v>
      </c>
      <c r="P29" s="45">
        <f t="shared" ref="P29:P34" si="9">L29*O29</f>
        <v>12059.164432367841</v>
      </c>
      <c r="Q29" s="45">
        <f t="shared" si="4"/>
        <v>9020.2787333345495</v>
      </c>
      <c r="R29" s="45">
        <f t="shared" si="5"/>
        <v>220954.3623272226</v>
      </c>
      <c r="S29">
        <f t="shared" si="6"/>
        <v>11.063453607676918</v>
      </c>
    </row>
    <row r="30" spans="1:19" x14ac:dyDescent="0.25">
      <c r="A30" s="40">
        <v>2008</v>
      </c>
      <c r="B30" s="1">
        <v>20</v>
      </c>
      <c r="C30" s="40" t="s">
        <v>38</v>
      </c>
      <c r="D30" s="40" t="s">
        <v>93</v>
      </c>
      <c r="E30" s="1">
        <v>1000</v>
      </c>
      <c r="F30" s="1">
        <v>4.9713268609440222</v>
      </c>
      <c r="G30" s="1">
        <v>4.5701568114100688</v>
      </c>
      <c r="H30" s="1">
        <v>1.5635924175942821</v>
      </c>
      <c r="I30" s="1">
        <v>3.1876126265200586</v>
      </c>
      <c r="J30" s="1">
        <v>8.0813320422661707</v>
      </c>
      <c r="K30" s="10">
        <v>2072.8163598051892</v>
      </c>
      <c r="L30" s="10">
        <f t="shared" si="7"/>
        <v>9473.0958055659103</v>
      </c>
      <c r="M30" s="10">
        <f t="shared" si="8"/>
        <v>6607.3356009723657</v>
      </c>
      <c r="N30" s="49">
        <f t="shared" si="8"/>
        <v>16751.1172662272</v>
      </c>
      <c r="O30" s="11">
        <v>5.7</v>
      </c>
      <c r="P30" s="45">
        <f t="shared" si="9"/>
        <v>53996.646091725692</v>
      </c>
      <c r="Q30" s="45">
        <f t="shared" si="4"/>
        <v>37661.812925542486</v>
      </c>
      <c r="R30" s="45">
        <f t="shared" si="5"/>
        <v>95481.368417495047</v>
      </c>
      <c r="S30">
        <f t="shared" si="6"/>
        <v>94.730958055659102</v>
      </c>
    </row>
    <row r="31" spans="1:19" x14ac:dyDescent="0.25">
      <c r="A31" s="40">
        <v>2009</v>
      </c>
      <c r="B31" s="1">
        <v>20</v>
      </c>
      <c r="C31" s="40" t="s">
        <v>38</v>
      </c>
      <c r="D31" s="40" t="s">
        <v>124</v>
      </c>
      <c r="E31" s="1">
        <v>1000</v>
      </c>
      <c r="F31" s="3">
        <v>1.2934501410000001</v>
      </c>
      <c r="G31">
        <v>1.270498262</v>
      </c>
      <c r="H31" s="1">
        <v>0.147254674</v>
      </c>
      <c r="I31" s="1">
        <v>1.104783267</v>
      </c>
      <c r="J31" s="1">
        <v>1.5673066499999999</v>
      </c>
      <c r="K31" s="10">
        <v>2072.8163598051901</v>
      </c>
      <c r="L31" s="10">
        <f t="shared" si="7"/>
        <v>2633.5095825776607</v>
      </c>
      <c r="M31" s="10">
        <f t="shared" si="8"/>
        <v>2290.0128298766253</v>
      </c>
      <c r="N31" s="49">
        <f t="shared" si="8"/>
        <v>3248.7388649514669</v>
      </c>
      <c r="O31" s="11">
        <v>6.7</v>
      </c>
      <c r="P31" s="45">
        <f t="shared" si="9"/>
        <v>17644.514203270326</v>
      </c>
      <c r="Q31" s="45">
        <f t="shared" si="4"/>
        <v>15343.08596017339</v>
      </c>
      <c r="R31" s="45">
        <f t="shared" si="5"/>
        <v>21766.550395174829</v>
      </c>
      <c r="S31">
        <f t="shared" si="6"/>
        <v>26.335095825776605</v>
      </c>
    </row>
    <row r="32" spans="1:19" x14ac:dyDescent="0.25">
      <c r="A32" s="1">
        <v>2010</v>
      </c>
      <c r="B32" s="1">
        <v>20</v>
      </c>
      <c r="C32" s="40" t="s">
        <v>38</v>
      </c>
      <c r="D32" s="90" t="s">
        <v>126</v>
      </c>
      <c r="E32" s="33">
        <v>1000</v>
      </c>
      <c r="F32" s="1">
        <v>4.4749850571432077</v>
      </c>
      <c r="G32" s="1">
        <v>0.97682817157059865</v>
      </c>
      <c r="H32" s="1">
        <v>10.649452411468667</v>
      </c>
      <c r="I32" s="1">
        <v>0.67220402670907775</v>
      </c>
      <c r="J32" s="1">
        <v>30.937911660670885</v>
      </c>
      <c r="K32" s="10">
        <v>2072.8163598051901</v>
      </c>
      <c r="L32" s="10">
        <f t="shared" si="7"/>
        <v>2024.785414750128</v>
      </c>
      <c r="M32" s="10">
        <f t="shared" ref="M32:N34" si="10">$K32*I32</f>
        <v>1393.3555036895013</v>
      </c>
      <c r="N32" s="49">
        <f t="shared" si="10"/>
        <v>64128.609428446369</v>
      </c>
      <c r="O32" s="11">
        <v>7.9</v>
      </c>
      <c r="P32" s="45">
        <f t="shared" si="9"/>
        <v>15995.804776526013</v>
      </c>
      <c r="Q32" s="45">
        <f t="shared" si="4"/>
        <v>11007.508479147062</v>
      </c>
      <c r="R32" s="45">
        <f t="shared" si="5"/>
        <v>506616.01448472636</v>
      </c>
      <c r="S32">
        <f t="shared" si="6"/>
        <v>20.247854147501279</v>
      </c>
    </row>
    <row r="33" spans="1:35" x14ac:dyDescent="0.25">
      <c r="A33" s="40">
        <v>2011</v>
      </c>
      <c r="B33" s="1">
        <v>20</v>
      </c>
      <c r="C33" s="48" t="s">
        <v>38</v>
      </c>
      <c r="D33" s="90" t="s">
        <v>134</v>
      </c>
      <c r="E33" s="33">
        <v>1000</v>
      </c>
      <c r="F33" s="33">
        <v>4.1321408888940248</v>
      </c>
      <c r="G33" s="33">
        <v>4.0064935636252184</v>
      </c>
      <c r="H33" s="33">
        <v>0.97036126298691894</v>
      </c>
      <c r="I33" s="33">
        <v>2.8103462921709736</v>
      </c>
      <c r="J33" s="33">
        <v>6.0145811630120321</v>
      </c>
      <c r="K33" s="103">
        <v>2072.8163598051901</v>
      </c>
      <c r="L33" s="10">
        <f t="shared" si="7"/>
        <v>8304.7254041365486</v>
      </c>
      <c r="M33" s="10">
        <f t="shared" si="10"/>
        <v>5825.3317711298505</v>
      </c>
      <c r="N33" s="49">
        <f t="shared" si="10"/>
        <v>12467.122232067468</v>
      </c>
      <c r="O33" s="11">
        <v>5.7</v>
      </c>
      <c r="P33" s="45">
        <f t="shared" si="9"/>
        <v>47336.934803578326</v>
      </c>
      <c r="Q33" s="45">
        <f t="shared" si="4"/>
        <v>33204.391095440151</v>
      </c>
      <c r="R33" s="45">
        <f t="shared" si="5"/>
        <v>71062.596722784569</v>
      </c>
      <c r="S33">
        <f t="shared" si="6"/>
        <v>83.047254041365491</v>
      </c>
    </row>
    <row r="34" spans="1:35" x14ac:dyDescent="0.25">
      <c r="A34">
        <v>2012</v>
      </c>
      <c r="B34" s="1">
        <v>20</v>
      </c>
      <c r="C34" s="48" t="s">
        <v>38</v>
      </c>
      <c r="D34" s="90" t="s">
        <v>136</v>
      </c>
      <c r="E34" s="33">
        <v>1000</v>
      </c>
      <c r="F34" s="109">
        <v>0.91168810493161712</v>
      </c>
      <c r="G34" s="109">
        <v>0.84973016205328944</v>
      </c>
      <c r="H34" s="109">
        <v>0.27862188390182596</v>
      </c>
      <c r="I34" s="109">
        <v>0.64277384188827658</v>
      </c>
      <c r="J34" s="109">
        <v>1.4963375762120328</v>
      </c>
      <c r="K34" s="10">
        <v>2072.8163598051901</v>
      </c>
      <c r="L34" s="10">
        <f t="shared" si="7"/>
        <v>1761.3345813239737</v>
      </c>
      <c r="M34" s="10">
        <f t="shared" si="10"/>
        <v>1332.3521351208542</v>
      </c>
      <c r="N34" s="49">
        <f t="shared" si="10"/>
        <v>3101.6330077635471</v>
      </c>
      <c r="O34" s="11">
        <v>9.1999999999999993</v>
      </c>
      <c r="P34" s="45">
        <f t="shared" si="9"/>
        <v>16204.278148180556</v>
      </c>
      <c r="Q34" s="45">
        <f t="shared" si="4"/>
        <v>12257.639643111857</v>
      </c>
      <c r="R34" s="45">
        <f t="shared" si="5"/>
        <v>28535.023671424631</v>
      </c>
      <c r="S34">
        <f t="shared" si="6"/>
        <v>17.613345813239736</v>
      </c>
    </row>
    <row r="35" spans="1:35" x14ac:dyDescent="0.25">
      <c r="A35">
        <v>2013</v>
      </c>
      <c r="B35" s="108">
        <v>20</v>
      </c>
      <c r="C35" s="48" t="s">
        <v>38</v>
      </c>
      <c r="D35" s="108" t="s">
        <v>147</v>
      </c>
      <c r="E35" s="108">
        <v>1000</v>
      </c>
      <c r="F35" s="108">
        <v>0.27103050093720465</v>
      </c>
      <c r="G35" s="108">
        <v>0.16779250154841258</v>
      </c>
      <c r="H35" s="108">
        <v>0.21700564259612004</v>
      </c>
      <c r="I35" s="108">
        <v>0.11675659846008825</v>
      </c>
      <c r="J35" s="108">
        <v>0.7539629901121695</v>
      </c>
      <c r="K35" s="10">
        <v>2072.8163598051901</v>
      </c>
      <c r="L35" s="10">
        <f>$K35*G35</f>
        <v>347.80304226218726</v>
      </c>
      <c r="M35" s="10">
        <f>$K35*I35</f>
        <v>242.01498740327639</v>
      </c>
      <c r="N35" s="49">
        <f>$K35*J35</f>
        <v>1562.8268205921438</v>
      </c>
      <c r="O35" s="11">
        <v>9.6999999999999993</v>
      </c>
      <c r="P35" s="45">
        <f>L35*O35</f>
        <v>3373.6895099432163</v>
      </c>
      <c r="Q35" s="45">
        <f t="shared" si="4"/>
        <v>2347.5453778117808</v>
      </c>
      <c r="R35" s="45">
        <f t="shared" si="5"/>
        <v>15159.420159743793</v>
      </c>
      <c r="S35">
        <f t="shared" si="6"/>
        <v>3.4780304226218726</v>
      </c>
    </row>
    <row r="36" spans="1:35" x14ac:dyDescent="0.25">
      <c r="A36" s="40">
        <v>2014</v>
      </c>
      <c r="B36" s="1">
        <v>20</v>
      </c>
      <c r="C36" s="48" t="s">
        <v>38</v>
      </c>
      <c r="D36" s="108"/>
      <c r="E36" s="108"/>
      <c r="F36" s="108"/>
      <c r="G36" s="108"/>
      <c r="H36" s="108"/>
      <c r="I36" s="108"/>
      <c r="J36" s="108"/>
      <c r="N36" s="49"/>
    </row>
    <row r="37" spans="1:35" x14ac:dyDescent="0.25">
      <c r="A37">
        <v>2015</v>
      </c>
      <c r="B37" s="1">
        <v>20</v>
      </c>
      <c r="C37" s="48" t="s">
        <v>38</v>
      </c>
      <c r="D37" s="108"/>
      <c r="E37" s="108"/>
      <c r="F37" s="108"/>
      <c r="G37" s="108"/>
      <c r="H37" s="108"/>
      <c r="I37" s="108"/>
      <c r="J37" s="108"/>
      <c r="N37" s="49"/>
    </row>
    <row r="38" spans="1:35" x14ac:dyDescent="0.25">
      <c r="A38">
        <v>2016</v>
      </c>
      <c r="B38" s="108">
        <v>20</v>
      </c>
      <c r="C38" s="48" t="s">
        <v>38</v>
      </c>
      <c r="D38" s="108"/>
      <c r="E38" s="108"/>
      <c r="F38" s="108"/>
      <c r="G38" s="108"/>
      <c r="H38" s="108"/>
      <c r="I38" s="108"/>
      <c r="J38" s="108"/>
      <c r="N38" s="49"/>
    </row>
    <row r="39" spans="1:35" x14ac:dyDescent="0.25">
      <c r="A39" s="135">
        <v>2017</v>
      </c>
      <c r="B39" s="157">
        <v>20</v>
      </c>
      <c r="C39" s="48" t="s">
        <v>38</v>
      </c>
      <c r="D39" s="135" t="s">
        <v>160</v>
      </c>
      <c r="E39" s="135">
        <v>1000</v>
      </c>
      <c r="F39">
        <v>0.29870999999999998</v>
      </c>
      <c r="G39" s="158">
        <v>0.27500000000000002</v>
      </c>
      <c r="H39">
        <v>0.10055</v>
      </c>
      <c r="I39">
        <v>0.1898</v>
      </c>
      <c r="J39">
        <v>0.50610999999999995</v>
      </c>
      <c r="K39" s="135">
        <v>2073</v>
      </c>
      <c r="L39" s="10">
        <f t="shared" ref="L39" si="11">$K39*G39</f>
        <v>570.07500000000005</v>
      </c>
      <c r="M39" s="10">
        <f t="shared" ref="M39" si="12">$K39*I39</f>
        <v>393.4554</v>
      </c>
      <c r="N39" s="49">
        <f t="shared" ref="N39" si="13">$K39*J39</f>
        <v>1049.1660299999999</v>
      </c>
      <c r="O39" s="11">
        <v>8.9</v>
      </c>
      <c r="P39" s="45">
        <f>L39*O39</f>
        <v>5073.6675000000005</v>
      </c>
      <c r="Q39" s="45">
        <f t="shared" si="4"/>
        <v>3501.75306</v>
      </c>
      <c r="R39" s="45">
        <f t="shared" si="5"/>
        <v>9337.5776669999996</v>
      </c>
      <c r="S39">
        <f t="shared" si="6"/>
        <v>5.7007500000000002</v>
      </c>
      <c r="U39" s="144"/>
      <c r="V39" s="144"/>
    </row>
    <row r="40" spans="1:35" x14ac:dyDescent="0.25">
      <c r="B40" s="1"/>
      <c r="C40" s="48"/>
      <c r="N40" s="49"/>
    </row>
    <row r="41" spans="1:35" x14ac:dyDescent="0.25">
      <c r="B41" s="1"/>
      <c r="C41" s="48"/>
      <c r="N41" s="49"/>
    </row>
    <row r="42" spans="1:35" x14ac:dyDescent="0.25">
      <c r="B42" s="1"/>
      <c r="C42" s="48"/>
      <c r="F42" s="122"/>
      <c r="N42" s="49"/>
    </row>
    <row r="43" spans="1:35" x14ac:dyDescent="0.25">
      <c r="B43" s="1"/>
      <c r="C43" s="48"/>
      <c r="E43" s="1">
        <v>1000</v>
      </c>
      <c r="F43" s="1">
        <v>2.4106750784334947</v>
      </c>
      <c r="K43"/>
      <c r="L43"/>
      <c r="M43"/>
      <c r="N43"/>
      <c r="O43" s="9"/>
    </row>
    <row r="44" spans="1:35" x14ac:dyDescent="0.25">
      <c r="A44">
        <v>2003</v>
      </c>
      <c r="B44" s="1">
        <v>20</v>
      </c>
      <c r="C44" s="40" t="s">
        <v>38</v>
      </c>
      <c r="D44" s="40" t="s">
        <v>87</v>
      </c>
      <c r="E44" s="1"/>
      <c r="F44" s="1"/>
      <c r="G44" s="1">
        <v>0.57935711401084111</v>
      </c>
      <c r="H44" s="1">
        <v>5.3675843845413258</v>
      </c>
      <c r="I44" s="1">
        <v>0.35317194033090299</v>
      </c>
      <c r="J44" s="1">
        <v>16.894055015426822</v>
      </c>
      <c r="K44" s="10">
        <v>2072.8163598051892</v>
      </c>
      <c r="L44" s="10">
        <f>$K44*G44</f>
        <v>1200.9009040911917</v>
      </c>
      <c r="M44" s="10">
        <f>$K44*I44</f>
        <v>732.06057574203783</v>
      </c>
      <c r="N44" s="10">
        <f>$K44*J44</f>
        <v>35018.273619425629</v>
      </c>
      <c r="O44" s="11">
        <v>13.1</v>
      </c>
      <c r="P44" s="45">
        <f>L44*O44</f>
        <v>15731.801843594611</v>
      </c>
    </row>
    <row r="45" spans="1:35" x14ac:dyDescent="0.25">
      <c r="B45" s="1"/>
      <c r="C45" s="40"/>
      <c r="D45" s="40"/>
      <c r="E45" s="1"/>
      <c r="F45" s="1"/>
      <c r="G45" s="1"/>
      <c r="H45" s="1"/>
      <c r="I45" s="1"/>
      <c r="J45" s="1"/>
    </row>
    <row r="46" spans="1:35" x14ac:dyDescent="0.25">
      <c r="A46">
        <v>2004</v>
      </c>
      <c r="B46" s="1">
        <v>21</v>
      </c>
      <c r="C46" s="40" t="s">
        <v>85</v>
      </c>
      <c r="D46" s="1"/>
      <c r="E46" s="1"/>
      <c r="F46" s="1"/>
      <c r="G46" s="1"/>
      <c r="H46" s="1"/>
      <c r="I46" s="1"/>
      <c r="J46" s="1"/>
    </row>
    <row r="47" spans="1:35" x14ac:dyDescent="0.25">
      <c r="B47" s="1"/>
      <c r="C47" s="40"/>
      <c r="D47" s="1"/>
      <c r="E47" s="16"/>
      <c r="F47" s="109">
        <v>0.26911270941761745</v>
      </c>
      <c r="G47" s="1"/>
      <c r="H47" s="1"/>
      <c r="I47" s="1"/>
      <c r="J47" s="1"/>
    </row>
    <row r="48" spans="1:35" x14ac:dyDescent="0.25">
      <c r="A48" s="1">
        <v>2012</v>
      </c>
      <c r="B48" s="42"/>
      <c r="C48" s="33">
        <v>14</v>
      </c>
      <c r="D48" s="43" t="s">
        <v>137</v>
      </c>
      <c r="E48" s="10"/>
      <c r="F48" s="1"/>
      <c r="G48" s="109">
        <v>0.24764412779602463</v>
      </c>
      <c r="H48" s="109">
        <v>9.3080711192933235E-2</v>
      </c>
      <c r="I48" s="109">
        <v>0.15894286110019307</v>
      </c>
      <c r="J48" s="109">
        <v>0.45351115263434683</v>
      </c>
      <c r="K48" s="9">
        <v>823</v>
      </c>
      <c r="L48" s="44">
        <f>$K48*G48</f>
        <v>203.81111717612828</v>
      </c>
      <c r="M48" s="20">
        <f>$K48*I48</f>
        <v>130.80997468545888</v>
      </c>
      <c r="N48" s="20">
        <f>$K48*J48</f>
        <v>373.23967861806744</v>
      </c>
      <c r="O48" s="104">
        <v>8.8000000000000007</v>
      </c>
      <c r="P48" s="46">
        <f>O48*L48</f>
        <v>1793.5378311499289</v>
      </c>
      <c r="Q48" s="46"/>
      <c r="R48" s="46"/>
      <c r="S48" s="45"/>
      <c r="T48" s="45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3:10" x14ac:dyDescent="0.25">
      <c r="C49" s="10"/>
      <c r="D49" s="10"/>
      <c r="G49" s="1"/>
      <c r="H49" s="1"/>
      <c r="I49" s="1"/>
      <c r="J49" s="1"/>
    </row>
  </sheetData>
  <phoneticPr fontId="10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C21" sqref="C21"/>
    </sheetView>
  </sheetViews>
  <sheetFormatPr defaultRowHeight="12.6" x14ac:dyDescent="0.25"/>
  <sheetData>
    <row r="2" spans="1:19" ht="15.6" x14ac:dyDescent="0.25">
      <c r="O2" t="s">
        <v>96</v>
      </c>
      <c r="S2" s="50"/>
    </row>
    <row r="3" spans="1:19" x14ac:dyDescent="0.25">
      <c r="B3" t="s">
        <v>103</v>
      </c>
      <c r="D3">
        <v>2007</v>
      </c>
      <c r="E3">
        <v>2007</v>
      </c>
      <c r="F3">
        <v>2005</v>
      </c>
      <c r="G3">
        <v>2005</v>
      </c>
      <c r="H3">
        <v>2000</v>
      </c>
      <c r="J3">
        <v>1999</v>
      </c>
      <c r="L3" t="s">
        <v>111</v>
      </c>
      <c r="O3" t="s">
        <v>97</v>
      </c>
      <c r="S3" s="50"/>
    </row>
    <row r="4" spans="1:19" x14ac:dyDescent="0.25">
      <c r="A4" t="s">
        <v>94</v>
      </c>
      <c r="B4" s="3" t="s">
        <v>104</v>
      </c>
      <c r="C4" s="3" t="s">
        <v>95</v>
      </c>
      <c r="D4" s="3" t="s">
        <v>104</v>
      </c>
      <c r="E4" s="3" t="s">
        <v>95</v>
      </c>
      <c r="F4" s="3" t="s">
        <v>104</v>
      </c>
      <c r="G4" s="3" t="s">
        <v>95</v>
      </c>
      <c r="H4" s="3" t="s">
        <v>105</v>
      </c>
      <c r="I4" s="3" t="s">
        <v>106</v>
      </c>
      <c r="J4" s="3" t="s">
        <v>107</v>
      </c>
      <c r="K4" s="3" t="s">
        <v>108</v>
      </c>
      <c r="L4" s="3" t="s">
        <v>109</v>
      </c>
      <c r="M4" s="3" t="s">
        <v>110</v>
      </c>
      <c r="O4" t="s">
        <v>98</v>
      </c>
      <c r="P4" s="51">
        <v>86.876061949772065</v>
      </c>
      <c r="R4">
        <f>P4/(60*1852)</f>
        <v>7.8182201178700567E-4</v>
      </c>
      <c r="S4" s="50" t="s">
        <v>99</v>
      </c>
    </row>
    <row r="5" spans="1:19" x14ac:dyDescent="0.25">
      <c r="A5" t="s">
        <v>7</v>
      </c>
      <c r="B5">
        <v>12659</v>
      </c>
      <c r="C5">
        <f>(B5*$R$6)*0.000001</f>
        <v>20710.167560200389</v>
      </c>
      <c r="D5">
        <v>12659</v>
      </c>
      <c r="E5">
        <f>(D5*$R$6)*0.000001</f>
        <v>20710.167560200389</v>
      </c>
      <c r="F5">
        <v>12659</v>
      </c>
      <c r="G5">
        <f t="shared" ref="G5:G18" si="0">(F5*$R$6)*0.000001</f>
        <v>20710.167560200389</v>
      </c>
      <c r="H5">
        <v>16326</v>
      </c>
      <c r="I5">
        <f t="shared" ref="I5:I18" si="1">(H5*$R$6)*0.000001</f>
        <v>26709.392178515798</v>
      </c>
      <c r="J5">
        <v>10151</v>
      </c>
      <c r="K5">
        <f t="shared" ref="K5:K18" si="2">(J5*$R$6)*0.000001</f>
        <v>16607.070930057202</v>
      </c>
      <c r="M5">
        <f t="shared" ref="M5:M18" si="3">(L5*$R$6)*0.000001</f>
        <v>0</v>
      </c>
      <c r="O5" t="s">
        <v>100</v>
      </c>
      <c r="P5" s="51">
        <v>-60</v>
      </c>
      <c r="R5">
        <f>1/R4</f>
        <v>1279.0635015689904</v>
      </c>
      <c r="S5" s="50" t="s">
        <v>101</v>
      </c>
    </row>
    <row r="6" spans="1:19" x14ac:dyDescent="0.25">
      <c r="A6" t="s">
        <v>8</v>
      </c>
      <c r="B6">
        <v>7908</v>
      </c>
      <c r="C6">
        <f t="shared" ref="C6:E18" si="4">(B6*$R$6)*0.000001</f>
        <v>12937.515211791189</v>
      </c>
      <c r="D6">
        <v>7908</v>
      </c>
      <c r="E6">
        <f t="shared" si="4"/>
        <v>12937.515211791189</v>
      </c>
      <c r="F6">
        <v>7908</v>
      </c>
      <c r="G6">
        <f t="shared" si="0"/>
        <v>12937.515211791189</v>
      </c>
      <c r="H6">
        <v>3671</v>
      </c>
      <c r="I6">
        <f t="shared" si="1"/>
        <v>6005.7686320795974</v>
      </c>
      <c r="J6">
        <v>6355</v>
      </c>
      <c r="K6">
        <f t="shared" si="2"/>
        <v>10396.801867846863</v>
      </c>
      <c r="M6">
        <f t="shared" si="3"/>
        <v>0</v>
      </c>
      <c r="R6">
        <f>R5*R5</f>
        <v>1636003.4410459269</v>
      </c>
      <c r="S6" s="50" t="s">
        <v>102</v>
      </c>
    </row>
    <row r="7" spans="1:19" x14ac:dyDescent="0.25">
      <c r="A7" t="s">
        <v>9</v>
      </c>
      <c r="B7">
        <v>6695</v>
      </c>
      <c r="C7">
        <f t="shared" si="4"/>
        <v>10953.043037802479</v>
      </c>
      <c r="D7">
        <v>6695</v>
      </c>
      <c r="E7">
        <f t="shared" si="4"/>
        <v>10953.043037802479</v>
      </c>
      <c r="F7">
        <v>6695</v>
      </c>
      <c r="G7">
        <f t="shared" si="0"/>
        <v>10953.043037802479</v>
      </c>
      <c r="H7">
        <v>10595</v>
      </c>
      <c r="I7">
        <f t="shared" si="1"/>
        <v>17333.456457881595</v>
      </c>
      <c r="J7">
        <v>7103</v>
      </c>
      <c r="K7">
        <f t="shared" si="2"/>
        <v>11620.532441749217</v>
      </c>
      <c r="M7">
        <f t="shared" si="3"/>
        <v>0</v>
      </c>
    </row>
    <row r="8" spans="1:19" x14ac:dyDescent="0.25">
      <c r="A8" t="s">
        <v>10</v>
      </c>
      <c r="B8">
        <v>3268</v>
      </c>
      <c r="C8">
        <f t="shared" si="4"/>
        <v>5346.4592453380883</v>
      </c>
      <c r="D8">
        <v>3268</v>
      </c>
      <c r="E8">
        <f t="shared" si="4"/>
        <v>5346.4592453380883</v>
      </c>
      <c r="F8">
        <v>3268</v>
      </c>
      <c r="G8">
        <f t="shared" si="0"/>
        <v>5346.4592453380883</v>
      </c>
      <c r="H8">
        <v>7469</v>
      </c>
      <c r="I8">
        <f t="shared" si="1"/>
        <v>12219.309701172027</v>
      </c>
      <c r="J8">
        <v>6373</v>
      </c>
      <c r="K8">
        <f t="shared" si="2"/>
        <v>10426.249929785692</v>
      </c>
      <c r="M8">
        <f t="shared" si="3"/>
        <v>0</v>
      </c>
    </row>
    <row r="9" spans="1:19" x14ac:dyDescent="0.25">
      <c r="A9" t="s">
        <v>11</v>
      </c>
      <c r="B9">
        <v>8552</v>
      </c>
      <c r="C9">
        <f t="shared" si="4"/>
        <v>13991.101427824766</v>
      </c>
      <c r="D9">
        <v>3940</v>
      </c>
      <c r="E9">
        <f t="shared" si="4"/>
        <v>6445.8535577209514</v>
      </c>
      <c r="F9">
        <v>3940</v>
      </c>
      <c r="G9">
        <f t="shared" si="0"/>
        <v>6445.8535577209514</v>
      </c>
      <c r="H9">
        <v>14901</v>
      </c>
      <c r="I9">
        <f t="shared" si="1"/>
        <v>24378.087275025355</v>
      </c>
      <c r="J9">
        <v>2224</v>
      </c>
      <c r="K9">
        <f t="shared" si="2"/>
        <v>3638.4716528861413</v>
      </c>
      <c r="M9">
        <f t="shared" si="3"/>
        <v>0</v>
      </c>
    </row>
    <row r="10" spans="1:19" x14ac:dyDescent="0.25">
      <c r="A10" t="s">
        <v>12</v>
      </c>
      <c r="B10">
        <v>4258</v>
      </c>
      <c r="C10">
        <f t="shared" si="4"/>
        <v>6966.102651973556</v>
      </c>
      <c r="D10">
        <v>3497</v>
      </c>
      <c r="E10">
        <f t="shared" si="4"/>
        <v>5721.1040333376059</v>
      </c>
      <c r="F10">
        <v>3497</v>
      </c>
      <c r="G10">
        <f t="shared" si="0"/>
        <v>5721.1040333376059</v>
      </c>
      <c r="H10">
        <v>17357</v>
      </c>
      <c r="I10">
        <f t="shared" si="1"/>
        <v>28396.111726234154</v>
      </c>
      <c r="J10">
        <v>11295</v>
      </c>
      <c r="K10">
        <f t="shared" si="2"/>
        <v>18478.658866613743</v>
      </c>
      <c r="M10">
        <f t="shared" si="3"/>
        <v>0</v>
      </c>
    </row>
    <row r="11" spans="1:19" x14ac:dyDescent="0.25">
      <c r="A11" t="s">
        <v>13</v>
      </c>
      <c r="B11">
        <v>1548</v>
      </c>
      <c r="C11">
        <f t="shared" si="4"/>
        <v>2532.5333267390947</v>
      </c>
      <c r="D11">
        <v>1140</v>
      </c>
      <c r="E11">
        <f t="shared" si="4"/>
        <v>1865.0439227923566</v>
      </c>
      <c r="F11">
        <v>1140</v>
      </c>
      <c r="G11">
        <f t="shared" si="0"/>
        <v>1865.0439227923566</v>
      </c>
      <c r="I11">
        <f t="shared" si="1"/>
        <v>0</v>
      </c>
      <c r="K11">
        <f t="shared" si="2"/>
        <v>0</v>
      </c>
      <c r="M11">
        <f t="shared" si="3"/>
        <v>0</v>
      </c>
    </row>
    <row r="12" spans="1:19" x14ac:dyDescent="0.25">
      <c r="A12" t="s">
        <v>14</v>
      </c>
      <c r="B12">
        <v>8420</v>
      </c>
      <c r="C12">
        <f t="shared" si="4"/>
        <v>13775.148973606703</v>
      </c>
      <c r="D12">
        <v>8420</v>
      </c>
      <c r="E12">
        <f t="shared" si="4"/>
        <v>13775.148973606703</v>
      </c>
      <c r="F12">
        <v>6509</v>
      </c>
      <c r="G12">
        <f t="shared" si="0"/>
        <v>10648.746397767938</v>
      </c>
      <c r="I12">
        <f t="shared" si="1"/>
        <v>0</v>
      </c>
      <c r="K12">
        <f t="shared" si="2"/>
        <v>0</v>
      </c>
      <c r="M12">
        <f t="shared" si="3"/>
        <v>0</v>
      </c>
    </row>
    <row r="13" spans="1:19" x14ac:dyDescent="0.25">
      <c r="A13" t="s">
        <v>15</v>
      </c>
      <c r="B13">
        <v>3399</v>
      </c>
      <c r="C13">
        <f t="shared" si="4"/>
        <v>5560.7756961151053</v>
      </c>
      <c r="D13">
        <v>3399</v>
      </c>
      <c r="E13">
        <f t="shared" si="4"/>
        <v>5560.7756961151053</v>
      </c>
      <c r="G13">
        <f t="shared" si="0"/>
        <v>0</v>
      </c>
      <c r="I13">
        <f t="shared" si="1"/>
        <v>0</v>
      </c>
      <c r="K13">
        <f t="shared" si="2"/>
        <v>0</v>
      </c>
      <c r="M13">
        <f t="shared" si="3"/>
        <v>0</v>
      </c>
    </row>
    <row r="14" spans="1:19" x14ac:dyDescent="0.25">
      <c r="A14" t="s">
        <v>16</v>
      </c>
      <c r="B14">
        <v>6619</v>
      </c>
      <c r="C14">
        <f t="shared" si="4"/>
        <v>10828.706776282988</v>
      </c>
      <c r="D14">
        <v>6619</v>
      </c>
      <c r="E14">
        <f t="shared" si="4"/>
        <v>10828.706776282988</v>
      </c>
      <c r="G14">
        <f t="shared" si="0"/>
        <v>0</v>
      </c>
      <c r="I14">
        <f t="shared" si="1"/>
        <v>0</v>
      </c>
      <c r="K14">
        <f t="shared" si="2"/>
        <v>0</v>
      </c>
      <c r="M14">
        <f t="shared" si="3"/>
        <v>0</v>
      </c>
    </row>
    <row r="15" spans="1:19" x14ac:dyDescent="0.25">
      <c r="A15" t="s">
        <v>17</v>
      </c>
      <c r="B15">
        <v>7184</v>
      </c>
      <c r="C15">
        <f t="shared" si="4"/>
        <v>11753.048720473937</v>
      </c>
      <c r="D15">
        <v>7184</v>
      </c>
      <c r="E15">
        <f t="shared" si="4"/>
        <v>11753.048720473937</v>
      </c>
      <c r="G15">
        <f t="shared" si="0"/>
        <v>0</v>
      </c>
      <c r="I15">
        <f t="shared" si="1"/>
        <v>0</v>
      </c>
      <c r="K15">
        <f t="shared" si="2"/>
        <v>0</v>
      </c>
      <c r="M15">
        <f t="shared" si="3"/>
        <v>0</v>
      </c>
    </row>
    <row r="16" spans="1:19" x14ac:dyDescent="0.25">
      <c r="A16" t="s">
        <v>18</v>
      </c>
      <c r="B16">
        <v>18924</v>
      </c>
      <c r="C16">
        <f t="shared" si="4"/>
        <v>30959.729118353116</v>
      </c>
      <c r="D16">
        <v>18924</v>
      </c>
      <c r="E16">
        <f t="shared" si="4"/>
        <v>30959.729118353116</v>
      </c>
      <c r="G16">
        <f t="shared" si="0"/>
        <v>0</v>
      </c>
      <c r="I16">
        <f t="shared" si="1"/>
        <v>0</v>
      </c>
      <c r="K16">
        <f t="shared" si="2"/>
        <v>0</v>
      </c>
      <c r="M16">
        <f t="shared" si="3"/>
        <v>0</v>
      </c>
    </row>
    <row r="17" spans="1:13" x14ac:dyDescent="0.25">
      <c r="A17" t="s">
        <v>19</v>
      </c>
      <c r="B17">
        <v>3307</v>
      </c>
      <c r="C17">
        <f t="shared" si="4"/>
        <v>5410.2633795388801</v>
      </c>
      <c r="D17">
        <v>1675</v>
      </c>
      <c r="E17">
        <f t="shared" si="4"/>
        <v>2740.3057637519273</v>
      </c>
      <c r="G17">
        <f t="shared" si="0"/>
        <v>0</v>
      </c>
      <c r="I17">
        <f t="shared" si="1"/>
        <v>0</v>
      </c>
      <c r="K17">
        <f t="shared" si="2"/>
        <v>0</v>
      </c>
      <c r="M17">
        <f t="shared" si="3"/>
        <v>0</v>
      </c>
    </row>
    <row r="18" spans="1:13" x14ac:dyDescent="0.25">
      <c r="A18" t="s">
        <v>29</v>
      </c>
      <c r="B18">
        <v>1267</v>
      </c>
      <c r="C18">
        <f t="shared" si="4"/>
        <v>2072.8163598051892</v>
      </c>
      <c r="D18">
        <v>1267</v>
      </c>
      <c r="E18">
        <f t="shared" si="4"/>
        <v>2072.8163598051892</v>
      </c>
      <c r="G18">
        <f t="shared" si="0"/>
        <v>0</v>
      </c>
      <c r="I18">
        <f t="shared" si="1"/>
        <v>0</v>
      </c>
      <c r="K18">
        <f t="shared" si="2"/>
        <v>0</v>
      </c>
      <c r="M18">
        <f t="shared" si="3"/>
        <v>0</v>
      </c>
    </row>
    <row r="20" spans="1:13" x14ac:dyDescent="0.25">
      <c r="A20" t="s">
        <v>120</v>
      </c>
      <c r="C20">
        <f>SUM(C5:C17)</f>
        <v>151724.59512604025</v>
      </c>
      <c r="E20">
        <f t="shared" ref="E20:K20" si="5">SUM(E5:E17)</f>
        <v>139596.90161756682</v>
      </c>
      <c r="G20">
        <f t="shared" si="5"/>
        <v>74627.932966751003</v>
      </c>
      <c r="I20">
        <f t="shared" si="5"/>
        <v>115042.12597090854</v>
      </c>
      <c r="K20">
        <f t="shared" si="5"/>
        <v>71167.785688938849</v>
      </c>
    </row>
    <row r="21" spans="1:13" x14ac:dyDescent="0.25">
      <c r="A21" t="s">
        <v>121</v>
      </c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149"/>
  <sheetViews>
    <sheetView tabSelected="1" zoomScale="75" zoomScaleNormal="75" workbookViewId="0">
      <selection activeCell="N39" sqref="N39"/>
    </sheetView>
  </sheetViews>
  <sheetFormatPr defaultRowHeight="12.6" x14ac:dyDescent="0.25"/>
  <cols>
    <col min="1" max="1" width="8.5546875" customWidth="1"/>
    <col min="2" max="2" width="25.5546875" style="10" customWidth="1"/>
    <col min="3" max="3" width="12" style="10" customWidth="1"/>
    <col min="4" max="4" width="12.33203125" style="10" customWidth="1"/>
    <col min="5" max="5" width="20.33203125" style="10" customWidth="1"/>
    <col min="6" max="6" width="17.88671875" style="10" customWidth="1"/>
    <col min="7" max="7" width="20.5546875" style="10" customWidth="1"/>
    <col min="8" max="8" width="21.6640625" style="10" customWidth="1"/>
    <col min="9" max="11" width="10" customWidth="1"/>
    <col min="12" max="12" width="14" customWidth="1"/>
    <col min="13" max="13" width="16.88671875" customWidth="1"/>
    <col min="14" max="15" width="18.88671875" customWidth="1"/>
    <col min="16" max="16" width="6.88671875" style="16" customWidth="1"/>
    <col min="17" max="18" width="18" customWidth="1"/>
    <col min="19" max="19" width="6.109375" style="16" customWidth="1"/>
    <col min="20" max="22" width="18.88671875" customWidth="1"/>
    <col min="23" max="25" width="12" style="16" customWidth="1"/>
    <col min="26" max="26" width="14.44140625" bestFit="1" customWidth="1"/>
  </cols>
  <sheetData>
    <row r="1" spans="1:34" x14ac:dyDescent="0.25">
      <c r="A1" s="5"/>
      <c r="B1" s="34" t="s">
        <v>25</v>
      </c>
      <c r="C1" s="35"/>
      <c r="D1" s="35"/>
      <c r="E1" s="35"/>
      <c r="F1" s="35"/>
      <c r="G1" s="35"/>
      <c r="H1" s="36"/>
      <c r="I1" s="73" t="s">
        <v>35</v>
      </c>
      <c r="J1" s="73"/>
      <c r="K1" s="73"/>
      <c r="L1" t="s">
        <v>132</v>
      </c>
      <c r="O1" s="15" t="s">
        <v>34</v>
      </c>
      <c r="P1" s="15"/>
      <c r="Q1" s="15"/>
      <c r="R1" s="15"/>
      <c r="T1" s="19" t="s">
        <v>41</v>
      </c>
      <c r="U1" s="19"/>
      <c r="V1" s="16"/>
      <c r="W1" s="16" t="s">
        <v>39</v>
      </c>
      <c r="X1" s="163" t="s">
        <v>169</v>
      </c>
      <c r="Y1" s="163" t="s">
        <v>171</v>
      </c>
      <c r="Z1" s="16" t="s">
        <v>42</v>
      </c>
      <c r="AA1" s="16" t="s">
        <v>88</v>
      </c>
      <c r="AB1" s="16"/>
      <c r="AC1" s="16" t="s">
        <v>138</v>
      </c>
    </row>
    <row r="2" spans="1:34" ht="15.6" x14ac:dyDescent="0.25">
      <c r="A2" s="34" t="s">
        <v>21</v>
      </c>
      <c r="B2" s="5" t="s">
        <v>155</v>
      </c>
      <c r="C2" s="7" t="s">
        <v>26</v>
      </c>
      <c r="D2" s="7" t="s">
        <v>27</v>
      </c>
      <c r="E2" s="7" t="s">
        <v>32</v>
      </c>
      <c r="F2" s="7" t="s">
        <v>129</v>
      </c>
      <c r="G2" s="7" t="s">
        <v>130</v>
      </c>
      <c r="H2" s="13" t="s">
        <v>122</v>
      </c>
      <c r="I2" s="139" t="s">
        <v>153</v>
      </c>
      <c r="J2" s="139" t="s">
        <v>23</v>
      </c>
      <c r="K2" s="139" t="s">
        <v>24</v>
      </c>
      <c r="L2" t="s">
        <v>131</v>
      </c>
      <c r="M2" t="s">
        <v>23</v>
      </c>
      <c r="N2" t="s">
        <v>24</v>
      </c>
      <c r="O2" s="15" t="s">
        <v>40</v>
      </c>
      <c r="P2" s="15" t="s">
        <v>36</v>
      </c>
      <c r="Q2" s="15" t="s">
        <v>35</v>
      </c>
      <c r="R2" s="15"/>
      <c r="T2" s="19" t="s">
        <v>36</v>
      </c>
      <c r="U2" s="19" t="s">
        <v>35</v>
      </c>
      <c r="V2" s="16"/>
      <c r="W2" s="16" t="s">
        <v>38</v>
      </c>
      <c r="X2" s="164" t="s">
        <v>170</v>
      </c>
      <c r="Y2" s="164" t="s">
        <v>23</v>
      </c>
      <c r="Z2" s="16" t="s">
        <v>38</v>
      </c>
      <c r="AA2" s="16" t="s">
        <v>33</v>
      </c>
      <c r="AB2" s="16"/>
      <c r="AC2" t="s">
        <v>122</v>
      </c>
    </row>
    <row r="3" spans="1:34" x14ac:dyDescent="0.25">
      <c r="A3" s="5">
        <v>1982</v>
      </c>
      <c r="B3" s="97"/>
      <c r="C3" s="86"/>
      <c r="D3" s="86"/>
      <c r="E3" s="86">
        <v>0</v>
      </c>
      <c r="F3" s="86"/>
      <c r="G3" s="86"/>
      <c r="H3" s="84"/>
      <c r="I3" s="137"/>
      <c r="J3" s="137"/>
      <c r="K3" s="137"/>
      <c r="O3" s="15">
        <v>1982</v>
      </c>
      <c r="P3" s="15">
        <v>466</v>
      </c>
      <c r="Q3" s="15">
        <v>29.2</v>
      </c>
      <c r="R3" s="15">
        <f>Q3*1000</f>
        <v>29200</v>
      </c>
      <c r="S3" s="5">
        <v>1982</v>
      </c>
      <c r="T3" s="19">
        <v>466</v>
      </c>
      <c r="U3" s="19">
        <v>29.2</v>
      </c>
      <c r="V3" s="16"/>
      <c r="Z3" s="16"/>
      <c r="AA3" s="16"/>
      <c r="AB3" s="21"/>
    </row>
    <row r="4" spans="1:34" x14ac:dyDescent="0.25">
      <c r="A4" s="6">
        <v>1983</v>
      </c>
      <c r="B4" s="99"/>
      <c r="E4" s="10">
        <v>0</v>
      </c>
      <c r="H4" s="85"/>
      <c r="I4" s="137"/>
      <c r="J4" s="137"/>
      <c r="K4" s="137"/>
      <c r="O4" s="15">
        <v>1983</v>
      </c>
      <c r="P4" s="15"/>
      <c r="Q4" s="15"/>
      <c r="R4" s="15"/>
      <c r="S4" s="6">
        <v>1983</v>
      </c>
      <c r="T4" s="19"/>
      <c r="U4" s="19"/>
      <c r="V4" s="16"/>
      <c r="Z4" s="16"/>
      <c r="AA4" s="16"/>
      <c r="AB4" s="16"/>
    </row>
    <row r="5" spans="1:34" x14ac:dyDescent="0.25">
      <c r="A5" s="6">
        <v>1984</v>
      </c>
      <c r="B5" s="99"/>
      <c r="E5" s="10">
        <v>0</v>
      </c>
      <c r="H5" s="85"/>
      <c r="I5" s="137"/>
      <c r="J5" s="137"/>
      <c r="K5" s="137"/>
      <c r="O5" s="15">
        <v>1984</v>
      </c>
      <c r="P5" s="15"/>
      <c r="Q5" s="15"/>
      <c r="R5" s="15"/>
      <c r="S5" s="6">
        <v>1984</v>
      </c>
      <c r="T5" s="19"/>
      <c r="U5" s="19"/>
      <c r="V5" s="16"/>
      <c r="Z5" s="16"/>
      <c r="AA5" s="16"/>
      <c r="AB5" s="16"/>
      <c r="AC5" s="22"/>
    </row>
    <row r="6" spans="1:34" x14ac:dyDescent="0.25">
      <c r="A6" s="6">
        <v>1985</v>
      </c>
      <c r="B6" s="99"/>
      <c r="E6" s="10">
        <v>0</v>
      </c>
      <c r="H6" s="85"/>
      <c r="I6" s="137"/>
      <c r="J6" s="137"/>
      <c r="K6" s="137"/>
      <c r="L6" s="10"/>
      <c r="M6" s="10"/>
      <c r="N6" s="10"/>
      <c r="O6" s="15">
        <v>1985</v>
      </c>
      <c r="P6" s="15">
        <v>3426</v>
      </c>
      <c r="Q6" s="15">
        <v>456.3</v>
      </c>
      <c r="R6" s="15">
        <f t="shared" ref="R6:R17" si="0">Q6*1000</f>
        <v>456300</v>
      </c>
      <c r="S6" s="6">
        <v>1985</v>
      </c>
      <c r="T6" s="19">
        <v>3426</v>
      </c>
      <c r="U6" s="19">
        <v>456.3</v>
      </c>
      <c r="V6" s="16"/>
      <c r="Z6" s="16"/>
      <c r="AA6" s="16"/>
      <c r="AB6" s="21"/>
      <c r="AD6" s="16"/>
      <c r="AE6" s="16"/>
      <c r="AF6" s="16"/>
      <c r="AG6" s="16"/>
      <c r="AH6" s="16"/>
    </row>
    <row r="7" spans="1:34" x14ac:dyDescent="0.25">
      <c r="A7" s="6">
        <v>1986</v>
      </c>
      <c r="B7" s="99"/>
      <c r="E7" s="10">
        <v>0</v>
      </c>
      <c r="H7" s="85"/>
      <c r="I7" s="137"/>
      <c r="J7" s="137"/>
      <c r="K7" s="137"/>
      <c r="L7" s="10"/>
      <c r="M7" s="10"/>
      <c r="N7" s="10"/>
      <c r="O7" s="15">
        <v>1986</v>
      </c>
      <c r="P7" s="15">
        <v>3697</v>
      </c>
      <c r="Q7" s="15">
        <v>239.8</v>
      </c>
      <c r="R7" s="15">
        <f t="shared" si="0"/>
        <v>239800</v>
      </c>
      <c r="S7" s="6">
        <v>1986</v>
      </c>
      <c r="T7" s="19">
        <v>3697</v>
      </c>
      <c r="U7" s="19">
        <v>239.8</v>
      </c>
      <c r="V7" s="16"/>
      <c r="Z7" s="16"/>
      <c r="AA7" s="16"/>
      <c r="AB7" s="21"/>
      <c r="AC7" s="22"/>
      <c r="AD7" s="16"/>
      <c r="AE7" s="16"/>
      <c r="AF7" s="16"/>
      <c r="AG7" s="16"/>
      <c r="AH7" s="16"/>
    </row>
    <row r="8" spans="1:34" x14ac:dyDescent="0.25">
      <c r="A8" s="6">
        <v>1987</v>
      </c>
      <c r="B8" s="99"/>
      <c r="E8" s="10">
        <v>0</v>
      </c>
      <c r="H8" s="52"/>
      <c r="I8" s="138"/>
      <c r="J8" s="138"/>
      <c r="K8" s="138"/>
      <c r="L8" s="10"/>
      <c r="M8" s="10"/>
      <c r="N8" s="10"/>
      <c r="O8" s="15">
        <v>1987</v>
      </c>
      <c r="P8" s="15">
        <v>2576</v>
      </c>
      <c r="Q8" s="15">
        <v>149.6</v>
      </c>
      <c r="R8" s="15">
        <f t="shared" si="0"/>
        <v>149600</v>
      </c>
      <c r="S8" s="6">
        <v>1987</v>
      </c>
      <c r="T8" s="19">
        <v>2576</v>
      </c>
      <c r="U8" s="19">
        <v>149.6</v>
      </c>
      <c r="V8" s="16"/>
      <c r="Z8" s="16"/>
      <c r="AA8" s="16"/>
      <c r="AB8" s="21"/>
      <c r="AC8" s="16"/>
      <c r="AD8" s="16"/>
      <c r="AE8" s="16"/>
      <c r="AF8" s="16"/>
      <c r="AG8" s="16"/>
      <c r="AH8" s="16"/>
    </row>
    <row r="9" spans="1:34" x14ac:dyDescent="0.25">
      <c r="A9" s="6">
        <v>1988</v>
      </c>
      <c r="B9" s="99">
        <v>409230.31540750002</v>
      </c>
      <c r="C9" s="10">
        <v>339797.37504008465</v>
      </c>
      <c r="D9" s="10">
        <v>498826.94762838905</v>
      </c>
      <c r="E9" s="10">
        <v>4285049.9622403961</v>
      </c>
      <c r="F9" s="10">
        <v>3579569.5042131385</v>
      </c>
      <c r="G9" s="10">
        <v>5179999.0311483638</v>
      </c>
      <c r="H9" s="52">
        <v>69327</v>
      </c>
      <c r="I9" s="138">
        <v>409.23031540750003</v>
      </c>
      <c r="J9" s="138">
        <v>339.79737504008466</v>
      </c>
      <c r="K9" s="138">
        <v>498.82694762838906</v>
      </c>
      <c r="L9" s="10">
        <f>GETPIVOTDATA("Sum of Biomass (tons)",$A$1,"YEAR",1988)/1000</f>
        <v>4285.0499622403959</v>
      </c>
      <c r="M9" s="10">
        <f>GETPIVOTDATA("Sum of Biomass lwr",$A$1,"YEAR",1988)/1000</f>
        <v>3579.5695042131383</v>
      </c>
      <c r="N9" s="10">
        <f>GETPIVOTDATA("Sum of Biomass upper",$A$1,"YEAR",1988)/1000</f>
        <v>5179.9990311483634</v>
      </c>
      <c r="O9" s="15">
        <v>1988</v>
      </c>
      <c r="P9" s="15">
        <v>4551</v>
      </c>
      <c r="Q9" s="15">
        <v>486.2</v>
      </c>
      <c r="R9" s="15">
        <f t="shared" si="0"/>
        <v>486200</v>
      </c>
      <c r="S9" s="6">
        <v>1988</v>
      </c>
      <c r="T9" s="19">
        <v>4551</v>
      </c>
      <c r="U9" s="19">
        <v>486.2</v>
      </c>
      <c r="V9" s="16"/>
      <c r="Z9" s="16"/>
      <c r="AA9" s="16"/>
      <c r="AB9" s="21"/>
      <c r="AC9" s="16">
        <v>69327</v>
      </c>
      <c r="AD9" s="16"/>
      <c r="AE9" s="16"/>
      <c r="AF9" s="16"/>
      <c r="AG9" s="16"/>
      <c r="AH9" s="16"/>
    </row>
    <row r="10" spans="1:34" x14ac:dyDescent="0.25">
      <c r="A10" s="6">
        <v>1989</v>
      </c>
      <c r="B10" s="99">
        <v>366093.9775550387</v>
      </c>
      <c r="C10" s="10">
        <v>311742.34496774618</v>
      </c>
      <c r="D10" s="10">
        <v>439309.45892693399</v>
      </c>
      <c r="E10" s="10">
        <v>3712327.8029967514</v>
      </c>
      <c r="F10" s="10">
        <v>3126846.4044257593</v>
      </c>
      <c r="G10" s="10">
        <v>4505326.0777582787</v>
      </c>
      <c r="H10" s="52">
        <v>66193.5</v>
      </c>
      <c r="I10" s="138">
        <v>366.09397755503869</v>
      </c>
      <c r="J10" s="138">
        <v>311.74234496774619</v>
      </c>
      <c r="K10" s="138">
        <v>439.30945892693398</v>
      </c>
      <c r="L10" s="10">
        <f>GETPIVOTDATA("Sum of Biomass (tons)",$A$1,"YEAR",1989)/1000</f>
        <v>3712.3278029967514</v>
      </c>
      <c r="M10" s="10">
        <f>GETPIVOTDATA("Sum of Biomass lwr",$A$1,"YEAR",1989)/1000</f>
        <v>3126.8464044257594</v>
      </c>
      <c r="N10" s="10">
        <f>GETPIVOTDATA("Sum of Biomass upper",$A$1,"YEAR",1989)/1000</f>
        <v>4505.3260777582791</v>
      </c>
      <c r="O10" s="15">
        <v>1989</v>
      </c>
      <c r="P10" s="15">
        <v>3829</v>
      </c>
      <c r="Q10" s="15">
        <v>426.8</v>
      </c>
      <c r="R10" s="15">
        <f t="shared" si="0"/>
        <v>426800</v>
      </c>
      <c r="S10" s="6">
        <v>1989</v>
      </c>
      <c r="T10" s="19">
        <v>3829</v>
      </c>
      <c r="U10" s="19">
        <v>426.8</v>
      </c>
      <c r="V10" s="16"/>
      <c r="Z10" s="16"/>
      <c r="AA10" s="16"/>
      <c r="AB10" s="21"/>
      <c r="AC10" s="22">
        <v>66193.5</v>
      </c>
      <c r="AD10" s="16"/>
      <c r="AE10" s="16"/>
      <c r="AF10" s="16"/>
      <c r="AG10" s="16"/>
      <c r="AH10" s="16"/>
    </row>
    <row r="11" spans="1:34" x14ac:dyDescent="0.25">
      <c r="A11" s="6">
        <v>1990</v>
      </c>
      <c r="B11" s="99">
        <v>464443.0213801206</v>
      </c>
      <c r="C11" s="10">
        <v>346163.81342379993</v>
      </c>
      <c r="D11" s="10">
        <v>642306.59333153954</v>
      </c>
      <c r="E11" s="10">
        <v>5782824.4983873237</v>
      </c>
      <c r="F11" s="10">
        <v>4168592.2590359999</v>
      </c>
      <c r="G11" s="10">
        <v>8353573.8274634816</v>
      </c>
      <c r="H11" s="52">
        <v>69291</v>
      </c>
      <c r="I11" s="138">
        <v>464.44302138012057</v>
      </c>
      <c r="J11" s="138">
        <v>346.16381342379992</v>
      </c>
      <c r="K11" s="138">
        <v>642.30659333153949</v>
      </c>
      <c r="L11" s="10">
        <f>GETPIVOTDATA("Sum of Biomass (tons)",$A$1,"YEAR",1990)/1000</f>
        <v>5782.8244983873237</v>
      </c>
      <c r="M11" s="10">
        <f>GETPIVOTDATA("Sum of Biomass lwr",$A$1,"YEAR",1990)/1000</f>
        <v>4168.5922590359996</v>
      </c>
      <c r="N11" s="10">
        <f>GETPIVOTDATA("Sum of Biomass upper",$A$1,"YEAR",1990)/1000</f>
        <v>8353.5738274634823</v>
      </c>
      <c r="O11" s="15">
        <v>1990</v>
      </c>
      <c r="P11" s="15">
        <v>6958</v>
      </c>
      <c r="Q11" s="15">
        <v>598.6</v>
      </c>
      <c r="R11" s="15">
        <f t="shared" si="0"/>
        <v>598600</v>
      </c>
      <c r="S11" s="6">
        <v>1990</v>
      </c>
      <c r="T11" s="19">
        <v>6958</v>
      </c>
      <c r="U11" s="19">
        <v>598.6</v>
      </c>
      <c r="V11" s="16"/>
      <c r="Z11" s="16"/>
      <c r="AA11" s="16"/>
      <c r="AB11" s="21"/>
      <c r="AC11" s="22">
        <v>69291</v>
      </c>
      <c r="AD11" s="16"/>
      <c r="AE11" s="16"/>
      <c r="AF11" s="16"/>
      <c r="AG11" s="16"/>
      <c r="AH11" s="16"/>
    </row>
    <row r="12" spans="1:34" x14ac:dyDescent="0.25">
      <c r="A12" s="6">
        <v>1991</v>
      </c>
      <c r="B12" s="99">
        <v>16131.797779468048</v>
      </c>
      <c r="C12" s="10">
        <v>7846.1313712475348</v>
      </c>
      <c r="D12" s="10">
        <v>58633.438691454568</v>
      </c>
      <c r="E12" s="10">
        <v>137828.29606831857</v>
      </c>
      <c r="F12" s="10">
        <v>61409.824901486041</v>
      </c>
      <c r="G12" s="10">
        <v>339150.19181150245</v>
      </c>
      <c r="H12" s="52">
        <v>44997</v>
      </c>
      <c r="I12" s="138">
        <v>16.131797779468048</v>
      </c>
      <c r="J12" s="138">
        <v>7.8461313712475347</v>
      </c>
      <c r="K12" s="138">
        <v>58.633438691454572</v>
      </c>
      <c r="L12" s="10">
        <f>GETPIVOTDATA("Sum of Biomass (tons)",$A$1,"YEAR",1991)/1000</f>
        <v>137.82829606831856</v>
      </c>
      <c r="M12" s="10">
        <f>GETPIVOTDATA("Sum of Biomass lwr",$A$1,"YEAR",1991)/1000</f>
        <v>61.40982490148604</v>
      </c>
      <c r="N12" s="10">
        <f>GETPIVOTDATA("Sum of Biomass upper",$A$1,"YEAR",1991)/1000</f>
        <v>339.15019181150245</v>
      </c>
      <c r="O12" s="15">
        <v>1991</v>
      </c>
      <c r="P12" s="15">
        <v>116</v>
      </c>
      <c r="Q12" s="15">
        <v>30.1</v>
      </c>
      <c r="R12" s="15">
        <f t="shared" si="0"/>
        <v>30100</v>
      </c>
      <c r="S12" s="6">
        <v>1991</v>
      </c>
      <c r="T12" s="19">
        <v>116</v>
      </c>
      <c r="U12" s="19">
        <v>30.1</v>
      </c>
      <c r="V12" s="16"/>
      <c r="Z12" s="16"/>
      <c r="AA12" s="16"/>
      <c r="AB12" s="21"/>
      <c r="AC12" s="21">
        <v>44997</v>
      </c>
      <c r="AD12" s="16"/>
      <c r="AE12" s="16"/>
      <c r="AF12" s="16"/>
      <c r="AG12" s="16"/>
      <c r="AH12" s="16"/>
    </row>
    <row r="13" spans="1:34" x14ac:dyDescent="0.25">
      <c r="A13" s="6">
        <v>1992</v>
      </c>
      <c r="B13" s="99">
        <v>19399.027595204527</v>
      </c>
      <c r="C13" s="10">
        <v>16018.19995812562</v>
      </c>
      <c r="D13" s="10">
        <v>24977.095013937073</v>
      </c>
      <c r="E13" s="10">
        <v>138018.9256938154</v>
      </c>
      <c r="F13" s="10">
        <v>114500.31905946606</v>
      </c>
      <c r="G13" s="10">
        <v>175478.97954267997</v>
      </c>
      <c r="H13" s="52">
        <v>82043.199999999997</v>
      </c>
      <c r="I13" s="138">
        <v>19.399027595204526</v>
      </c>
      <c r="J13" s="138">
        <v>16.018199958125621</v>
      </c>
      <c r="K13" s="138">
        <v>24.977095013937074</v>
      </c>
      <c r="L13" s="10">
        <f>GETPIVOTDATA("Sum of Biomass (tons)",$A$1,"YEAR",1992)/1000</f>
        <v>138.01892569381539</v>
      </c>
      <c r="M13" s="10">
        <f>GETPIVOTDATA("Sum of Biomass lwr",$A$1,"YEAR",1992)/1000</f>
        <v>114.50031905946605</v>
      </c>
      <c r="N13" s="10">
        <f>GETPIVOTDATA("Sum of Biomass upper",$A$1,"YEAR",1992)/1000</f>
        <v>175.47897954267998</v>
      </c>
      <c r="O13" s="15">
        <v>1992</v>
      </c>
      <c r="P13" s="15">
        <v>206</v>
      </c>
      <c r="Q13" s="15">
        <v>31.9</v>
      </c>
      <c r="R13" s="15">
        <f t="shared" si="0"/>
        <v>31900</v>
      </c>
      <c r="S13" s="6">
        <v>1992</v>
      </c>
      <c r="T13" s="19">
        <v>206</v>
      </c>
      <c r="U13" s="19">
        <v>31.9</v>
      </c>
      <c r="V13" s="16"/>
      <c r="Z13" s="16"/>
      <c r="AA13" s="16"/>
      <c r="AB13" s="21"/>
      <c r="AC13" s="16">
        <v>82043.199999999997</v>
      </c>
      <c r="AD13" s="16"/>
      <c r="AE13" s="16"/>
      <c r="AF13" s="16"/>
      <c r="AG13" s="16"/>
      <c r="AH13" s="16"/>
    </row>
    <row r="14" spans="1:34" x14ac:dyDescent="0.25">
      <c r="A14" s="6">
        <v>1993</v>
      </c>
      <c r="B14" s="99"/>
      <c r="E14" s="10">
        <v>0</v>
      </c>
      <c r="H14" s="52"/>
      <c r="I14" s="138"/>
      <c r="J14" s="138"/>
      <c r="K14" s="138"/>
      <c r="L14" s="10"/>
      <c r="M14" s="10"/>
      <c r="N14" s="10"/>
      <c r="O14" s="15">
        <v>1993</v>
      </c>
      <c r="P14" s="15"/>
      <c r="Q14" s="15"/>
      <c r="R14" s="15"/>
      <c r="S14" s="6">
        <v>1993</v>
      </c>
      <c r="T14" s="19"/>
      <c r="U14" s="19"/>
      <c r="V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x14ac:dyDescent="0.25">
      <c r="A15" s="6">
        <v>1994</v>
      </c>
      <c r="B15" s="99"/>
      <c r="E15" s="10">
        <v>0</v>
      </c>
      <c r="H15" s="52"/>
      <c r="I15" s="138"/>
      <c r="J15" s="138"/>
      <c r="K15" s="138"/>
      <c r="L15" s="10"/>
      <c r="M15" s="10"/>
      <c r="N15" s="10"/>
      <c r="O15" s="15">
        <v>1994</v>
      </c>
      <c r="P15" s="15"/>
      <c r="Q15" s="15"/>
      <c r="R15" s="15"/>
      <c r="S15" s="6">
        <v>1994</v>
      </c>
      <c r="T15" s="19"/>
      <c r="U15" s="19"/>
      <c r="V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x14ac:dyDescent="0.25">
      <c r="A16" s="6">
        <v>1995</v>
      </c>
      <c r="B16" s="99"/>
      <c r="H16" s="52"/>
      <c r="I16" s="138"/>
      <c r="J16" s="138"/>
      <c r="K16" s="138"/>
      <c r="L16" s="10"/>
      <c r="M16" s="10"/>
      <c r="N16" s="10"/>
      <c r="O16" s="15">
        <v>1995</v>
      </c>
      <c r="P16" s="15"/>
      <c r="Q16" s="15"/>
      <c r="R16" s="15"/>
      <c r="S16" s="6">
        <v>1995</v>
      </c>
      <c r="T16" s="19"/>
      <c r="U16" s="19"/>
      <c r="V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44" x14ac:dyDescent="0.25">
      <c r="A17" s="6">
        <v>1996</v>
      </c>
      <c r="B17" s="99">
        <v>3360.1826922391192</v>
      </c>
      <c r="C17" s="10">
        <v>2236.49129620127</v>
      </c>
      <c r="D17" s="10">
        <v>5317.7324417144828</v>
      </c>
      <c r="E17" s="10">
        <v>47448.349730736809</v>
      </c>
      <c r="F17" s="10">
        <v>32123.622036666005</v>
      </c>
      <c r="G17" s="10">
        <v>74162.970497860108</v>
      </c>
      <c r="H17" s="52">
        <v>132939</v>
      </c>
      <c r="I17" s="138">
        <v>3.3601826922391194</v>
      </c>
      <c r="J17" s="138">
        <v>2.2364912962012697</v>
      </c>
      <c r="K17" s="138">
        <v>5.3177324417144831</v>
      </c>
      <c r="L17" s="10">
        <f>GETPIVOTDATA("Sum of Biomass (tons)",$A$1,"YEAR",1996)/1000</f>
        <v>47.448349730736808</v>
      </c>
      <c r="M17" s="10">
        <f>GETPIVOTDATA("Sum of Biomass lwr",$A$1,"YEAR",1996)/1000</f>
        <v>32.123622036666006</v>
      </c>
      <c r="N17" s="10">
        <f>GETPIVOTDATA("Sum of Biomass upper",$A$1,"YEAR",1996)/1000</f>
        <v>74.162970497860101</v>
      </c>
      <c r="O17" s="15">
        <v>1996</v>
      </c>
      <c r="P17" s="15">
        <v>64</v>
      </c>
      <c r="Q17" s="15">
        <v>4.9000000000000004</v>
      </c>
      <c r="R17" s="15">
        <f t="shared" si="0"/>
        <v>4900</v>
      </c>
      <c r="S17" s="6">
        <v>1996</v>
      </c>
      <c r="T17" s="19">
        <v>64</v>
      </c>
      <c r="U17" s="19">
        <v>4.9000000000000004</v>
      </c>
      <c r="V17" s="16"/>
      <c r="W17" s="44">
        <v>22.218</v>
      </c>
      <c r="Y17" s="44"/>
      <c r="AA17" s="16"/>
      <c r="AB17" s="16"/>
      <c r="AC17" s="16">
        <v>132939</v>
      </c>
      <c r="AD17" s="16"/>
      <c r="AE17" s="16"/>
      <c r="AF17" s="16"/>
      <c r="AG17" s="16"/>
      <c r="AH17" s="16"/>
    </row>
    <row r="18" spans="1:44" x14ac:dyDescent="0.25">
      <c r="A18" s="6">
        <v>1997</v>
      </c>
      <c r="B18" s="99"/>
      <c r="H18" s="52"/>
      <c r="I18" s="138"/>
      <c r="J18" s="138"/>
      <c r="K18" s="138"/>
      <c r="L18" s="10"/>
      <c r="M18" s="10"/>
      <c r="N18" s="10"/>
      <c r="O18" s="15">
        <v>1997</v>
      </c>
      <c r="P18" s="15"/>
      <c r="Q18" s="15"/>
      <c r="R18" s="15"/>
      <c r="S18" s="6">
        <v>1997</v>
      </c>
      <c r="T18" s="19"/>
      <c r="U18" s="19"/>
      <c r="V18" s="16"/>
      <c r="W18" s="44"/>
      <c r="Y18" s="44"/>
      <c r="AA18" s="16"/>
      <c r="AB18" s="16"/>
      <c r="AC18" s="16"/>
      <c r="AD18" s="16"/>
      <c r="AE18" s="16"/>
      <c r="AF18" s="16"/>
      <c r="AG18" s="16"/>
      <c r="AH18" s="16"/>
    </row>
    <row r="19" spans="1:44" x14ac:dyDescent="0.25">
      <c r="A19" s="6">
        <v>1998</v>
      </c>
      <c r="B19" s="99"/>
      <c r="H19" s="52"/>
      <c r="I19" s="138"/>
      <c r="J19" s="138"/>
      <c r="K19" s="138"/>
      <c r="L19" s="10"/>
      <c r="M19" s="10"/>
      <c r="N19" s="10"/>
      <c r="O19" s="15">
        <v>1998</v>
      </c>
      <c r="P19" s="15"/>
      <c r="Q19" s="15"/>
      <c r="R19" s="15"/>
      <c r="S19" s="6">
        <v>1998</v>
      </c>
      <c r="T19" s="19"/>
      <c r="U19" s="19"/>
      <c r="V19" s="16"/>
      <c r="W19" s="44"/>
      <c r="Y19" s="44"/>
      <c r="AA19" s="12">
        <v>132</v>
      </c>
      <c r="AB19" s="16"/>
      <c r="AC19" s="16"/>
      <c r="AD19" s="16"/>
      <c r="AE19" s="16"/>
      <c r="AF19" s="16"/>
      <c r="AG19" s="16"/>
      <c r="AH19" s="16"/>
    </row>
    <row r="20" spans="1:44" x14ac:dyDescent="0.25">
      <c r="A20" s="6">
        <v>1999</v>
      </c>
      <c r="B20" s="99">
        <v>17009.042975132194</v>
      </c>
      <c r="C20" s="10">
        <v>10859.953279965368</v>
      </c>
      <c r="D20" s="10">
        <v>33156.295232777637</v>
      </c>
      <c r="E20" s="10">
        <v>216305.45447319438</v>
      </c>
      <c r="F20" s="10">
        <v>140934.46662639262</v>
      </c>
      <c r="G20" s="10">
        <v>414403.52409760491</v>
      </c>
      <c r="H20" s="52">
        <v>71167.785688938849</v>
      </c>
      <c r="I20" s="138">
        <v>17.009042975132193</v>
      </c>
      <c r="J20" s="138">
        <v>10.859953279965367</v>
      </c>
      <c r="K20" s="138">
        <v>33.156295232777637</v>
      </c>
      <c r="L20" s="10">
        <f>GETPIVOTDATA("Sum of Biomass (tons)",$A$1,"YEAR",1999)/1000</f>
        <v>216.30545447319437</v>
      </c>
      <c r="M20" s="10">
        <f>GETPIVOTDATA("Sum of Biomass lwr",$A$1,"YEAR",1999)/1000</f>
        <v>140.93446662639261</v>
      </c>
      <c r="N20" s="10">
        <f>GETPIVOTDATA("Sum of Biomass upper",$A$1,"YEAR",1999)/1000</f>
        <v>414.40352409760493</v>
      </c>
      <c r="O20" s="15">
        <v>1999</v>
      </c>
      <c r="P20" s="15"/>
      <c r="Q20" s="15"/>
      <c r="R20" s="15"/>
      <c r="S20" s="6">
        <v>1999</v>
      </c>
      <c r="T20" s="41">
        <f t="shared" ref="T20:T26" si="1">E20/1000</f>
        <v>216.30545447319437</v>
      </c>
      <c r="U20" s="41">
        <f t="shared" ref="U20:U26" si="2">B20/1000</f>
        <v>17.009042975132193</v>
      </c>
      <c r="V20" s="16"/>
      <c r="W20" s="45">
        <v>19.201292943353252</v>
      </c>
      <c r="X20" s="45">
        <v>5.4983032443606064</v>
      </c>
      <c r="Y20" s="45">
        <v>45.993936249473222</v>
      </c>
      <c r="Z20">
        <v>36.228854610100477</v>
      </c>
      <c r="AA20" s="16"/>
      <c r="AB20" s="12"/>
      <c r="AC20" s="23">
        <v>71167.785688938849</v>
      </c>
      <c r="AD20" s="16"/>
      <c r="AE20" s="16"/>
      <c r="AF20" s="16"/>
      <c r="AG20" s="16"/>
      <c r="AH20" s="16"/>
    </row>
    <row r="21" spans="1:44" x14ac:dyDescent="0.25">
      <c r="A21" s="6">
        <v>2000</v>
      </c>
      <c r="B21" s="99">
        <v>10931.251918463706</v>
      </c>
      <c r="C21" s="10">
        <v>8799.0802236849577</v>
      </c>
      <c r="D21" s="10">
        <v>13828.653086824532</v>
      </c>
      <c r="E21" s="10">
        <v>124749.77848998032</v>
      </c>
      <c r="F21" s="10">
        <v>100225.58202753941</v>
      </c>
      <c r="G21" s="10">
        <v>158517.36759213152</v>
      </c>
      <c r="H21" s="52">
        <v>115042.12597090854</v>
      </c>
      <c r="I21" s="138">
        <v>10.931251918463706</v>
      </c>
      <c r="J21" s="138">
        <v>8.7990802236849568</v>
      </c>
      <c r="K21" s="138">
        <v>13.828653086824533</v>
      </c>
      <c r="L21" s="10">
        <f>GETPIVOTDATA("Sum of Biomass (tons)",$A$1,"YEAR",2000)/1000</f>
        <v>124.74977848998033</v>
      </c>
      <c r="M21" s="10">
        <f>GETPIVOTDATA("Sum of Biomass lwr",$A$1,"YEAR",2000)/1000</f>
        <v>100.2255820275394</v>
      </c>
      <c r="N21" s="10">
        <f>GETPIVOTDATA("Sum of Biomass upper",$A$1,"YEAR",2000)/1000</f>
        <v>158.51736759213151</v>
      </c>
      <c r="O21" s="15">
        <v>2000</v>
      </c>
      <c r="P21" s="15"/>
      <c r="Q21" s="15"/>
      <c r="R21" s="15"/>
      <c r="S21" s="6">
        <v>2000</v>
      </c>
      <c r="T21" s="41">
        <f t="shared" si="1"/>
        <v>124.74977848998033</v>
      </c>
      <c r="U21" s="41">
        <f t="shared" si="2"/>
        <v>10.931251918463706</v>
      </c>
      <c r="V21" s="16"/>
      <c r="W21" s="45">
        <v>90.98363956405548</v>
      </c>
      <c r="X21" s="45">
        <v>45.436969951922755</v>
      </c>
      <c r="Y21" s="45">
        <v>151.83319723898578</v>
      </c>
      <c r="Z21">
        <v>131.86034719428329</v>
      </c>
      <c r="AA21" s="16"/>
      <c r="AB21" s="12"/>
      <c r="AC21" s="23">
        <v>115042.12597090854</v>
      </c>
      <c r="AD21" s="16"/>
      <c r="AE21" s="16"/>
      <c r="AF21" s="16"/>
      <c r="AG21" s="16"/>
      <c r="AH21" s="16"/>
    </row>
    <row r="22" spans="1:44" x14ac:dyDescent="0.25">
      <c r="A22" s="6">
        <v>2001</v>
      </c>
      <c r="B22" s="99">
        <v>10721.631765836084</v>
      </c>
      <c r="C22" s="10">
        <v>7020.4094828144825</v>
      </c>
      <c r="D22" s="10">
        <v>31649.165984101284</v>
      </c>
      <c r="E22" s="10">
        <v>129418.85726665353</v>
      </c>
      <c r="F22" s="10">
        <v>86055.886059002572</v>
      </c>
      <c r="G22" s="10">
        <v>375384.5524594321</v>
      </c>
      <c r="H22" s="52">
        <v>109011.81728721323</v>
      </c>
      <c r="I22" s="138">
        <v>10.721631765836085</v>
      </c>
      <c r="J22" s="138">
        <v>7.0204094828144825</v>
      </c>
      <c r="K22" s="138">
        <v>31.649165984101284</v>
      </c>
      <c r="L22" s="10">
        <f>GETPIVOTDATA("Sum of Biomass (tons)",$A$1,"YEAR",2001)/1000</f>
        <v>129.41885726665353</v>
      </c>
      <c r="M22" s="10">
        <f>GETPIVOTDATA("Sum of Biomass lwr",$A$1,"YEAR",2001)/1000</f>
        <v>86.055886059002574</v>
      </c>
      <c r="N22" s="10">
        <f>GETPIVOTDATA("Sum of Biomass upper",$A$1,"YEAR",2001)/1000</f>
        <v>375.38455245943209</v>
      </c>
      <c r="O22" s="15">
        <v>2001</v>
      </c>
      <c r="P22" s="15"/>
      <c r="Q22" s="15"/>
      <c r="R22" s="15"/>
      <c r="S22" s="6">
        <v>2001</v>
      </c>
      <c r="T22" s="41">
        <f t="shared" si="1"/>
        <v>129.41885726665353</v>
      </c>
      <c r="U22" s="41">
        <f t="shared" si="2"/>
        <v>10.721631765836085</v>
      </c>
      <c r="V22" s="20"/>
      <c r="W22" s="45">
        <v>60.251075728752362</v>
      </c>
      <c r="X22" s="45">
        <v>24.800498548144304</v>
      </c>
      <c r="Y22" s="45">
        <v>256.53337894232556</v>
      </c>
      <c r="Z22">
        <v>45.993187579200274</v>
      </c>
      <c r="AA22" s="16"/>
      <c r="AB22" s="12"/>
      <c r="AC22" s="23">
        <v>109011.81728721323</v>
      </c>
      <c r="AD22" s="16"/>
      <c r="AE22" s="16"/>
      <c r="AF22" s="16"/>
      <c r="AG22" s="16"/>
      <c r="AH22" s="16"/>
    </row>
    <row r="23" spans="1:44" x14ac:dyDescent="0.25">
      <c r="A23" s="6">
        <v>2002</v>
      </c>
      <c r="B23" s="99">
        <v>6325.1097943053201</v>
      </c>
      <c r="C23" s="10">
        <v>5239.1774091162342</v>
      </c>
      <c r="D23" s="10">
        <v>8323.327611853827</v>
      </c>
      <c r="E23" s="10">
        <v>83865.016448557421</v>
      </c>
      <c r="F23" s="10">
        <v>70167.597179670032</v>
      </c>
      <c r="G23" s="10">
        <v>109440.23712280698</v>
      </c>
      <c r="H23" s="52">
        <v>139556.27277883934</v>
      </c>
      <c r="I23" s="138">
        <v>6.3251097943053205</v>
      </c>
      <c r="J23" s="138">
        <v>5.239177409116234</v>
      </c>
      <c r="K23" s="138">
        <v>8.3233276118538271</v>
      </c>
      <c r="L23" s="10">
        <f>GETPIVOTDATA("Sum of Biomass (tons)",$A$1,"YEAR",2002)/1000</f>
        <v>83.865016448557427</v>
      </c>
      <c r="M23" s="10">
        <f>GETPIVOTDATA("Sum of Biomass lwr",$A$1,"YEAR",2002)/1000</f>
        <v>70.167597179670025</v>
      </c>
      <c r="N23" s="10">
        <f>GETPIVOTDATA("Sum of Biomass upper",$A$1,"YEAR",2002)/1000</f>
        <v>109.44023712280698</v>
      </c>
      <c r="O23" s="15">
        <v>2002</v>
      </c>
      <c r="P23" s="15"/>
      <c r="Q23" s="15"/>
      <c r="R23" s="15"/>
      <c r="S23" s="6">
        <v>2002</v>
      </c>
      <c r="T23" s="41">
        <f t="shared" si="1"/>
        <v>83.865016448557427</v>
      </c>
      <c r="U23" s="41">
        <f t="shared" si="2"/>
        <v>6.3251097943053205</v>
      </c>
      <c r="V23" s="20"/>
      <c r="W23" s="45">
        <v>10.649275746343903</v>
      </c>
      <c r="X23" s="45">
        <v>8.250964473946615</v>
      </c>
      <c r="Y23" s="45">
        <v>15.595750496945671</v>
      </c>
      <c r="Z23">
        <v>17.748792910573172</v>
      </c>
      <c r="AA23" s="20">
        <v>23.57</v>
      </c>
      <c r="AB23" s="12"/>
      <c r="AC23" s="23">
        <v>139556.27277883934</v>
      </c>
      <c r="AD23" s="16"/>
      <c r="AE23" s="16"/>
      <c r="AF23" s="16"/>
      <c r="AG23" s="16"/>
      <c r="AH23" s="16"/>
    </row>
    <row r="24" spans="1:44" x14ac:dyDescent="0.25">
      <c r="A24" s="6">
        <v>2003</v>
      </c>
      <c r="B24" s="99">
        <v>9320.5919371152959</v>
      </c>
      <c r="C24" s="10">
        <v>6738.8929867209099</v>
      </c>
      <c r="D24" s="10">
        <v>16905.120477453835</v>
      </c>
      <c r="E24" s="10">
        <v>108139.10917210922</v>
      </c>
      <c r="F24" s="10">
        <v>78337.780848155104</v>
      </c>
      <c r="G24" s="10">
        <v>191407.31510644968</v>
      </c>
      <c r="H24" s="52">
        <v>77544.927102135873</v>
      </c>
      <c r="I24" s="138">
        <v>9.3205919371152959</v>
      </c>
      <c r="J24" s="138">
        <v>6.7388929867209102</v>
      </c>
      <c r="K24" s="138">
        <v>16.905120477453835</v>
      </c>
      <c r="L24" s="10">
        <f>GETPIVOTDATA("Sum of Biomass (tons)",$A$1,"YEAR",2003)/1000</f>
        <v>108.13910917210923</v>
      </c>
      <c r="M24" s="10">
        <f>GETPIVOTDATA("Sum of Biomass lwr",$A$1,"YEAR",2003)/1000</f>
        <v>78.337780848155106</v>
      </c>
      <c r="N24" s="10">
        <f>GETPIVOTDATA("Sum of Biomass upper",$A$1,"YEAR",2003)/1000</f>
        <v>191.40731510644969</v>
      </c>
      <c r="O24" s="15">
        <v>2003</v>
      </c>
      <c r="P24"/>
      <c r="Q24" s="16"/>
      <c r="R24" s="16"/>
      <c r="S24" s="6">
        <v>2003</v>
      </c>
      <c r="T24" s="41">
        <f t="shared" si="1"/>
        <v>108.13910917210923</v>
      </c>
      <c r="U24" s="41">
        <f t="shared" si="2"/>
        <v>9.3205919371152959</v>
      </c>
      <c r="V24" s="20"/>
      <c r="W24" s="45">
        <v>12.14395855053381</v>
      </c>
      <c r="X24" s="45">
        <v>8.305181523190182</v>
      </c>
      <c r="Y24" s="45">
        <v>28.174595096006222</v>
      </c>
      <c r="Z24">
        <v>14.120882035504433</v>
      </c>
      <c r="AA24" s="16"/>
      <c r="AB24" s="12"/>
      <c r="AC24" s="16">
        <v>77544.927102135873</v>
      </c>
      <c r="AD24" s="16"/>
      <c r="AE24" s="16"/>
      <c r="AF24" s="16"/>
      <c r="AG24" s="16"/>
      <c r="AH24" s="16"/>
      <c r="AO24" s="88"/>
    </row>
    <row r="25" spans="1:44" x14ac:dyDescent="0.25">
      <c r="A25" s="6">
        <v>2004</v>
      </c>
      <c r="B25" s="99">
        <v>11712.290585401028</v>
      </c>
      <c r="C25" s="10">
        <v>9298.170954363206</v>
      </c>
      <c r="D25" s="10">
        <v>21352.420153984287</v>
      </c>
      <c r="E25" s="10">
        <v>125159.63663769749</v>
      </c>
      <c r="F25" s="10">
        <v>100392.96248656741</v>
      </c>
      <c r="G25" s="10">
        <v>216268.67605243952</v>
      </c>
      <c r="H25" s="52">
        <v>120764.86600768716</v>
      </c>
      <c r="I25" s="138">
        <v>11.712290585401028</v>
      </c>
      <c r="J25" s="138">
        <v>9.2981709543632061</v>
      </c>
      <c r="K25" s="138">
        <v>21.352420153984287</v>
      </c>
      <c r="L25" s="10">
        <f>GETPIVOTDATA("Sum of Biomass (tons)",$A$1,"YEAR",2004)/1000</f>
        <v>125.15963663769749</v>
      </c>
      <c r="M25" s="10">
        <f>GETPIVOTDATA("Sum of Biomass lwr",$A$1,"YEAR",2004)/1000</f>
        <v>100.39296248656741</v>
      </c>
      <c r="N25" s="10">
        <f>GETPIVOTDATA("Sum of Biomass upper",$A$1,"YEAR",2004)/1000</f>
        <v>216.26867605243953</v>
      </c>
      <c r="O25" s="15">
        <v>2004</v>
      </c>
      <c r="P25"/>
      <c r="Q25" s="16"/>
      <c r="R25" s="16"/>
      <c r="S25" s="6">
        <v>2004</v>
      </c>
      <c r="T25" s="41">
        <f t="shared" si="1"/>
        <v>125.15963663769749</v>
      </c>
      <c r="U25" s="41">
        <f t="shared" si="2"/>
        <v>11.712290585401028</v>
      </c>
      <c r="V25" s="20"/>
      <c r="W25" s="45">
        <v>5.6479356206571909</v>
      </c>
      <c r="X25" s="45">
        <v>1.4293435937701029</v>
      </c>
      <c r="Y25" s="45">
        <v>71.585191078510377</v>
      </c>
      <c r="Z25">
        <v>4.6677153889728853</v>
      </c>
      <c r="AA25" s="16"/>
      <c r="AB25" s="12"/>
      <c r="AC25" s="16">
        <v>120764.86600768716</v>
      </c>
      <c r="AD25" s="16"/>
      <c r="AE25" s="16"/>
      <c r="AF25" s="16"/>
      <c r="AG25" s="16"/>
      <c r="AH25" s="16"/>
    </row>
    <row r="26" spans="1:44" x14ac:dyDescent="0.25">
      <c r="A26" s="6">
        <v>2005</v>
      </c>
      <c r="B26" s="99">
        <v>6147.2049062972828</v>
      </c>
      <c r="C26" s="10">
        <v>3818.47349438111</v>
      </c>
      <c r="D26" s="10">
        <v>24120.187526677095</v>
      </c>
      <c r="E26" s="10">
        <v>98073.814690821731</v>
      </c>
      <c r="F26" s="10">
        <v>63254.375987263025</v>
      </c>
      <c r="G26" s="10">
        <v>333526.34711431956</v>
      </c>
      <c r="H26" s="52">
        <v>87982.126190535404</v>
      </c>
      <c r="I26" s="138">
        <v>6.1472049062972829</v>
      </c>
      <c r="J26" s="138">
        <v>3.8184734943811098</v>
      </c>
      <c r="K26" s="138">
        <v>24.120187526677096</v>
      </c>
      <c r="L26" s="10">
        <f>GETPIVOTDATA("Sum of Biomass (tons)",$A$1,"YEAR",2005)/1000</f>
        <v>98.073814690821735</v>
      </c>
      <c r="M26" s="10">
        <f>GETPIVOTDATA("Sum of Biomass lwr",$A$1,"YEAR",2005)/1000</f>
        <v>63.254375987263025</v>
      </c>
      <c r="N26" s="10">
        <f>GETPIVOTDATA("Sum of Biomass upper",$A$1,"YEAR",2005)/1000</f>
        <v>333.52634711431955</v>
      </c>
      <c r="O26" s="15">
        <v>2005</v>
      </c>
      <c r="P26"/>
      <c r="Q26" s="16"/>
      <c r="R26" s="16"/>
      <c r="S26" s="6">
        <v>2005</v>
      </c>
      <c r="T26" s="41">
        <f t="shared" si="1"/>
        <v>98.073814690821735</v>
      </c>
      <c r="U26" s="41">
        <f t="shared" si="2"/>
        <v>6.1472049062972829</v>
      </c>
      <c r="V26" s="20"/>
      <c r="W26" s="45">
        <v>37.014859533853212</v>
      </c>
      <c r="X26" s="45">
        <v>20.081504086409403</v>
      </c>
      <c r="Y26" s="45">
        <v>66.504209583737463</v>
      </c>
      <c r="Z26">
        <v>0</v>
      </c>
      <c r="AA26" s="16"/>
      <c r="AB26" s="12"/>
      <c r="AC26" s="16">
        <v>87982.126190535404</v>
      </c>
      <c r="AD26" s="16"/>
      <c r="AE26" s="16"/>
      <c r="AF26" s="16"/>
      <c r="AG26" s="16"/>
      <c r="AH26" s="16"/>
    </row>
    <row r="27" spans="1:44" x14ac:dyDescent="0.25">
      <c r="A27" s="6">
        <v>2006</v>
      </c>
      <c r="B27" s="99"/>
      <c r="H27" s="52"/>
      <c r="I27" s="138"/>
      <c r="J27" s="138"/>
      <c r="K27" s="138"/>
      <c r="L27" s="10"/>
      <c r="M27" s="10"/>
      <c r="N27" s="10"/>
      <c r="O27" s="15">
        <v>2006</v>
      </c>
      <c r="P27"/>
      <c r="Q27" s="16"/>
      <c r="R27" s="16"/>
      <c r="S27" s="6">
        <v>2006</v>
      </c>
      <c r="T27" s="41"/>
      <c r="U27" s="41"/>
      <c r="V27" s="20"/>
      <c r="W27" s="16">
        <v>0</v>
      </c>
      <c r="X27" s="16">
        <v>0</v>
      </c>
      <c r="Y27" s="16">
        <v>0</v>
      </c>
      <c r="Z27">
        <v>22.570036301130006</v>
      </c>
      <c r="AA27" s="16"/>
      <c r="AB27" s="16"/>
      <c r="AC27" s="16"/>
      <c r="AD27" s="16"/>
      <c r="AE27" s="16"/>
      <c r="AF27" s="16"/>
      <c r="AG27" s="16"/>
      <c r="AH27" s="16"/>
    </row>
    <row r="28" spans="1:44" ht="12.75" customHeight="1" x14ac:dyDescent="0.25">
      <c r="A28" s="6">
        <v>2007</v>
      </c>
      <c r="B28" s="99">
        <v>28249.653196723688</v>
      </c>
      <c r="C28" s="10">
        <v>22001.573079862806</v>
      </c>
      <c r="D28" s="10">
        <v>44629.384204963739</v>
      </c>
      <c r="E28" s="10">
        <v>300477.18434017949</v>
      </c>
      <c r="F28" s="10">
        <v>233350.85026736197</v>
      </c>
      <c r="G28" s="10">
        <v>473153.73202417354</v>
      </c>
      <c r="H28" s="52">
        <v>116851.5457767053</v>
      </c>
      <c r="I28" s="138">
        <v>28.249653196723688</v>
      </c>
      <c r="J28" s="138">
        <v>22.001573079862805</v>
      </c>
      <c r="K28" s="138">
        <v>44.629384204963742</v>
      </c>
      <c r="L28" s="10">
        <f>GETPIVOTDATA("Sum of Biomass (tons)",$A$1,"YEAR",2007)/1000</f>
        <v>300.47718434017946</v>
      </c>
      <c r="M28" s="10">
        <f>GETPIVOTDATA("Sum of Biomass lwr",$A$1,"YEAR",2007)/1000</f>
        <v>233.35085026736198</v>
      </c>
      <c r="N28" s="10">
        <f>GETPIVOTDATA("Sum of Biomass upper",$A$1,"YEAR",2007)/1000</f>
        <v>473.15373202417356</v>
      </c>
      <c r="O28" s="15">
        <v>2007</v>
      </c>
      <c r="P28"/>
      <c r="Q28" s="16"/>
      <c r="R28" s="16"/>
      <c r="S28" s="6">
        <v>2007</v>
      </c>
      <c r="T28" s="41">
        <f t="shared" ref="T28:T35" si="3">E28/1000</f>
        <v>300.47718434017946</v>
      </c>
      <c r="U28" s="41">
        <f t="shared" ref="U28:U35" si="4">B28/1000</f>
        <v>28.249653196723688</v>
      </c>
      <c r="V28" s="20"/>
      <c r="W28" s="45">
        <v>12.05916443236784</v>
      </c>
      <c r="X28" s="45">
        <v>9.0202787333345498</v>
      </c>
      <c r="Y28" s="45">
        <v>220.95436232722258</v>
      </c>
      <c r="Z28">
        <v>11.063453607676918</v>
      </c>
      <c r="AA28" s="16"/>
      <c r="AB28" s="16"/>
      <c r="AC28" s="16">
        <v>116851.5457767053</v>
      </c>
      <c r="AD28" s="16"/>
      <c r="AE28" s="16"/>
      <c r="AF28" s="16"/>
      <c r="AG28" s="16"/>
      <c r="AH28" s="16"/>
    </row>
    <row r="29" spans="1:44" ht="14.25" customHeight="1" x14ac:dyDescent="0.25">
      <c r="A29" s="6">
        <v>2008</v>
      </c>
      <c r="B29" s="99">
        <v>22290.05903060842</v>
      </c>
      <c r="C29" s="10">
        <v>17605.556200970535</v>
      </c>
      <c r="D29" s="10">
        <v>44222.046723010055</v>
      </c>
      <c r="E29" s="10">
        <v>262855.00204694958</v>
      </c>
      <c r="F29" s="10">
        <v>207279.15731362588</v>
      </c>
      <c r="G29" s="10">
        <v>496401.24323339248</v>
      </c>
      <c r="H29" s="52">
        <v>151724.59512604025</v>
      </c>
      <c r="I29" s="138">
        <v>22.290059030608418</v>
      </c>
      <c r="J29" s="138">
        <v>17.605556200970536</v>
      </c>
      <c r="K29" s="138">
        <v>44.222046723010052</v>
      </c>
      <c r="L29" s="10">
        <f>GETPIVOTDATA("Sum of Biomass (tons)",$A$1,"YEAR",2008)/1000</f>
        <v>262.85500204694961</v>
      </c>
      <c r="M29" s="10">
        <f>GETPIVOTDATA("Sum of Biomass lwr",$A$1,"YEAR",2008)/1000</f>
        <v>207.27915731362589</v>
      </c>
      <c r="N29" s="10">
        <f>GETPIVOTDATA("Sum of Biomass upper",$A$1,"YEAR",2008)/1000</f>
        <v>496.40124323339251</v>
      </c>
      <c r="O29" s="15">
        <v>2008</v>
      </c>
      <c r="P29"/>
      <c r="Q29" s="16"/>
      <c r="R29" s="16"/>
      <c r="S29" s="6">
        <v>2008</v>
      </c>
      <c r="T29" s="41">
        <f t="shared" si="3"/>
        <v>262.85500204694961</v>
      </c>
      <c r="U29" s="41">
        <f t="shared" si="4"/>
        <v>22.290059030608418</v>
      </c>
      <c r="V29" s="20"/>
      <c r="W29" s="45">
        <v>53.996646091725694</v>
      </c>
      <c r="X29" s="45">
        <v>37.661812925542485</v>
      </c>
      <c r="Y29" s="45">
        <v>95.481368417495048</v>
      </c>
      <c r="Z29">
        <v>94.730958055659102</v>
      </c>
      <c r="AA29" s="16"/>
      <c r="AB29" s="16"/>
      <c r="AC29" s="16">
        <v>151724.59512604025</v>
      </c>
      <c r="AD29" s="16"/>
      <c r="AE29" s="16"/>
      <c r="AF29" s="16"/>
      <c r="AG29" s="16"/>
      <c r="AH29" s="16"/>
    </row>
    <row r="30" spans="1:44" ht="12.75" customHeight="1" x14ac:dyDescent="0.25">
      <c r="A30" s="6">
        <v>2009</v>
      </c>
      <c r="B30" s="99">
        <v>29401.658009803374</v>
      </c>
      <c r="C30" s="10">
        <v>25611.505861845639</v>
      </c>
      <c r="D30" s="10">
        <v>38994.609176917802</v>
      </c>
      <c r="E30" s="10">
        <v>262166.38724987791</v>
      </c>
      <c r="F30" s="10">
        <v>227093.12857300203</v>
      </c>
      <c r="G30" s="10">
        <v>351535.08193277463</v>
      </c>
      <c r="H30" s="52">
        <v>146378.13588070218</v>
      </c>
      <c r="I30" s="138">
        <v>29.401658009803374</v>
      </c>
      <c r="J30" s="138">
        <v>25.611505861845639</v>
      </c>
      <c r="K30" s="138">
        <v>38.994609176917805</v>
      </c>
      <c r="L30" s="10">
        <f>GETPIVOTDATA("Sum of Biomass (tons)",$A$1,"YEAR",2009)/1000</f>
        <v>262.16638724987791</v>
      </c>
      <c r="M30" s="10">
        <f>GETPIVOTDATA("Sum of Biomass lwr",$A$1,"YEAR",2009)/1000</f>
        <v>227.09312857300202</v>
      </c>
      <c r="N30" s="10">
        <f>GETPIVOTDATA("Sum of Biomass upper",$A$1,"YEAR",2009)/1000</f>
        <v>351.53508193277463</v>
      </c>
      <c r="O30" s="15">
        <v>2009</v>
      </c>
      <c r="P30"/>
      <c r="Q30" s="16"/>
      <c r="R30" s="16"/>
      <c r="S30" s="6">
        <v>2009</v>
      </c>
      <c r="T30" s="41">
        <f t="shared" si="3"/>
        <v>262.16638724987791</v>
      </c>
      <c r="U30" s="41">
        <f t="shared" si="4"/>
        <v>29.401658009803374</v>
      </c>
      <c r="V30" s="20"/>
      <c r="W30" s="45">
        <v>17.644514203270326</v>
      </c>
      <c r="X30" s="45">
        <v>15.34308596017339</v>
      </c>
      <c r="Y30" s="45">
        <v>21.766550395174828</v>
      </c>
      <c r="Z30">
        <v>26.335095825776605</v>
      </c>
      <c r="AA30" s="16"/>
      <c r="AB30" s="16"/>
      <c r="AC30" s="16">
        <v>146378.13588070218</v>
      </c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2.75" customHeight="1" x14ac:dyDescent="0.25">
      <c r="A31" s="6">
        <v>2010</v>
      </c>
      <c r="B31" s="99">
        <v>2031.7991581790245</v>
      </c>
      <c r="C31" s="10">
        <v>1181.2033281171512</v>
      </c>
      <c r="D31" s="10">
        <v>5124.3562028814531</v>
      </c>
      <c r="E31" s="10">
        <v>23229.83022097902</v>
      </c>
      <c r="F31" s="10">
        <v>13621.038791282275</v>
      </c>
      <c r="G31" s="10">
        <v>60734.573339180628</v>
      </c>
      <c r="H31" s="52">
        <v>146378.13588070218</v>
      </c>
      <c r="I31" s="138">
        <v>2.0317991581790245</v>
      </c>
      <c r="J31" s="138">
        <v>1.1812033281171512</v>
      </c>
      <c r="K31" s="138">
        <v>5.1243562028814527</v>
      </c>
      <c r="L31" s="10">
        <f>GETPIVOTDATA("Sum of Biomass (tons)",$A$1,"YEAR",2010)/1000</f>
        <v>23.229830220979022</v>
      </c>
      <c r="M31" s="10">
        <f>GETPIVOTDATA("Sum of Biomass lwr",$A$1,"YEAR",2010)/1000</f>
        <v>13.621038791282276</v>
      </c>
      <c r="N31" s="10">
        <f>GETPIVOTDATA("Sum of Biomass upper",$A$1,"YEAR",2010)/1000</f>
        <v>60.734573339180628</v>
      </c>
      <c r="O31" s="15">
        <v>2010</v>
      </c>
      <c r="P31"/>
      <c r="Q31" s="16"/>
      <c r="R31" s="16"/>
      <c r="S31" s="6">
        <v>2010</v>
      </c>
      <c r="T31" s="41">
        <f t="shared" si="3"/>
        <v>23.229830220979022</v>
      </c>
      <c r="U31" s="41">
        <f t="shared" si="4"/>
        <v>2.0317991581790245</v>
      </c>
      <c r="V31" s="20"/>
      <c r="W31" s="45">
        <v>15.995804776526013</v>
      </c>
      <c r="X31" s="45">
        <v>11.007508479147061</v>
      </c>
      <c r="Y31" s="45">
        <v>506.61601448472635</v>
      </c>
      <c r="Z31">
        <v>20.247854147501279</v>
      </c>
      <c r="AA31" s="16"/>
      <c r="AB31" s="16"/>
      <c r="AC31" s="16">
        <v>146378.13588070218</v>
      </c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2.75" customHeight="1" x14ac:dyDescent="0.25">
      <c r="A32" s="6">
        <v>2011</v>
      </c>
      <c r="B32" s="99">
        <v>19351.176440037809</v>
      </c>
      <c r="C32" s="10">
        <v>14509.836668980617</v>
      </c>
      <c r="D32" s="10">
        <v>30070.933624884568</v>
      </c>
      <c r="E32" s="10">
        <v>209645.70212735829</v>
      </c>
      <c r="F32" s="10">
        <v>161559.48053070085</v>
      </c>
      <c r="G32" s="10">
        <v>318942.1574944561</v>
      </c>
      <c r="H32" s="52">
        <v>110008.14338281019</v>
      </c>
      <c r="I32" s="138">
        <v>19.351176440037808</v>
      </c>
      <c r="J32" s="138">
        <v>14.509836668980617</v>
      </c>
      <c r="K32" s="138">
        <v>30.070933624884567</v>
      </c>
      <c r="L32" s="10">
        <f>GETPIVOTDATA("Sum of Biomass (tons)",$A$1,"YEAR",2011)/1000</f>
        <v>209.64570212735831</v>
      </c>
      <c r="M32" s="10">
        <f>GETPIVOTDATA("Sum of Biomass lwr",$A$1,"YEAR",2011)/1000</f>
        <v>161.55948053070085</v>
      </c>
      <c r="N32" s="10">
        <f>GETPIVOTDATA("Sum of Biomass upper",$A$1,"YEAR",2011)/1000</f>
        <v>318.94215749445613</v>
      </c>
      <c r="O32" s="15">
        <v>2011</v>
      </c>
      <c r="P32"/>
      <c r="Q32" s="16"/>
      <c r="R32" s="16"/>
      <c r="S32" s="6">
        <v>2011</v>
      </c>
      <c r="T32" s="41">
        <f t="shared" si="3"/>
        <v>209.64570212735831</v>
      </c>
      <c r="U32" s="41">
        <f t="shared" si="4"/>
        <v>19.351176440037808</v>
      </c>
      <c r="V32" s="20"/>
      <c r="W32" s="45">
        <v>47.336934803578323</v>
      </c>
      <c r="X32" s="45">
        <v>33.204391095440151</v>
      </c>
      <c r="Y32" s="45">
        <v>71.062596722784562</v>
      </c>
      <c r="Z32">
        <v>83.047254041365491</v>
      </c>
      <c r="AA32" s="16"/>
      <c r="AB32" s="16"/>
      <c r="AC32" s="16">
        <v>110008.14338281019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2.75" customHeight="1" x14ac:dyDescent="0.25">
      <c r="A33" s="53">
        <v>2012</v>
      </c>
      <c r="B33" s="107">
        <v>23073.524456265401</v>
      </c>
      <c r="C33" s="87">
        <v>18544.694079887846</v>
      </c>
      <c r="D33" s="87">
        <v>41658.589225538097</v>
      </c>
      <c r="E33" s="87">
        <v>205761.28530349743</v>
      </c>
      <c r="F33" s="87">
        <v>165906.33820235022</v>
      </c>
      <c r="G33" s="87">
        <v>355129.63426299038</v>
      </c>
      <c r="H33" s="106">
        <v>146378.13588070218</v>
      </c>
      <c r="I33" s="138">
        <v>23.0735244562654</v>
      </c>
      <c r="J33" s="138">
        <v>18.544694079887847</v>
      </c>
      <c r="K33" s="138">
        <v>41.658589225538094</v>
      </c>
      <c r="L33" s="10">
        <f>GETPIVOTDATA("Sum of Biomass (tons)",$A$1,"YEAR",2012)/1000</f>
        <v>205.76128530349743</v>
      </c>
      <c r="M33" s="10">
        <f>GETPIVOTDATA("Sum of Biomass lwr",$A$1,"YEAR",2012)/1000</f>
        <v>165.90633820235021</v>
      </c>
      <c r="N33" s="10">
        <f>GETPIVOTDATA("Sum of Biomass upper",$A$1,"YEAR",2012)/1000</f>
        <v>355.12963426299041</v>
      </c>
      <c r="O33" s="15">
        <v>2012</v>
      </c>
      <c r="P33"/>
      <c r="Q33" s="16"/>
      <c r="R33" s="16"/>
      <c r="S33" s="53">
        <v>2012</v>
      </c>
      <c r="T33" s="41">
        <f t="shared" si="3"/>
        <v>205.76128530349743</v>
      </c>
      <c r="U33" s="41">
        <f t="shared" si="4"/>
        <v>23.0735244562654</v>
      </c>
      <c r="V33" s="20"/>
      <c r="W33" s="45">
        <v>16.204278148180556</v>
      </c>
      <c r="X33" s="45">
        <v>12.257639643111858</v>
      </c>
      <c r="Y33" s="45">
        <v>28.535023671424632</v>
      </c>
      <c r="Z33">
        <v>17.613345813239736</v>
      </c>
      <c r="AA33" s="16"/>
      <c r="AB33" s="16"/>
      <c r="AC33" s="16">
        <v>146378.13588070218</v>
      </c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2.75" customHeight="1" x14ac:dyDescent="0.25">
      <c r="A34" s="140">
        <v>2013</v>
      </c>
      <c r="B34" s="141">
        <v>53629.591711534478</v>
      </c>
      <c r="C34" s="103">
        <v>35426.46385920485</v>
      </c>
      <c r="D34" s="103">
        <v>90183.796459395409</v>
      </c>
      <c r="E34" s="103">
        <v>762843.30641017715</v>
      </c>
      <c r="F34" s="103">
        <v>519916.47002170916</v>
      </c>
      <c r="G34" s="103">
        <v>1259050.4333085555</v>
      </c>
      <c r="H34" s="134">
        <v>146378.13588070218</v>
      </c>
      <c r="I34" s="138">
        <v>53.629591711534481</v>
      </c>
      <c r="J34" s="138">
        <v>35.426463859204851</v>
      </c>
      <c r="K34" s="138">
        <v>90.18379645939541</v>
      </c>
      <c r="L34" s="103">
        <f t="shared" ref="L34:N35" si="5">E34/1000</f>
        <v>762.84330641017709</v>
      </c>
      <c r="M34" s="145">
        <f t="shared" si="5"/>
        <v>519.91647002170919</v>
      </c>
      <c r="N34" s="145">
        <f t="shared" si="5"/>
        <v>1259.0504333085555</v>
      </c>
      <c r="O34" s="15">
        <v>2013</v>
      </c>
      <c r="P34"/>
      <c r="Q34" s="16"/>
      <c r="R34" s="16"/>
      <c r="S34" s="140">
        <v>2013</v>
      </c>
      <c r="T34" s="41">
        <f t="shared" si="3"/>
        <v>762.84330641017709</v>
      </c>
      <c r="U34" s="41">
        <f t="shared" si="4"/>
        <v>53.629591711534481</v>
      </c>
      <c r="V34" s="20"/>
      <c r="W34" s="45">
        <v>3.3736895099432163</v>
      </c>
      <c r="X34" s="45">
        <v>2.3475453778117807</v>
      </c>
      <c r="Y34" s="45">
        <v>15.159420159743792</v>
      </c>
      <c r="Z34">
        <v>3.4780304226218726</v>
      </c>
      <c r="AA34" s="16"/>
      <c r="AB34" s="16"/>
      <c r="AC34" s="134">
        <v>146378.13588070218</v>
      </c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ht="12.75" customHeight="1" x14ac:dyDescent="0.25">
      <c r="A35" s="140">
        <v>2014</v>
      </c>
      <c r="B35" s="141">
        <v>121916.61397432383</v>
      </c>
      <c r="C35" s="103">
        <v>103823.7370760686</v>
      </c>
      <c r="D35" s="103">
        <v>150435.90595045869</v>
      </c>
      <c r="E35" s="103">
        <v>982854.87536432338</v>
      </c>
      <c r="F35" s="103">
        <v>839184.75697691459</v>
      </c>
      <c r="G35" s="103">
        <v>1209500.5327974951</v>
      </c>
      <c r="H35" s="134">
        <v>130918.40676234908</v>
      </c>
      <c r="I35" s="138">
        <v>121.91661397432384</v>
      </c>
      <c r="J35" s="138">
        <v>103.8237370760686</v>
      </c>
      <c r="K35" s="138">
        <v>150.4359059504587</v>
      </c>
      <c r="L35" s="103">
        <f t="shared" si="5"/>
        <v>982.85487536432333</v>
      </c>
      <c r="M35" s="145">
        <f t="shared" si="5"/>
        <v>839.18475697691463</v>
      </c>
      <c r="N35" s="145">
        <f t="shared" si="5"/>
        <v>1209.5005327974952</v>
      </c>
      <c r="O35" s="15">
        <v>2014</v>
      </c>
      <c r="P35"/>
      <c r="Q35" s="16"/>
      <c r="R35" s="16"/>
      <c r="S35" s="140">
        <v>2014</v>
      </c>
      <c r="T35" s="41">
        <f t="shared" si="3"/>
        <v>982.85487536432333</v>
      </c>
      <c r="U35" s="41">
        <f t="shared" si="4"/>
        <v>121.91661397432384</v>
      </c>
      <c r="V35" s="20"/>
      <c r="W35" s="16">
        <v>0</v>
      </c>
      <c r="X35" s="45">
        <v>0</v>
      </c>
      <c r="Y35" s="16">
        <v>0</v>
      </c>
      <c r="AA35" s="16"/>
      <c r="AB35" s="16"/>
      <c r="AC35" s="134">
        <v>130918.40676234908</v>
      </c>
      <c r="AD35" s="16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spans="1:44" ht="12.75" customHeight="1" x14ac:dyDescent="0.25">
      <c r="A36" s="140">
        <v>2015</v>
      </c>
      <c r="B36" s="99">
        <v>62616.874475370169</v>
      </c>
      <c r="C36" s="10">
        <v>46838.363535056051</v>
      </c>
      <c r="D36" s="10">
        <v>88355.330121408129</v>
      </c>
      <c r="E36" s="10">
        <v>661257.9339102729</v>
      </c>
      <c r="F36" s="10">
        <v>507676.33102778316</v>
      </c>
      <c r="G36" s="10">
        <v>906432.92047447443</v>
      </c>
      <c r="H36" s="52">
        <v>146378.13588070218</v>
      </c>
      <c r="I36" s="145">
        <v>62.6</v>
      </c>
      <c r="J36" s="138">
        <v>46.835999999999999</v>
      </c>
      <c r="K36" s="138">
        <v>88.355000000000004</v>
      </c>
      <c r="L36" s="103">
        <f t="shared" ref="L36:L38" si="6">E36/1000</f>
        <v>661.25793391027287</v>
      </c>
      <c r="M36" s="145">
        <f t="shared" ref="M36:M38" si="7">F36/1000</f>
        <v>507.67633102778314</v>
      </c>
      <c r="N36" s="145">
        <f t="shared" ref="N36:N38" si="8">G36/1000</f>
        <v>906.43292047447449</v>
      </c>
      <c r="O36" s="15"/>
      <c r="P36"/>
      <c r="Q36" s="16"/>
      <c r="R36" s="16"/>
      <c r="S36" s="16">
        <v>2015</v>
      </c>
      <c r="T36" s="160">
        <v>661</v>
      </c>
      <c r="U36" s="160">
        <v>62.6</v>
      </c>
      <c r="V36" s="20"/>
      <c r="W36" s="16">
        <v>0</v>
      </c>
      <c r="X36" s="45">
        <v>0</v>
      </c>
      <c r="Y36" s="16">
        <v>0</v>
      </c>
      <c r="AA36" s="16"/>
      <c r="AB36" s="16"/>
      <c r="AC36" s="145"/>
      <c r="AD36" s="16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</row>
    <row r="37" spans="1:44" ht="12.75" customHeight="1" x14ac:dyDescent="0.25">
      <c r="A37" s="140">
        <v>2016</v>
      </c>
      <c r="I37" s="138"/>
      <c r="J37" s="138"/>
      <c r="K37" s="138"/>
      <c r="L37" s="103"/>
      <c r="M37" s="145"/>
      <c r="N37" s="145"/>
      <c r="O37" s="15"/>
      <c r="P37"/>
      <c r="Q37" s="16"/>
      <c r="R37" s="16"/>
      <c r="S37" s="139">
        <v>2016</v>
      </c>
      <c r="T37" s="161"/>
      <c r="U37" s="161"/>
      <c r="V37" s="20"/>
      <c r="W37" s="16">
        <v>0</v>
      </c>
      <c r="X37" s="45">
        <v>0</v>
      </c>
      <c r="Y37" s="16">
        <v>0</v>
      </c>
      <c r="AA37" s="16"/>
      <c r="AB37" s="16"/>
      <c r="AC37" s="145"/>
      <c r="AD37" s="16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</row>
    <row r="38" spans="1:44" ht="12.75" customHeight="1" x14ac:dyDescent="0.25">
      <c r="A38" s="140">
        <v>2017</v>
      </c>
      <c r="B38" s="99">
        <v>18495.393279326057</v>
      </c>
      <c r="C38" s="10">
        <v>15623.282323482304</v>
      </c>
      <c r="D38" s="10">
        <v>25266.982295400063</v>
      </c>
      <c r="E38" s="10">
        <v>157631.59354587342</v>
      </c>
      <c r="F38" s="10">
        <v>133735.61171892207</v>
      </c>
      <c r="G38" s="10">
        <v>211525.92973368862</v>
      </c>
      <c r="H38" s="52">
        <v>146378.1358807022</v>
      </c>
      <c r="I38" s="138">
        <v>18.495000000000001</v>
      </c>
      <c r="J38" s="138">
        <v>15.622999999999999</v>
      </c>
      <c r="K38" s="138">
        <v>25.266999999999999</v>
      </c>
      <c r="L38" s="103">
        <f t="shared" si="6"/>
        <v>157.63159354587341</v>
      </c>
      <c r="M38" s="145">
        <f t="shared" si="7"/>
        <v>133.73561171892206</v>
      </c>
      <c r="N38" s="145">
        <f t="shared" si="8"/>
        <v>211.52592973368863</v>
      </c>
      <c r="O38" s="15"/>
      <c r="P38"/>
      <c r="Q38" s="16"/>
      <c r="R38" s="16"/>
      <c r="S38" s="139">
        <v>2017</v>
      </c>
      <c r="T38" s="41">
        <v>157.63200000000001</v>
      </c>
      <c r="U38" s="41">
        <v>18.495393</v>
      </c>
      <c r="V38" s="20"/>
      <c r="W38" s="16">
        <v>5.0739999999999998</v>
      </c>
      <c r="X38" s="45">
        <v>3.50175306</v>
      </c>
      <c r="Y38" s="45">
        <v>9.3375776669999997</v>
      </c>
      <c r="Z38">
        <v>5.7007500000000002</v>
      </c>
      <c r="AA38" s="16"/>
      <c r="AB38" s="16"/>
      <c r="AC38" s="145"/>
      <c r="AD38" s="16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</row>
    <row r="39" spans="1:44" ht="12.75" customHeight="1" x14ac:dyDescent="0.25">
      <c r="N39" s="17"/>
      <c r="O39" s="17"/>
      <c r="P39" s="17"/>
      <c r="Q39" s="17"/>
      <c r="R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1:44" ht="12.75" customHeight="1" x14ac:dyDescent="0.25"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1:44" ht="12.75" customHeight="1" x14ac:dyDescent="0.25"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4" ht="12.75" customHeight="1" x14ac:dyDescent="0.25"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1:44" ht="12.75" customHeight="1" x14ac:dyDescent="0.25"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spans="1:44" ht="12.75" customHeight="1" x14ac:dyDescent="0.25"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4" ht="12.75" customHeight="1" x14ac:dyDescent="0.25"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1:44" ht="12.75" customHeight="1" x14ac:dyDescent="0.25"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1:44" ht="12.75" customHeight="1" x14ac:dyDescent="0.25">
      <c r="I47" s="12"/>
      <c r="J47" s="12"/>
      <c r="K47" s="12"/>
      <c r="M47" s="136">
        <f>100000000000*0.00001</f>
        <v>1000000.0000000001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4" ht="12.75" customHeight="1" x14ac:dyDescent="0.25">
      <c r="I48" s="12"/>
      <c r="J48" s="12"/>
      <c r="K48" s="1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ht="12.75" customHeight="1" x14ac:dyDescent="0.25">
      <c r="I49" s="12"/>
      <c r="J49" s="12"/>
      <c r="K49" s="1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1:41" ht="12.75" customHeight="1" x14ac:dyDescent="0.25">
      <c r="I50" s="12"/>
      <c r="J50" s="12"/>
      <c r="K50" s="12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1:41" ht="12.75" customHeight="1" x14ac:dyDescent="0.25"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1:41" ht="12.75" customHeight="1" x14ac:dyDescent="0.25"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1:41" ht="12.75" customHeight="1" x14ac:dyDescent="0.25"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1:41" ht="30.75" customHeight="1" x14ac:dyDescent="0.25"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ht="12.75" customHeight="1" x14ac:dyDescent="0.25"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ht="12.75" customHeight="1" x14ac:dyDescent="0.25"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1:41" ht="12.75" customHeight="1" x14ac:dyDescent="0.25"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1:41" ht="12.75" customHeight="1" x14ac:dyDescent="0.25">
      <c r="N58" s="18"/>
      <c r="O58" s="18"/>
      <c r="P58" s="1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1:41" ht="12.75" customHeight="1" x14ac:dyDescent="0.25"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1:41" ht="12.75" customHeight="1" x14ac:dyDescent="0.25"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ht="12.75" customHeight="1" x14ac:dyDescent="0.25"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1:41" ht="30.75" customHeight="1" x14ac:dyDescent="0.5">
      <c r="A62" s="8"/>
      <c r="B62"/>
      <c r="C62" s="3"/>
      <c r="D62"/>
      <c r="E62" s="9"/>
      <c r="F62" s="12"/>
      <c r="G62" s="12"/>
      <c r="H62" s="12"/>
      <c r="I62" s="12"/>
      <c r="J62" s="12"/>
      <c r="K62" s="1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1:41" ht="12.75" customHeight="1" x14ac:dyDescent="0.25">
      <c r="B63" s="1"/>
      <c r="C63" s="4"/>
      <c r="D63" s="1"/>
      <c r="E63" s="9"/>
      <c r="F63" s="12"/>
      <c r="G63" s="12"/>
      <c r="H63" s="12"/>
      <c r="I63" s="12"/>
      <c r="J63" s="12"/>
      <c r="K63" s="12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spans="1:41" ht="12.75" customHeight="1" x14ac:dyDescent="0.25">
      <c r="B64" s="1"/>
      <c r="C64" s="4"/>
      <c r="D64" s="1"/>
      <c r="E64" s="9"/>
      <c r="F64" s="12"/>
      <c r="G64" s="12"/>
      <c r="H64" s="12"/>
      <c r="I64" s="12"/>
      <c r="J64" s="12"/>
      <c r="K64" s="1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2:41" ht="12.75" customHeight="1" x14ac:dyDescent="0.25">
      <c r="B65"/>
      <c r="C65" s="4"/>
      <c r="D65" s="1"/>
      <c r="E65" s="9"/>
      <c r="F65" s="12"/>
      <c r="G65" s="12"/>
      <c r="H65" s="12"/>
      <c r="I65" s="12"/>
      <c r="J65" s="12"/>
      <c r="K65" s="12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2:41" ht="12.75" customHeight="1" x14ac:dyDescent="0.25">
      <c r="B66"/>
      <c r="C66" s="4"/>
      <c r="D66" s="1"/>
      <c r="E66" s="9"/>
      <c r="F66" s="12"/>
      <c r="G66" s="12"/>
      <c r="H66" s="12"/>
      <c r="I66" s="12"/>
      <c r="J66" s="12"/>
      <c r="K66" s="12"/>
      <c r="M66" s="12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2:41" ht="12.75" customHeight="1" x14ac:dyDescent="0.25">
      <c r="B67"/>
      <c r="C67" s="3"/>
      <c r="D67"/>
      <c r="E67" s="9"/>
      <c r="F67" s="12"/>
      <c r="G67" s="12"/>
      <c r="H67" s="12"/>
      <c r="I67" s="12"/>
      <c r="J67" s="12"/>
      <c r="K67" s="12"/>
      <c r="M67" s="1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spans="2:41" ht="12.75" customHeight="1" x14ac:dyDescent="0.25">
      <c r="B68" s="1"/>
      <c r="C68" s="3"/>
      <c r="D68" s="1"/>
      <c r="E68" s="9"/>
      <c r="F68" s="12"/>
      <c r="G68" s="12"/>
      <c r="H68" s="12"/>
      <c r="I68" s="24"/>
      <c r="J68" s="24"/>
      <c r="K68" s="24"/>
      <c r="M68" s="12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spans="2:41" ht="12.75" customHeight="1" x14ac:dyDescent="0.25">
      <c r="B69" s="1"/>
      <c r="C69" s="3"/>
      <c r="D69" s="1"/>
      <c r="E69" s="9"/>
      <c r="F69" s="12"/>
      <c r="G69" s="12"/>
      <c r="H69" s="12"/>
      <c r="I69" s="24"/>
      <c r="J69" s="24"/>
      <c r="K69" s="24"/>
      <c r="M69" s="1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2:41" ht="12.75" customHeight="1" x14ac:dyDescent="0.25">
      <c r="B70" s="1"/>
      <c r="C70" s="3"/>
      <c r="D70" s="1"/>
      <c r="E70" s="9"/>
      <c r="F70" s="24"/>
      <c r="G70" s="24"/>
      <c r="H70" s="24"/>
      <c r="I70" s="24"/>
      <c r="J70" s="24"/>
      <c r="K70" s="24"/>
      <c r="M70" s="12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spans="2:41" x14ac:dyDescent="0.25">
      <c r="E71" s="1"/>
      <c r="F71" s="1"/>
      <c r="G71" s="1"/>
      <c r="H71" s="1"/>
      <c r="I71" s="1"/>
      <c r="J71" s="1"/>
      <c r="K71" s="1"/>
      <c r="L71" s="1"/>
      <c r="M71" s="12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2:41" x14ac:dyDescent="0.25">
      <c r="B72" s="1"/>
      <c r="C72" s="4"/>
      <c r="D72" s="1"/>
      <c r="E72" s="14"/>
      <c r="F72" s="14"/>
      <c r="G72" s="14"/>
      <c r="H72" s="14"/>
      <c r="I72" s="14"/>
      <c r="J72" s="14"/>
      <c r="K72" s="14"/>
      <c r="L72" s="14"/>
      <c r="M72" s="1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2:41" x14ac:dyDescent="0.25">
      <c r="M73" s="1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2:41" x14ac:dyDescent="0.25">
      <c r="M74" s="12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2:41" x14ac:dyDescent="0.25"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2:41" x14ac:dyDescent="0.25">
      <c r="M76" s="9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2:41" x14ac:dyDescent="0.25"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2:41" x14ac:dyDescent="0.25"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2:41" x14ac:dyDescent="0.25"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2:41" x14ac:dyDescent="0.25"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spans="14:30" x14ac:dyDescent="0.25"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spans="14:30" x14ac:dyDescent="0.25"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spans="14:30" x14ac:dyDescent="0.25"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4:30" x14ac:dyDescent="0.25"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14:30" x14ac:dyDescent="0.25"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14:30" x14ac:dyDescent="0.25"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spans="14:30" x14ac:dyDescent="0.25"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4:30" x14ac:dyDescent="0.25"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14:30" x14ac:dyDescent="0.25"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4:30" x14ac:dyDescent="0.25"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14:30" x14ac:dyDescent="0.25"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14:30" x14ac:dyDescent="0.25"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14:30" x14ac:dyDescent="0.25"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14:30" x14ac:dyDescent="0.25"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14:30" x14ac:dyDescent="0.25"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14:30" x14ac:dyDescent="0.25"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13:30" x14ac:dyDescent="0.25"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13:30" x14ac:dyDescent="0.25"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3:30" x14ac:dyDescent="0.25"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13:30" x14ac:dyDescent="0.25"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3:30" x14ac:dyDescent="0.25"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3:30" x14ac:dyDescent="0.25"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3:30" x14ac:dyDescent="0.25"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3:30" x14ac:dyDescent="0.25"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spans="13:30" x14ac:dyDescent="0.25"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spans="13:30" x14ac:dyDescent="0.25"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3:30" x14ac:dyDescent="0.25"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3:30" x14ac:dyDescent="0.25"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spans="13:30" x14ac:dyDescent="0.25"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spans="13:30" x14ac:dyDescent="0.25"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spans="13:30" x14ac:dyDescent="0.25"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spans="13:30" x14ac:dyDescent="0.25"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7"/>
      <c r="X112" s="17"/>
      <c r="Y112" s="17"/>
      <c r="Z112" s="17"/>
      <c r="AA112" s="17"/>
      <c r="AB112" s="17"/>
      <c r="AC112" s="17"/>
      <c r="AD112" s="17"/>
    </row>
    <row r="113" spans="13:30" x14ac:dyDescent="0.25"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7"/>
      <c r="X113" s="17"/>
      <c r="Y113" s="17"/>
      <c r="Z113" s="17"/>
      <c r="AA113" s="17"/>
      <c r="AB113" s="17"/>
      <c r="AC113" s="17"/>
      <c r="AD113" s="17"/>
    </row>
    <row r="114" spans="13:30" x14ac:dyDescent="0.25"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7"/>
      <c r="X114" s="17"/>
      <c r="Y114" s="17"/>
      <c r="Z114" s="17"/>
      <c r="AA114" s="17"/>
      <c r="AB114" s="17"/>
      <c r="AC114" s="17"/>
      <c r="AD114" s="17"/>
    </row>
    <row r="115" spans="13:30" x14ac:dyDescent="0.25"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7"/>
      <c r="X115" s="17"/>
      <c r="Y115" s="17"/>
      <c r="Z115" s="17"/>
      <c r="AA115" s="17"/>
      <c r="AB115" s="17"/>
      <c r="AC115" s="17"/>
      <c r="AD115" s="17"/>
    </row>
    <row r="116" spans="13:30" x14ac:dyDescent="0.25"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7"/>
      <c r="X116" s="17"/>
      <c r="Y116" s="17"/>
      <c r="Z116" s="17"/>
      <c r="AA116" s="17"/>
      <c r="AB116" s="17"/>
      <c r="AC116" s="17"/>
      <c r="AD116" s="17"/>
    </row>
    <row r="117" spans="13:30" x14ac:dyDescent="0.25"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7"/>
      <c r="X117" s="17"/>
      <c r="Y117" s="17"/>
      <c r="Z117" s="17"/>
      <c r="AA117" s="17"/>
      <c r="AB117" s="17"/>
      <c r="AC117" s="17"/>
      <c r="AD117" s="17"/>
    </row>
    <row r="118" spans="13:30" x14ac:dyDescent="0.25"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7"/>
      <c r="X118" s="17"/>
      <c r="Y118" s="17"/>
      <c r="Z118" s="17"/>
      <c r="AA118" s="17"/>
      <c r="AB118" s="17"/>
      <c r="AC118" s="17"/>
      <c r="AD118" s="17"/>
    </row>
    <row r="119" spans="13:30" x14ac:dyDescent="0.25"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7"/>
      <c r="X119" s="17"/>
      <c r="Y119" s="17"/>
      <c r="Z119" s="17"/>
      <c r="AA119" s="17"/>
      <c r="AB119" s="17"/>
      <c r="AC119" s="17"/>
      <c r="AD119" s="17"/>
    </row>
    <row r="120" spans="13:30" x14ac:dyDescent="0.25"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7"/>
      <c r="X120" s="17"/>
      <c r="Y120" s="17"/>
      <c r="Z120" s="17"/>
      <c r="AA120" s="17"/>
      <c r="AB120" s="17"/>
      <c r="AC120" s="17"/>
      <c r="AD120" s="17"/>
    </row>
    <row r="121" spans="13:30" x14ac:dyDescent="0.25"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7"/>
      <c r="X121" s="17"/>
      <c r="Y121" s="17"/>
      <c r="Z121" s="17"/>
      <c r="AA121" s="17"/>
      <c r="AB121" s="17"/>
      <c r="AC121" s="17"/>
      <c r="AD121" s="17"/>
    </row>
    <row r="122" spans="13:30" x14ac:dyDescent="0.25"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7"/>
      <c r="X122" s="17"/>
      <c r="Y122" s="17"/>
      <c r="Z122" s="17"/>
      <c r="AA122" s="17"/>
      <c r="AB122" s="17"/>
      <c r="AC122" s="17"/>
      <c r="AD122" s="17"/>
    </row>
    <row r="123" spans="13:30" x14ac:dyDescent="0.25"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7"/>
      <c r="X123" s="17"/>
      <c r="Y123" s="17"/>
      <c r="Z123" s="17"/>
      <c r="AA123" s="17"/>
      <c r="AB123" s="17"/>
      <c r="AC123" s="17"/>
      <c r="AD123" s="17"/>
    </row>
    <row r="124" spans="13:30" x14ac:dyDescent="0.25"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7"/>
      <c r="X124" s="17"/>
      <c r="Y124" s="17"/>
      <c r="Z124" s="17"/>
      <c r="AA124" s="17"/>
      <c r="AB124" s="17"/>
      <c r="AC124" s="17"/>
      <c r="AD124" s="17"/>
    </row>
    <row r="125" spans="13:30" x14ac:dyDescent="0.25"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7"/>
      <c r="X125" s="17"/>
      <c r="Y125" s="17"/>
      <c r="Z125" s="17"/>
      <c r="AA125" s="17"/>
      <c r="AB125" s="17"/>
      <c r="AC125" s="17"/>
      <c r="AD125" s="17"/>
    </row>
    <row r="126" spans="13:30" x14ac:dyDescent="0.25"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7"/>
      <c r="X126" s="17"/>
      <c r="Y126" s="17"/>
      <c r="Z126" s="17"/>
      <c r="AA126" s="17"/>
      <c r="AB126" s="17"/>
      <c r="AC126" s="17"/>
      <c r="AD126" s="17"/>
    </row>
    <row r="127" spans="13:30" x14ac:dyDescent="0.25"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7"/>
      <c r="X127" s="17"/>
      <c r="Y127" s="17"/>
      <c r="Z127" s="17"/>
      <c r="AA127" s="17"/>
      <c r="AB127" s="17"/>
      <c r="AC127" s="17"/>
      <c r="AD127" s="17"/>
    </row>
    <row r="128" spans="13:30" x14ac:dyDescent="0.25"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7"/>
      <c r="X128" s="17"/>
      <c r="Y128" s="17"/>
      <c r="Z128" s="17"/>
      <c r="AA128" s="17"/>
      <c r="AB128" s="17"/>
      <c r="AC128" s="17"/>
      <c r="AD128" s="17"/>
    </row>
    <row r="129" spans="13:30" x14ac:dyDescent="0.25"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7"/>
      <c r="X129" s="17"/>
      <c r="Y129" s="17"/>
      <c r="Z129" s="17"/>
      <c r="AA129" s="17"/>
      <c r="AB129" s="17"/>
      <c r="AC129" s="17"/>
      <c r="AD129" s="17"/>
    </row>
    <row r="130" spans="13:30" x14ac:dyDescent="0.25"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7"/>
      <c r="X130" s="17"/>
      <c r="Y130" s="17"/>
      <c r="Z130" s="17"/>
      <c r="AA130" s="17"/>
      <c r="AB130" s="17"/>
      <c r="AC130" s="17"/>
      <c r="AD130" s="17"/>
    </row>
    <row r="131" spans="13:30" x14ac:dyDescent="0.25"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7"/>
      <c r="X131" s="17"/>
      <c r="Y131" s="17"/>
      <c r="Z131" s="17"/>
      <c r="AA131" s="17"/>
      <c r="AB131" s="17"/>
      <c r="AC131" s="17"/>
      <c r="AD131" s="17"/>
    </row>
    <row r="132" spans="13:30" x14ac:dyDescent="0.25"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7"/>
      <c r="X132" s="17"/>
      <c r="Y132" s="17"/>
      <c r="Z132" s="17"/>
      <c r="AA132" s="17"/>
      <c r="AB132" s="17"/>
      <c r="AC132" s="17"/>
      <c r="AD132" s="17"/>
    </row>
    <row r="133" spans="13:30" x14ac:dyDescent="0.25"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7"/>
      <c r="X133" s="17"/>
      <c r="Y133" s="17"/>
      <c r="Z133" s="17"/>
      <c r="AA133" s="17"/>
      <c r="AB133" s="17"/>
      <c r="AC133" s="17"/>
      <c r="AD133" s="17"/>
    </row>
    <row r="134" spans="13:30" x14ac:dyDescent="0.25"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7"/>
      <c r="X134" s="17"/>
      <c r="Y134" s="17"/>
      <c r="Z134" s="17"/>
      <c r="AA134" s="17"/>
      <c r="AB134" s="17"/>
      <c r="AC134" s="17"/>
      <c r="AD134" s="17"/>
    </row>
    <row r="135" spans="13:30" x14ac:dyDescent="0.25"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7"/>
      <c r="X135" s="17"/>
      <c r="Y135" s="17"/>
      <c r="Z135" s="17"/>
      <c r="AA135" s="17"/>
      <c r="AB135" s="17"/>
      <c r="AC135" s="17"/>
      <c r="AD135" s="17"/>
    </row>
    <row r="136" spans="13:30" x14ac:dyDescent="0.25"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7"/>
      <c r="X136" s="17"/>
      <c r="Y136" s="17"/>
      <c r="Z136" s="17"/>
      <c r="AA136" s="17"/>
      <c r="AB136" s="17"/>
      <c r="AC136" s="17"/>
      <c r="AD136" s="17"/>
    </row>
    <row r="137" spans="13:30" x14ac:dyDescent="0.25"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7"/>
      <c r="X137" s="17"/>
      <c r="Y137" s="17"/>
      <c r="Z137" s="17"/>
      <c r="AA137" s="17"/>
      <c r="AB137" s="17"/>
      <c r="AC137" s="17"/>
      <c r="AD137" s="17"/>
    </row>
    <row r="138" spans="13:30" x14ac:dyDescent="0.25"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7"/>
      <c r="X138" s="17"/>
      <c r="Y138" s="17"/>
      <c r="Z138" s="17"/>
      <c r="AA138" s="17"/>
      <c r="AB138" s="17"/>
      <c r="AC138" s="17"/>
      <c r="AD138" s="17"/>
    </row>
    <row r="139" spans="13:30" x14ac:dyDescent="0.25"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7"/>
      <c r="X139" s="17"/>
      <c r="Y139" s="17"/>
      <c r="Z139" s="17"/>
      <c r="AA139" s="17"/>
      <c r="AB139" s="17"/>
      <c r="AC139" s="17"/>
      <c r="AD139" s="17"/>
    </row>
    <row r="140" spans="13:30" x14ac:dyDescent="0.25"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</row>
    <row r="141" spans="13:30" x14ac:dyDescent="0.25"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</row>
    <row r="142" spans="13:30" x14ac:dyDescent="0.25"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</row>
    <row r="143" spans="13:30" x14ac:dyDescent="0.25"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</row>
    <row r="144" spans="13:30" x14ac:dyDescent="0.25"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</row>
    <row r="145" spans="13:22" x14ac:dyDescent="0.25"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</row>
    <row r="146" spans="13:22" x14ac:dyDescent="0.25"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</row>
    <row r="147" spans="13:22" x14ac:dyDescent="0.25"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</row>
    <row r="148" spans="13:22" x14ac:dyDescent="0.25"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</row>
    <row r="149" spans="13:22" x14ac:dyDescent="0.25"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</row>
  </sheetData>
  <phoneticPr fontId="10" type="noConversion"/>
  <printOptions gridLines="1"/>
  <pageMargins left="0.74803149606299213" right="0.74803149606299213" top="0.98425196850393704" bottom="0.98425196850393704" header="0.51181102362204722" footer="0.51181102362204722"/>
  <pageSetup scale="21" orientation="landscape" horizontalDpi="300" verticalDpi="300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opLeftCell="A2" zoomScale="75" zoomScaleNormal="75" workbookViewId="0">
      <selection activeCell="B26" sqref="B26:H27"/>
    </sheetView>
  </sheetViews>
  <sheetFormatPr defaultRowHeight="12.6" x14ac:dyDescent="0.25"/>
  <cols>
    <col min="1" max="1" width="11.5546875" bestFit="1" customWidth="1"/>
    <col min="2" max="2" width="25.5546875" style="10" bestFit="1" customWidth="1"/>
    <col min="3" max="3" width="12.33203125" style="10" bestFit="1" customWidth="1"/>
    <col min="4" max="4" width="12.88671875" style="10" bestFit="1" customWidth="1"/>
    <col min="5" max="5" width="20.88671875" style="10" bestFit="1" customWidth="1"/>
    <col min="6" max="6" width="18" style="10" bestFit="1" customWidth="1"/>
    <col min="7" max="7" width="21.109375" style="10" bestFit="1" customWidth="1"/>
    <col min="8" max="8" width="22.5546875" style="10" bestFit="1" customWidth="1"/>
  </cols>
  <sheetData>
    <row r="3" spans="1:8" x14ac:dyDescent="0.25">
      <c r="A3" s="5"/>
      <c r="B3" s="94" t="s">
        <v>25</v>
      </c>
      <c r="C3" s="95"/>
      <c r="D3" s="95"/>
      <c r="E3" s="95"/>
      <c r="F3" s="95"/>
      <c r="G3" s="95"/>
      <c r="H3" s="96"/>
    </row>
    <row r="4" spans="1:8" x14ac:dyDescent="0.25">
      <c r="A4" s="34" t="s">
        <v>21</v>
      </c>
      <c r="B4" s="97" t="s">
        <v>75</v>
      </c>
      <c r="C4" s="86" t="s">
        <v>26</v>
      </c>
      <c r="D4" s="86" t="s">
        <v>27</v>
      </c>
      <c r="E4" s="86" t="s">
        <v>32</v>
      </c>
      <c r="F4" s="86" t="s">
        <v>129</v>
      </c>
      <c r="G4" s="86" t="s">
        <v>130</v>
      </c>
      <c r="H4" s="98" t="s">
        <v>122</v>
      </c>
    </row>
    <row r="5" spans="1:8" x14ac:dyDescent="0.25">
      <c r="A5" s="5">
        <v>1988</v>
      </c>
      <c r="B5" s="97">
        <v>409230.31540750002</v>
      </c>
      <c r="C5" s="86">
        <v>339797.37504008465</v>
      </c>
      <c r="D5" s="86">
        <v>498826.94762838905</v>
      </c>
      <c r="E5" s="86">
        <v>4285049.9622403961</v>
      </c>
      <c r="F5" s="86">
        <v>3579569.5042131385</v>
      </c>
      <c r="G5" s="86">
        <v>5179999.0311483638</v>
      </c>
      <c r="H5" s="98">
        <v>69327</v>
      </c>
    </row>
    <row r="6" spans="1:8" x14ac:dyDescent="0.25">
      <c r="A6" s="6">
        <v>1989</v>
      </c>
      <c r="B6" s="99">
        <v>366093.9775550387</v>
      </c>
      <c r="C6" s="10">
        <v>311742.34496774618</v>
      </c>
      <c r="D6" s="10">
        <v>439309.45892693399</v>
      </c>
      <c r="E6" s="10">
        <v>3712327.8029967514</v>
      </c>
      <c r="F6" s="10">
        <v>3126846.4044257593</v>
      </c>
      <c r="G6" s="10">
        <v>4505326.0777582787</v>
      </c>
      <c r="H6" s="52">
        <v>66193.5</v>
      </c>
    </row>
    <row r="7" spans="1:8" x14ac:dyDescent="0.25">
      <c r="A7" s="6">
        <v>1990</v>
      </c>
      <c r="B7" s="99">
        <v>464443.0213801206</v>
      </c>
      <c r="C7" s="10">
        <v>346163.81342379993</v>
      </c>
      <c r="D7" s="10">
        <v>642306.59333153954</v>
      </c>
      <c r="E7" s="10">
        <v>5782824.4983873237</v>
      </c>
      <c r="F7" s="10">
        <v>4168592.2590359999</v>
      </c>
      <c r="G7" s="10">
        <v>8353573.8274634816</v>
      </c>
      <c r="H7" s="52">
        <v>69291</v>
      </c>
    </row>
    <row r="8" spans="1:8" x14ac:dyDescent="0.25">
      <c r="A8" s="6">
        <v>1991</v>
      </c>
      <c r="B8" s="99">
        <v>16131.797779468048</v>
      </c>
      <c r="C8" s="10">
        <v>7846.1313712475348</v>
      </c>
      <c r="D8" s="10">
        <v>58633.438691454568</v>
      </c>
      <c r="E8" s="10">
        <v>137828.29606831857</v>
      </c>
      <c r="F8" s="10">
        <v>61409.824901486041</v>
      </c>
      <c r="G8" s="10">
        <v>339150.19181150245</v>
      </c>
      <c r="H8" s="52">
        <v>44997</v>
      </c>
    </row>
    <row r="9" spans="1:8" x14ac:dyDescent="0.25">
      <c r="A9" s="6">
        <v>1992</v>
      </c>
      <c r="B9" s="99">
        <v>19399.027595204527</v>
      </c>
      <c r="C9" s="10">
        <v>16018.19995812562</v>
      </c>
      <c r="D9" s="10">
        <v>24977.095013937073</v>
      </c>
      <c r="E9" s="10">
        <v>138018.9256938154</v>
      </c>
      <c r="F9" s="10">
        <v>114500.31905946606</v>
      </c>
      <c r="G9" s="10">
        <v>175478.97954267997</v>
      </c>
      <c r="H9" s="52">
        <v>82043.199999999997</v>
      </c>
    </row>
    <row r="10" spans="1:8" x14ac:dyDescent="0.25">
      <c r="A10" s="6">
        <v>1996</v>
      </c>
      <c r="B10" s="99">
        <v>3360.1826922391192</v>
      </c>
      <c r="C10" s="10">
        <v>2236.49129620127</v>
      </c>
      <c r="D10" s="10">
        <v>5317.7324417144828</v>
      </c>
      <c r="E10" s="10">
        <v>47448.349730736809</v>
      </c>
      <c r="F10" s="10">
        <v>32123.622036666005</v>
      </c>
      <c r="G10" s="10">
        <v>74162.970497860108</v>
      </c>
      <c r="H10" s="52">
        <v>132939</v>
      </c>
    </row>
    <row r="11" spans="1:8" x14ac:dyDescent="0.25">
      <c r="A11" s="6">
        <v>1999</v>
      </c>
      <c r="B11" s="99">
        <v>17009.042975132194</v>
      </c>
      <c r="C11" s="10">
        <v>10859.953279965368</v>
      </c>
      <c r="D11" s="10">
        <v>33156.295232777637</v>
      </c>
      <c r="E11" s="10">
        <v>216305.45447319438</v>
      </c>
      <c r="F11" s="10">
        <v>140934.46662639262</v>
      </c>
      <c r="G11" s="10">
        <v>414403.52409760491</v>
      </c>
      <c r="H11" s="52">
        <v>71167.785688938849</v>
      </c>
    </row>
    <row r="12" spans="1:8" x14ac:dyDescent="0.25">
      <c r="A12" s="6">
        <v>2000</v>
      </c>
      <c r="B12" s="99">
        <v>10931.251918463706</v>
      </c>
      <c r="C12" s="10">
        <v>8799.0802236849577</v>
      </c>
      <c r="D12" s="10">
        <v>13828.653086824532</v>
      </c>
      <c r="E12" s="10">
        <v>124749.77848998032</v>
      </c>
      <c r="F12" s="10">
        <v>100225.58202753941</v>
      </c>
      <c r="G12" s="10">
        <v>158517.36759213152</v>
      </c>
      <c r="H12" s="52">
        <v>115042.12597090854</v>
      </c>
    </row>
    <row r="13" spans="1:8" x14ac:dyDescent="0.25">
      <c r="A13" s="6">
        <v>2001</v>
      </c>
      <c r="B13" s="99">
        <v>10721.631765836084</v>
      </c>
      <c r="C13" s="10">
        <v>7020.4094828144825</v>
      </c>
      <c r="D13" s="10">
        <v>31649.165984101284</v>
      </c>
      <c r="E13" s="10">
        <v>129418.85726665353</v>
      </c>
      <c r="F13" s="10">
        <v>86055.886059002572</v>
      </c>
      <c r="G13" s="10">
        <v>375384.5524594321</v>
      </c>
      <c r="H13" s="52">
        <v>109011.81728721323</v>
      </c>
    </row>
    <row r="14" spans="1:8" x14ac:dyDescent="0.25">
      <c r="A14" s="6">
        <v>2002</v>
      </c>
      <c r="B14" s="99">
        <v>6325.1097943053201</v>
      </c>
      <c r="C14" s="10">
        <v>5239.1774091162342</v>
      </c>
      <c r="D14" s="10">
        <v>8323.327611853827</v>
      </c>
      <c r="E14" s="10">
        <v>83865.016448557421</v>
      </c>
      <c r="F14" s="10">
        <v>70167.597179670032</v>
      </c>
      <c r="G14" s="10">
        <v>109440.23712280698</v>
      </c>
      <c r="H14" s="52">
        <v>139556.27277883934</v>
      </c>
    </row>
    <row r="15" spans="1:8" x14ac:dyDescent="0.25">
      <c r="A15" s="6">
        <v>2003</v>
      </c>
      <c r="B15" s="99">
        <v>9320.5919371152959</v>
      </c>
      <c r="C15" s="10">
        <v>6738.8929867209099</v>
      </c>
      <c r="D15" s="10">
        <v>16905.120477453835</v>
      </c>
      <c r="E15" s="10">
        <v>108139.10917210922</v>
      </c>
      <c r="F15" s="10">
        <v>78337.780848155104</v>
      </c>
      <c r="G15" s="10">
        <v>191407.31510644968</v>
      </c>
      <c r="H15" s="52">
        <v>77544.927102135873</v>
      </c>
    </row>
    <row r="16" spans="1:8" x14ac:dyDescent="0.25">
      <c r="A16" s="6">
        <v>2004</v>
      </c>
      <c r="B16" s="99">
        <v>11712.290585401028</v>
      </c>
      <c r="C16" s="10">
        <v>9298.170954363206</v>
      </c>
      <c r="D16" s="10">
        <v>21352.420153984287</v>
      </c>
      <c r="E16" s="10">
        <v>125159.63663769749</v>
      </c>
      <c r="F16" s="10">
        <v>100392.96248656741</v>
      </c>
      <c r="G16" s="10">
        <v>216268.67605243952</v>
      </c>
      <c r="H16" s="52">
        <v>120764.86600768716</v>
      </c>
    </row>
    <row r="17" spans="1:8" x14ac:dyDescent="0.25">
      <c r="A17" s="6">
        <v>2005</v>
      </c>
      <c r="B17" s="99">
        <v>6147.2049062972828</v>
      </c>
      <c r="C17" s="10">
        <v>3818.47349438111</v>
      </c>
      <c r="D17" s="10">
        <v>24120.187526677095</v>
      </c>
      <c r="E17" s="10">
        <v>98073.814690821731</v>
      </c>
      <c r="F17" s="10">
        <v>63254.375987263025</v>
      </c>
      <c r="G17" s="10">
        <v>333526.34711431956</v>
      </c>
      <c r="H17" s="52">
        <v>87982.126190535404</v>
      </c>
    </row>
    <row r="18" spans="1:8" x14ac:dyDescent="0.25">
      <c r="A18" s="6">
        <v>2007</v>
      </c>
      <c r="B18" s="99">
        <v>28249.653196723688</v>
      </c>
      <c r="C18" s="10">
        <v>22001.573079862806</v>
      </c>
      <c r="D18" s="10">
        <v>44629.384204963739</v>
      </c>
      <c r="E18" s="10">
        <v>300477.18434017949</v>
      </c>
      <c r="F18" s="10">
        <v>233350.85026736197</v>
      </c>
      <c r="G18" s="10">
        <v>473153.73202417354</v>
      </c>
      <c r="H18" s="52">
        <v>116851.5457767053</v>
      </c>
    </row>
    <row r="19" spans="1:8" x14ac:dyDescent="0.25">
      <c r="A19" s="6">
        <v>2008</v>
      </c>
      <c r="B19" s="99">
        <v>22290.05903060842</v>
      </c>
      <c r="C19" s="10">
        <v>17605.556200970535</v>
      </c>
      <c r="D19" s="10">
        <v>44222.046723010055</v>
      </c>
      <c r="E19" s="10">
        <v>262855.00204694958</v>
      </c>
      <c r="F19" s="10">
        <v>207279.15731362588</v>
      </c>
      <c r="G19" s="10">
        <v>496401.24323339248</v>
      </c>
      <c r="H19" s="52">
        <v>151724.59512604025</v>
      </c>
    </row>
    <row r="20" spans="1:8" x14ac:dyDescent="0.25">
      <c r="A20" s="6">
        <v>2009</v>
      </c>
      <c r="B20" s="99">
        <v>29401.658009803374</v>
      </c>
      <c r="C20" s="10">
        <v>25611.505861845639</v>
      </c>
      <c r="D20" s="10">
        <v>38994.609176917802</v>
      </c>
      <c r="E20" s="10">
        <v>262166.38724987791</v>
      </c>
      <c r="F20" s="10">
        <v>227093.12857300203</v>
      </c>
      <c r="G20" s="10">
        <v>351535.08193277463</v>
      </c>
      <c r="H20" s="52">
        <v>146378.13588070218</v>
      </c>
    </row>
    <row r="21" spans="1:8" x14ac:dyDescent="0.25">
      <c r="A21" s="6">
        <v>2010</v>
      </c>
      <c r="B21" s="99">
        <v>2031.7991581790245</v>
      </c>
      <c r="C21" s="10">
        <v>1181.2033281171512</v>
      </c>
      <c r="D21" s="10">
        <v>5124.3562028814531</v>
      </c>
      <c r="E21" s="10">
        <v>23229.83022097902</v>
      </c>
      <c r="F21" s="10">
        <v>13621.038791282275</v>
      </c>
      <c r="G21" s="10">
        <v>60734.573339180628</v>
      </c>
      <c r="H21" s="52">
        <v>146378.13588070218</v>
      </c>
    </row>
    <row r="22" spans="1:8" x14ac:dyDescent="0.25">
      <c r="A22" s="6">
        <v>2011</v>
      </c>
      <c r="B22" s="99">
        <v>19351.176440037809</v>
      </c>
      <c r="C22" s="10">
        <v>14509.836668980617</v>
      </c>
      <c r="D22" s="10">
        <v>30070.933624884568</v>
      </c>
      <c r="E22" s="10">
        <v>209645.70212735829</v>
      </c>
      <c r="F22" s="10">
        <v>161559.48053070085</v>
      </c>
      <c r="G22" s="10">
        <v>318942.1574944561</v>
      </c>
      <c r="H22" s="52">
        <v>115418.40676234907</v>
      </c>
    </row>
    <row r="23" spans="1:8" x14ac:dyDescent="0.25">
      <c r="A23" s="6">
        <v>2012</v>
      </c>
      <c r="B23" s="99">
        <v>23644.483743920857</v>
      </c>
      <c r="C23" s="10">
        <v>19091.046869530568</v>
      </c>
      <c r="D23" s="10">
        <v>52278.985624166868</v>
      </c>
      <c r="E23" s="10">
        <v>209447.11250010232</v>
      </c>
      <c r="F23" s="10">
        <v>169715.80269936929</v>
      </c>
      <c r="G23" s="10">
        <v>434539.64682943444</v>
      </c>
      <c r="H23" s="52">
        <v>146378.13588070218</v>
      </c>
    </row>
    <row r="24" spans="1:8" x14ac:dyDescent="0.25">
      <c r="A24" s="6">
        <v>2013</v>
      </c>
      <c r="B24" s="99">
        <v>53629.591711534478</v>
      </c>
      <c r="C24" s="10">
        <v>35426.46385920485</v>
      </c>
      <c r="D24" s="10">
        <v>90183.796459395409</v>
      </c>
      <c r="E24" s="10">
        <v>762843.30641017715</v>
      </c>
      <c r="F24" s="10">
        <v>519916.47002170916</v>
      </c>
      <c r="G24" s="10">
        <v>1259050.4333085555</v>
      </c>
      <c r="H24" s="52">
        <v>146378.13588070218</v>
      </c>
    </row>
    <row r="25" spans="1:8" x14ac:dyDescent="0.25">
      <c r="A25" s="6">
        <v>2014</v>
      </c>
      <c r="B25" s="99">
        <v>121916.61397432383</v>
      </c>
      <c r="C25" s="10">
        <v>103823.73707606862</v>
      </c>
      <c r="D25" s="10">
        <v>150435.90595045869</v>
      </c>
      <c r="E25" s="10">
        <v>982854.87536432326</v>
      </c>
      <c r="F25" s="10">
        <v>839184.75697691459</v>
      </c>
      <c r="G25" s="10">
        <v>1209500.5327974951</v>
      </c>
      <c r="H25" s="52">
        <v>130918.40676234907</v>
      </c>
    </row>
    <row r="26" spans="1:8" x14ac:dyDescent="0.25">
      <c r="A26" s="6">
        <v>2015</v>
      </c>
      <c r="B26" s="99">
        <v>62616.874475370169</v>
      </c>
      <c r="C26" s="10">
        <v>46838.363535056051</v>
      </c>
      <c r="D26" s="10">
        <v>88355.330121408129</v>
      </c>
      <c r="E26" s="10">
        <v>661257.9339102729</v>
      </c>
      <c r="F26" s="10">
        <v>507676.33102778316</v>
      </c>
      <c r="G26" s="10">
        <v>906432.92047447443</v>
      </c>
      <c r="H26" s="52">
        <v>146378.13588070218</v>
      </c>
    </row>
    <row r="27" spans="1:8" x14ac:dyDescent="0.25">
      <c r="A27" s="6">
        <v>2017</v>
      </c>
      <c r="B27" s="99">
        <v>18495.393279326057</v>
      </c>
      <c r="C27" s="10">
        <v>15623.282323482304</v>
      </c>
      <c r="D27" s="10">
        <v>25266.982295400063</v>
      </c>
      <c r="E27" s="10">
        <v>157631.59354587342</v>
      </c>
      <c r="F27" s="10">
        <v>133735.61171892207</v>
      </c>
      <c r="G27" s="10">
        <v>211525.92973368862</v>
      </c>
      <c r="H27" s="52">
        <v>146378.1358807022</v>
      </c>
    </row>
    <row r="28" spans="1:8" x14ac:dyDescent="0.25">
      <c r="A28" s="69" t="s">
        <v>28</v>
      </c>
      <c r="B28" s="100">
        <v>1732452.7493119498</v>
      </c>
      <c r="C28" s="101">
        <v>1377291.0826913703</v>
      </c>
      <c r="D28" s="101">
        <v>2388268.7664911277</v>
      </c>
      <c r="E28" s="101">
        <v>18821618.430012446</v>
      </c>
      <c r="F28" s="101">
        <v>14735543.212807782</v>
      </c>
      <c r="G28" s="101">
        <v>26148455.348934986</v>
      </c>
      <c r="H28" s="102">
        <v>2579042.3907379149</v>
      </c>
    </row>
  </sheetData>
  <phoneticPr fontId="1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65"/>
  <sheetViews>
    <sheetView workbookViewId="0">
      <pane ySplit="2" topLeftCell="A204" activePane="bottomLeft" state="frozen"/>
      <selection activeCell="B1" sqref="B1"/>
      <selection pane="bottomLeft" activeCell="I236" sqref="I236"/>
    </sheetView>
  </sheetViews>
  <sheetFormatPr defaultRowHeight="12.6" x14ac:dyDescent="0.25"/>
  <cols>
    <col min="3" max="3" width="6.44140625" customWidth="1"/>
    <col min="4" max="4" width="5.5546875" style="31" customWidth="1"/>
    <col min="5" max="5" width="7.109375" customWidth="1"/>
    <col min="6" max="6" width="7" style="3" customWidth="1"/>
    <col min="7" max="11" width="6.5546875" customWidth="1"/>
    <col min="12" max="12" width="5.6640625" customWidth="1"/>
    <col min="13" max="13" width="14.5546875" style="9" customWidth="1"/>
    <col min="14" max="14" width="15.5546875" style="110" customWidth="1"/>
    <col min="15" max="16" width="9.44140625" style="12" customWidth="1"/>
    <col min="17" max="17" width="10.109375" customWidth="1"/>
    <col min="18" max="20" width="12.44140625" style="45" customWidth="1"/>
    <col min="21" max="21" width="6.6640625" customWidth="1"/>
    <col min="22" max="22" width="15.6640625" style="16" bestFit="1" customWidth="1"/>
    <col min="23" max="28" width="9.109375" style="16"/>
  </cols>
  <sheetData>
    <row r="1" spans="1:28" x14ac:dyDescent="0.25">
      <c r="H1" t="s">
        <v>82</v>
      </c>
      <c r="M1" s="9" t="s">
        <v>22</v>
      </c>
    </row>
    <row r="2" spans="1:28" ht="15.6" x14ac:dyDescent="0.25">
      <c r="A2" t="s">
        <v>113</v>
      </c>
      <c r="B2" t="s">
        <v>47</v>
      </c>
      <c r="C2" t="s">
        <v>21</v>
      </c>
      <c r="D2" s="31" t="s">
        <v>44</v>
      </c>
      <c r="E2" s="1" t="s">
        <v>0</v>
      </c>
      <c r="F2" s="4" t="s">
        <v>20</v>
      </c>
      <c r="G2" s="1" t="s">
        <v>1</v>
      </c>
      <c r="H2" s="14" t="s">
        <v>2</v>
      </c>
      <c r="I2" s="14" t="s">
        <v>3</v>
      </c>
      <c r="J2" s="14" t="s">
        <v>4</v>
      </c>
      <c r="K2" s="14" t="s">
        <v>5</v>
      </c>
      <c r="L2" s="14" t="s">
        <v>6</v>
      </c>
      <c r="M2" s="47" t="s">
        <v>90</v>
      </c>
      <c r="N2" s="110" t="s">
        <v>73</v>
      </c>
      <c r="O2" s="12" t="s">
        <v>23</v>
      </c>
      <c r="P2" s="12" t="s">
        <v>24</v>
      </c>
      <c r="Q2" t="s">
        <v>30</v>
      </c>
      <c r="R2" s="45" t="s">
        <v>31</v>
      </c>
      <c r="S2" s="45" t="s">
        <v>128</v>
      </c>
      <c r="T2" s="45" t="s">
        <v>127</v>
      </c>
      <c r="U2" t="s">
        <v>112</v>
      </c>
      <c r="W2" s="117" t="s">
        <v>149</v>
      </c>
      <c r="X2" s="118" t="s">
        <v>150</v>
      </c>
    </row>
    <row r="3" spans="1:28" x14ac:dyDescent="0.25">
      <c r="A3">
        <v>1</v>
      </c>
      <c r="B3" s="30" t="s">
        <v>67</v>
      </c>
      <c r="C3">
        <v>1988</v>
      </c>
      <c r="D3" s="31" t="s">
        <v>45</v>
      </c>
      <c r="E3" s="1">
        <v>1</v>
      </c>
      <c r="F3" s="4" t="s">
        <v>7</v>
      </c>
      <c r="G3" s="1">
        <v>1001</v>
      </c>
      <c r="H3" s="1">
        <v>4.7851578338459015</v>
      </c>
      <c r="I3" s="1">
        <v>4.6330167804053239</v>
      </c>
      <c r="J3" s="1">
        <v>1.0367654413100178</v>
      </c>
      <c r="K3" s="1">
        <v>3.367465968434483</v>
      </c>
      <c r="L3" s="1">
        <v>6.7992216938128642</v>
      </c>
      <c r="M3" s="9">
        <v>10715</v>
      </c>
      <c r="N3" s="110">
        <f t="shared" ref="N3:N34" si="0">$M3*I3</f>
        <v>49642.774802043044</v>
      </c>
      <c r="O3" s="12">
        <f t="shared" ref="O3:O34" si="1">$M3*K3</f>
        <v>36082.397851775488</v>
      </c>
      <c r="P3" s="12">
        <f t="shared" ref="P3:P34" si="2">$M3*L3</f>
        <v>72853.660449204835</v>
      </c>
      <c r="Q3">
        <v>9.3000000000000007</v>
      </c>
      <c r="R3" s="45">
        <f>N3*$Q3</f>
        <v>461677.80565900035</v>
      </c>
      <c r="S3" s="45">
        <f>O3*$Q3</f>
        <v>335566.30002151208</v>
      </c>
      <c r="T3" s="45">
        <f>P3*$Q3</f>
        <v>677539.04217760498</v>
      </c>
      <c r="U3">
        <v>3</v>
      </c>
    </row>
    <row r="4" spans="1:28" x14ac:dyDescent="0.25">
      <c r="A4">
        <v>2</v>
      </c>
      <c r="B4" s="30" t="s">
        <v>67</v>
      </c>
      <c r="C4">
        <v>1988</v>
      </c>
      <c r="D4" s="31" t="s">
        <v>45</v>
      </c>
      <c r="E4" s="1">
        <v>2</v>
      </c>
      <c r="F4" s="4" t="s">
        <v>8</v>
      </c>
      <c r="G4" s="1">
        <v>1001</v>
      </c>
      <c r="H4" s="1">
        <v>10.522562140002746</v>
      </c>
      <c r="I4" s="1">
        <v>10.474603438377514</v>
      </c>
      <c r="J4" s="1">
        <v>1.1600013282545238</v>
      </c>
      <c r="K4" s="1">
        <v>8.7745375428233352</v>
      </c>
      <c r="L4" s="1">
        <v>12.520905091599918</v>
      </c>
      <c r="M4" s="9">
        <v>19686</v>
      </c>
      <c r="N4" s="110">
        <f t="shared" si="0"/>
        <v>206203.04328789975</v>
      </c>
      <c r="O4" s="12">
        <f t="shared" si="1"/>
        <v>172735.54606802016</v>
      </c>
      <c r="P4" s="12">
        <f t="shared" si="2"/>
        <v>246486.53763323597</v>
      </c>
      <c r="Q4">
        <v>8.6</v>
      </c>
      <c r="R4" s="45">
        <f t="shared" ref="R4:R45" si="3">N4*Q4</f>
        <v>1773346.1722759379</v>
      </c>
      <c r="S4" s="45">
        <f t="shared" ref="S4:S35" si="4">O4*$Q4</f>
        <v>1485525.6961849735</v>
      </c>
      <c r="T4" s="45">
        <f t="shared" ref="T4:T12" si="5">P4*$Q4</f>
        <v>2119784.2236458291</v>
      </c>
      <c r="U4">
        <v>2</v>
      </c>
    </row>
    <row r="5" spans="1:28" x14ac:dyDescent="0.25">
      <c r="A5">
        <v>3</v>
      </c>
      <c r="B5" s="30" t="s">
        <v>67</v>
      </c>
      <c r="C5">
        <v>1988</v>
      </c>
      <c r="D5" s="31" t="s">
        <v>45</v>
      </c>
      <c r="E5" s="1">
        <v>3</v>
      </c>
      <c r="F5" s="4" t="s">
        <v>9</v>
      </c>
      <c r="G5" s="1">
        <v>1001</v>
      </c>
      <c r="H5" s="1">
        <v>3.528224966608434</v>
      </c>
      <c r="I5" s="1">
        <v>3.4939606176724411</v>
      </c>
      <c r="J5" s="1">
        <v>0.43191733229179075</v>
      </c>
      <c r="K5" s="1">
        <v>2.899279664744796</v>
      </c>
      <c r="L5" s="1">
        <v>4.2615617765212539</v>
      </c>
      <c r="M5" s="9">
        <v>10897</v>
      </c>
      <c r="N5" s="110">
        <f t="shared" si="0"/>
        <v>38073.688850776591</v>
      </c>
      <c r="O5" s="12">
        <f t="shared" si="1"/>
        <v>31593.450506724042</v>
      </c>
      <c r="P5" s="12">
        <f t="shared" si="2"/>
        <v>46438.238678752103</v>
      </c>
      <c r="Q5">
        <v>6.9</v>
      </c>
      <c r="R5" s="45">
        <f t="shared" si="3"/>
        <v>262708.45307035849</v>
      </c>
      <c r="S5" s="45">
        <f t="shared" si="4"/>
        <v>217994.80849639591</v>
      </c>
      <c r="T5" s="45">
        <f t="shared" si="5"/>
        <v>320423.84688338952</v>
      </c>
      <c r="U5">
        <v>4</v>
      </c>
    </row>
    <row r="6" spans="1:28" x14ac:dyDescent="0.25">
      <c r="A6">
        <v>4</v>
      </c>
      <c r="B6" s="30" t="s">
        <v>67</v>
      </c>
      <c r="C6">
        <v>1988</v>
      </c>
      <c r="D6" s="31" t="s">
        <v>45</v>
      </c>
      <c r="E6" s="1">
        <v>4</v>
      </c>
      <c r="F6" s="4" t="s">
        <v>10</v>
      </c>
      <c r="G6" s="1">
        <v>1001</v>
      </c>
      <c r="H6" s="1">
        <v>4.1235465161986617</v>
      </c>
      <c r="I6" s="1">
        <v>4.1139822493410616</v>
      </c>
      <c r="J6" s="1">
        <v>0.37752921683007507</v>
      </c>
      <c r="K6" s="1">
        <v>3.5458268441102057</v>
      </c>
      <c r="L6" s="1">
        <v>4.7468161856361677</v>
      </c>
      <c r="M6" s="9">
        <v>28029</v>
      </c>
      <c r="N6" s="110">
        <f t="shared" si="0"/>
        <v>115310.80846678061</v>
      </c>
      <c r="O6" s="12">
        <f t="shared" si="1"/>
        <v>99385.980613564956</v>
      </c>
      <c r="P6" s="12">
        <f t="shared" si="2"/>
        <v>133048.51086719614</v>
      </c>
      <c r="Q6">
        <v>15.5</v>
      </c>
      <c r="R6" s="45">
        <f t="shared" si="3"/>
        <v>1787317.5312350995</v>
      </c>
      <c r="S6" s="45">
        <f t="shared" si="4"/>
        <v>1540482.6995102568</v>
      </c>
      <c r="T6" s="45">
        <f t="shared" si="5"/>
        <v>2062251.9184415401</v>
      </c>
      <c r="U6">
        <v>1</v>
      </c>
    </row>
    <row r="7" spans="1:28" s="55" customFormat="1" x14ac:dyDescent="0.25">
      <c r="A7">
        <v>5</v>
      </c>
      <c r="B7" s="54" t="s">
        <v>68</v>
      </c>
      <c r="C7" s="55">
        <v>1989</v>
      </c>
      <c r="D7" s="56" t="s">
        <v>45</v>
      </c>
      <c r="E7" s="57">
        <v>1</v>
      </c>
      <c r="F7" s="58" t="s">
        <v>7</v>
      </c>
      <c r="G7" s="57">
        <v>1001</v>
      </c>
      <c r="H7" s="57">
        <v>6.2349185765194424</v>
      </c>
      <c r="I7" s="57">
        <v>6.1884273116601927</v>
      </c>
      <c r="J7" s="57">
        <v>0.65583690618329515</v>
      </c>
      <c r="K7" s="57">
        <v>5.2462638056224087</v>
      </c>
      <c r="L7" s="57">
        <v>7.3420646107079497</v>
      </c>
      <c r="M7" s="59">
        <f>35*375.3</f>
        <v>13135.5</v>
      </c>
      <c r="N7" s="111">
        <f t="shared" si="0"/>
        <v>81288.086952312457</v>
      </c>
      <c r="O7" s="60">
        <f t="shared" si="1"/>
        <v>68912.298218753145</v>
      </c>
      <c r="P7" s="60">
        <f t="shared" si="2"/>
        <v>96441.689693954278</v>
      </c>
      <c r="Q7" s="55">
        <v>9.4</v>
      </c>
      <c r="R7" s="61">
        <f t="shared" si="3"/>
        <v>764108.01735173713</v>
      </c>
      <c r="S7" s="45">
        <f t="shared" si="4"/>
        <v>647775.6032562796</v>
      </c>
      <c r="T7" s="45">
        <f t="shared" si="5"/>
        <v>906551.88312317024</v>
      </c>
      <c r="U7" s="55">
        <v>2</v>
      </c>
      <c r="V7" s="16"/>
      <c r="W7" s="16"/>
      <c r="X7" s="16"/>
      <c r="Y7" s="16"/>
      <c r="Z7" s="16"/>
      <c r="AA7" s="16"/>
      <c r="AB7" s="16"/>
    </row>
    <row r="8" spans="1:28" s="55" customFormat="1" x14ac:dyDescent="0.25">
      <c r="A8">
        <v>6</v>
      </c>
      <c r="B8" s="54" t="s">
        <v>68</v>
      </c>
      <c r="C8" s="55">
        <v>1989</v>
      </c>
      <c r="D8" s="56" t="s">
        <v>45</v>
      </c>
      <c r="E8" s="57">
        <v>2</v>
      </c>
      <c r="F8" s="58" t="s">
        <v>8</v>
      </c>
      <c r="G8" s="57">
        <v>1001</v>
      </c>
      <c r="H8" s="57">
        <v>6.9797670689089211</v>
      </c>
      <c r="I8" s="57">
        <v>6.9391606352612092</v>
      </c>
      <c r="J8" s="57">
        <v>0.58065379581150889</v>
      </c>
      <c r="K8" s="57">
        <v>6.0920543495446937</v>
      </c>
      <c r="L8" s="57">
        <v>8.0025095777203834</v>
      </c>
      <c r="M8" s="59">
        <f>30*379</f>
        <v>11370</v>
      </c>
      <c r="N8" s="111">
        <f t="shared" si="0"/>
        <v>78898.256422919949</v>
      </c>
      <c r="O8" s="60">
        <f t="shared" si="1"/>
        <v>69266.657954323164</v>
      </c>
      <c r="P8" s="60">
        <f t="shared" si="2"/>
        <v>90988.533898680762</v>
      </c>
      <c r="Q8" s="55">
        <v>7.1</v>
      </c>
      <c r="R8" s="61">
        <f t="shared" si="3"/>
        <v>560177.62060273159</v>
      </c>
      <c r="S8" s="45">
        <f t="shared" si="4"/>
        <v>491793.27147569443</v>
      </c>
      <c r="T8" s="45">
        <f t="shared" si="5"/>
        <v>646018.59068063332</v>
      </c>
      <c r="U8" s="55">
        <v>4</v>
      </c>
      <c r="V8" s="16"/>
      <c r="W8" s="16"/>
      <c r="X8" s="16"/>
      <c r="Y8" s="16"/>
      <c r="Z8" s="16"/>
      <c r="AA8" s="16"/>
      <c r="AB8" s="16"/>
    </row>
    <row r="9" spans="1:28" s="55" customFormat="1" x14ac:dyDescent="0.25">
      <c r="A9">
        <v>7</v>
      </c>
      <c r="B9" s="54" t="s">
        <v>68</v>
      </c>
      <c r="C9" s="55">
        <v>1989</v>
      </c>
      <c r="D9" s="56" t="s">
        <v>45</v>
      </c>
      <c r="E9" s="57">
        <v>3</v>
      </c>
      <c r="F9" s="58" t="s">
        <v>9</v>
      </c>
      <c r="G9" s="57">
        <v>1001</v>
      </c>
      <c r="H9" s="57">
        <v>7.726507512428852</v>
      </c>
      <c r="I9" s="57">
        <v>7.648986611525074</v>
      </c>
      <c r="J9" s="57">
        <v>0.72022782272979557</v>
      </c>
      <c r="K9" s="57">
        <v>6.6682478051789724</v>
      </c>
      <c r="L9" s="57">
        <v>9.0304740141648132</v>
      </c>
      <c r="M9" s="59">
        <f>30*429.1</f>
        <v>12873</v>
      </c>
      <c r="N9" s="111">
        <f t="shared" si="0"/>
        <v>98465.40465016228</v>
      </c>
      <c r="O9" s="60">
        <f t="shared" si="1"/>
        <v>85840.353996068909</v>
      </c>
      <c r="P9" s="60">
        <f t="shared" si="2"/>
        <v>116249.29198434364</v>
      </c>
      <c r="Q9" s="55">
        <v>7.7</v>
      </c>
      <c r="R9" s="61">
        <f t="shared" si="3"/>
        <v>758183.61580624955</v>
      </c>
      <c r="S9" s="45">
        <f t="shared" si="4"/>
        <v>660970.72576973063</v>
      </c>
      <c r="T9" s="45">
        <f t="shared" si="5"/>
        <v>895119.54827944608</v>
      </c>
      <c r="U9" s="55">
        <v>3</v>
      </c>
      <c r="V9" s="16"/>
      <c r="W9" s="16"/>
      <c r="X9" s="16"/>
      <c r="Y9" s="16"/>
      <c r="Z9" s="16"/>
      <c r="AA9" s="16"/>
      <c r="AB9" s="16"/>
    </row>
    <row r="10" spans="1:28" s="55" customFormat="1" x14ac:dyDescent="0.25">
      <c r="A10">
        <v>8</v>
      </c>
      <c r="B10" s="54" t="s">
        <v>68</v>
      </c>
      <c r="C10" s="55">
        <v>1989</v>
      </c>
      <c r="D10" s="56" t="s">
        <v>45</v>
      </c>
      <c r="E10" s="57">
        <v>4</v>
      </c>
      <c r="F10" s="58" t="s">
        <v>10</v>
      </c>
      <c r="G10" s="57">
        <v>1001</v>
      </c>
      <c r="H10" s="57">
        <v>5.6084509523769634</v>
      </c>
      <c r="I10" s="57">
        <v>5.5357159771350171</v>
      </c>
      <c r="J10" s="57">
        <v>0.65628729970161603</v>
      </c>
      <c r="K10" s="57">
        <v>4.6439611902816891</v>
      </c>
      <c r="L10" s="57">
        <v>6.8278260362846552</v>
      </c>
      <c r="M10" s="59">
        <f>30*363.2</f>
        <v>10896</v>
      </c>
      <c r="N10" s="111">
        <f t="shared" si="0"/>
        <v>60317.161286863149</v>
      </c>
      <c r="O10" s="60">
        <f t="shared" si="1"/>
        <v>50600.601129309282</v>
      </c>
      <c r="P10" s="60">
        <f t="shared" si="2"/>
        <v>74395.992491357611</v>
      </c>
      <c r="Q10" s="55">
        <v>13</v>
      </c>
      <c r="R10" s="61">
        <f t="shared" si="3"/>
        <v>784123.09672922094</v>
      </c>
      <c r="S10" s="45">
        <f t="shared" si="4"/>
        <v>657807.81468102068</v>
      </c>
      <c r="T10" s="45">
        <f t="shared" si="5"/>
        <v>967147.90238764894</v>
      </c>
      <c r="U10" s="55">
        <v>1</v>
      </c>
      <c r="V10" s="16"/>
      <c r="W10" s="16"/>
      <c r="X10" s="16"/>
      <c r="Y10" s="16"/>
      <c r="Z10" s="16"/>
      <c r="AA10" s="16"/>
      <c r="AB10" s="16"/>
    </row>
    <row r="11" spans="1:28" s="55" customFormat="1" x14ac:dyDescent="0.25">
      <c r="A11">
        <v>9</v>
      </c>
      <c r="B11" s="54" t="s">
        <v>68</v>
      </c>
      <c r="C11" s="55">
        <v>1989</v>
      </c>
      <c r="D11" s="56" t="s">
        <v>45</v>
      </c>
      <c r="E11" s="57">
        <v>5</v>
      </c>
      <c r="F11" s="58" t="s">
        <v>11</v>
      </c>
      <c r="G11" s="57">
        <v>1001</v>
      </c>
      <c r="H11" s="57">
        <v>3.1107315440227272</v>
      </c>
      <c r="I11" s="57">
        <v>3.0425476467721246</v>
      </c>
      <c r="J11" s="57">
        <v>0.52464587646635896</v>
      </c>
      <c r="K11" s="57">
        <v>2.3676539524017914</v>
      </c>
      <c r="L11" s="57">
        <v>4.0614730805984713</v>
      </c>
      <c r="M11" s="59">
        <f>30*322.1</f>
        <v>9663</v>
      </c>
      <c r="N11" s="111">
        <f t="shared" si="0"/>
        <v>29400.13791075904</v>
      </c>
      <c r="O11" s="60">
        <f t="shared" si="1"/>
        <v>22878.64014205851</v>
      </c>
      <c r="P11" s="60">
        <f t="shared" si="2"/>
        <v>39246.014377823027</v>
      </c>
      <c r="Q11" s="55">
        <v>14.9</v>
      </c>
      <c r="R11" s="61">
        <f t="shared" si="3"/>
        <v>438062.05487030972</v>
      </c>
      <c r="S11" s="45">
        <f t="shared" si="4"/>
        <v>340891.7381166718</v>
      </c>
      <c r="T11" s="45">
        <f t="shared" si="5"/>
        <v>584765.61422956316</v>
      </c>
      <c r="U11" s="55">
        <v>5</v>
      </c>
      <c r="V11" s="16"/>
      <c r="W11" s="16"/>
      <c r="X11" s="16"/>
      <c r="Y11" s="16"/>
      <c r="Z11" s="16"/>
      <c r="AA11" s="16"/>
      <c r="AB11" s="16"/>
    </row>
    <row r="12" spans="1:28" s="55" customFormat="1" x14ac:dyDescent="0.25">
      <c r="A12">
        <v>10</v>
      </c>
      <c r="B12" s="54" t="s">
        <v>68</v>
      </c>
      <c r="C12" s="55">
        <v>1989</v>
      </c>
      <c r="D12" s="56" t="s">
        <v>45</v>
      </c>
      <c r="E12" s="57">
        <v>6</v>
      </c>
      <c r="F12" s="58" t="s">
        <v>12</v>
      </c>
      <c r="G12" s="57">
        <v>1001</v>
      </c>
      <c r="H12" s="57">
        <v>2.1648245588907327</v>
      </c>
      <c r="I12" s="57">
        <v>2.1469150111460582</v>
      </c>
      <c r="J12" s="57">
        <v>0.28489122737231859</v>
      </c>
      <c r="K12" s="57">
        <v>1.7252656888606053</v>
      </c>
      <c r="L12" s="57">
        <v>2.6632675000938284</v>
      </c>
      <c r="M12" s="59">
        <f>30*275.2</f>
        <v>8256</v>
      </c>
      <c r="N12" s="111">
        <f t="shared" si="0"/>
        <v>17724.930332021857</v>
      </c>
      <c r="O12" s="60">
        <f t="shared" si="1"/>
        <v>14243.793527233158</v>
      </c>
      <c r="P12" s="60">
        <f t="shared" si="2"/>
        <v>21987.936480774646</v>
      </c>
      <c r="Q12" s="55">
        <v>23</v>
      </c>
      <c r="R12" s="61">
        <f t="shared" si="3"/>
        <v>407673.39763650269</v>
      </c>
      <c r="S12" s="45">
        <f t="shared" si="4"/>
        <v>327607.25112636265</v>
      </c>
      <c r="T12" s="45">
        <f t="shared" si="5"/>
        <v>505722.53905781684</v>
      </c>
      <c r="U12" s="55">
        <v>6</v>
      </c>
      <c r="V12" s="16"/>
      <c r="W12" s="16"/>
      <c r="X12" s="16"/>
      <c r="Y12" s="16"/>
      <c r="Z12" s="16"/>
      <c r="AA12" s="16"/>
      <c r="AB12" s="16"/>
    </row>
    <row r="13" spans="1:28" x14ac:dyDescent="0.25">
      <c r="A13">
        <v>11</v>
      </c>
      <c r="B13" s="30" t="s">
        <v>69</v>
      </c>
      <c r="C13">
        <v>1990</v>
      </c>
      <c r="D13" s="31" t="s">
        <v>45</v>
      </c>
      <c r="E13" s="2">
        <v>1</v>
      </c>
      <c r="F13" s="4" t="s">
        <v>7</v>
      </c>
      <c r="G13" s="1">
        <v>1001</v>
      </c>
      <c r="H13" s="1">
        <v>7.1222803829661583</v>
      </c>
      <c r="I13" s="1">
        <v>6.9553094581165755</v>
      </c>
      <c r="J13" s="1">
        <v>1.251704471897549</v>
      </c>
      <c r="K13" s="1">
        <v>5.256579750630241</v>
      </c>
      <c r="L13" s="1">
        <v>9.3733126064719254</v>
      </c>
      <c r="M13" s="9">
        <f>35*409.2</f>
        <v>14322</v>
      </c>
      <c r="N13" s="110">
        <f t="shared" si="0"/>
        <v>99613.9420591456</v>
      </c>
      <c r="O13" s="12">
        <f t="shared" si="1"/>
        <v>75284.735188526305</v>
      </c>
      <c r="P13" s="12">
        <f t="shared" si="2"/>
        <v>134244.58314989091</v>
      </c>
      <c r="Q13">
        <v>11.3</v>
      </c>
      <c r="R13" s="45">
        <f t="shared" si="3"/>
        <v>1125637.5452683454</v>
      </c>
      <c r="S13" s="45">
        <f t="shared" si="4"/>
        <v>850717.50763034727</v>
      </c>
      <c r="T13" s="45">
        <f t="shared" ref="T13:T76" si="6">P13*$Q13</f>
        <v>1516963.7895937674</v>
      </c>
      <c r="U13">
        <v>3</v>
      </c>
    </row>
    <row r="14" spans="1:28" x14ac:dyDescent="0.25">
      <c r="A14">
        <v>12</v>
      </c>
      <c r="B14" s="30" t="s">
        <v>69</v>
      </c>
      <c r="C14">
        <v>1990</v>
      </c>
      <c r="D14" s="31" t="s">
        <v>45</v>
      </c>
      <c r="E14" s="2">
        <v>2</v>
      </c>
      <c r="F14" s="4" t="s">
        <v>8</v>
      </c>
      <c r="G14" s="1">
        <v>1001</v>
      </c>
      <c r="H14" s="1">
        <v>9.1278491363788223</v>
      </c>
      <c r="I14" s="1">
        <v>9.0666813336147705</v>
      </c>
      <c r="J14" s="1">
        <v>0.98607788640741634</v>
      </c>
      <c r="K14" s="1">
        <v>7.6034635887739102</v>
      </c>
      <c r="L14" s="1">
        <v>10.905284498732863</v>
      </c>
      <c r="M14" s="9">
        <f>30*447.6</f>
        <v>13428</v>
      </c>
      <c r="N14" s="110">
        <f t="shared" si="0"/>
        <v>121747.39694777914</v>
      </c>
      <c r="O14" s="12">
        <f t="shared" si="1"/>
        <v>102099.30907005607</v>
      </c>
      <c r="P14" s="12">
        <f t="shared" si="2"/>
        <v>146436.16024898487</v>
      </c>
      <c r="Q14">
        <v>8.9</v>
      </c>
      <c r="R14" s="45">
        <f t="shared" si="3"/>
        <v>1083551.8328352345</v>
      </c>
      <c r="S14" s="45">
        <f t="shared" si="4"/>
        <v>908683.85072349908</v>
      </c>
      <c r="T14" s="45">
        <f t="shared" si="6"/>
        <v>1303281.8262159654</v>
      </c>
      <c r="U14">
        <v>4</v>
      </c>
    </row>
    <row r="15" spans="1:28" x14ac:dyDescent="0.25">
      <c r="A15">
        <v>13</v>
      </c>
      <c r="B15" s="30" t="s">
        <v>69</v>
      </c>
      <c r="C15">
        <v>1990</v>
      </c>
      <c r="D15" s="31" t="s">
        <v>45</v>
      </c>
      <c r="E15" s="2">
        <v>3</v>
      </c>
      <c r="F15" s="4" t="s">
        <v>9</v>
      </c>
      <c r="G15" s="1">
        <v>1001</v>
      </c>
      <c r="H15" s="1">
        <v>7.363760055012726</v>
      </c>
      <c r="I15" s="1">
        <v>7.3137927534731126</v>
      </c>
      <c r="J15" s="1">
        <v>0.93988220996340666</v>
      </c>
      <c r="K15" s="1">
        <v>5.9408358901408498</v>
      </c>
      <c r="L15" s="1">
        <v>8.9752602076625454</v>
      </c>
      <c r="M15" s="9">
        <f>30*429.1</f>
        <v>12873</v>
      </c>
      <c r="N15" s="110">
        <f t="shared" si="0"/>
        <v>94150.454115459375</v>
      </c>
      <c r="O15" s="12">
        <f t="shared" si="1"/>
        <v>76476.380413783161</v>
      </c>
      <c r="P15" s="12">
        <f t="shared" si="2"/>
        <v>115538.52465323995</v>
      </c>
      <c r="Q15">
        <v>12.9</v>
      </c>
      <c r="R15" s="45">
        <f t="shared" si="3"/>
        <v>1214540.8580894261</v>
      </c>
      <c r="S15" s="45">
        <f t="shared" si="4"/>
        <v>986545.30733780283</v>
      </c>
      <c r="T15" s="45">
        <f t="shared" si="6"/>
        <v>1490446.9680267954</v>
      </c>
      <c r="U15">
        <v>2</v>
      </c>
    </row>
    <row r="16" spans="1:28" x14ac:dyDescent="0.25">
      <c r="A16">
        <v>14</v>
      </c>
      <c r="B16" s="30" t="s">
        <v>69</v>
      </c>
      <c r="C16">
        <v>1990</v>
      </c>
      <c r="D16" s="31" t="s">
        <v>45</v>
      </c>
      <c r="E16" s="2">
        <v>4</v>
      </c>
      <c r="F16" s="4" t="s">
        <v>10</v>
      </c>
      <c r="G16" s="1">
        <v>1001</v>
      </c>
      <c r="H16" s="1">
        <v>8.2491414606559008</v>
      </c>
      <c r="I16" s="1">
        <v>8.2074540649597729</v>
      </c>
      <c r="J16" s="1">
        <v>1.5293769816865379</v>
      </c>
      <c r="K16" s="1">
        <v>5.8702588787740622</v>
      </c>
      <c r="L16" s="1">
        <v>10.845878042681578</v>
      </c>
      <c r="M16" s="9">
        <f>30*363.2</f>
        <v>10896</v>
      </c>
      <c r="N16" s="110">
        <f t="shared" si="0"/>
        <v>89428.419491801687</v>
      </c>
      <c r="O16" s="12">
        <f t="shared" si="1"/>
        <v>63962.340743122179</v>
      </c>
      <c r="P16" s="12">
        <f t="shared" si="2"/>
        <v>118176.68715305848</v>
      </c>
      <c r="Q16">
        <v>14</v>
      </c>
      <c r="R16" s="45">
        <f t="shared" si="3"/>
        <v>1251997.8728852237</v>
      </c>
      <c r="S16" s="45">
        <f t="shared" si="4"/>
        <v>895472.77040371054</v>
      </c>
      <c r="T16" s="45">
        <f t="shared" si="6"/>
        <v>1654473.6201428187</v>
      </c>
      <c r="U16">
        <v>1</v>
      </c>
      <c r="V16" s="105"/>
    </row>
    <row r="17" spans="1:28" x14ac:dyDescent="0.25">
      <c r="A17">
        <v>15</v>
      </c>
      <c r="B17" s="30" t="s">
        <v>69</v>
      </c>
      <c r="C17">
        <v>1990</v>
      </c>
      <c r="D17" s="31" t="s">
        <v>45</v>
      </c>
      <c r="E17" s="2">
        <v>5</v>
      </c>
      <c r="F17" s="4" t="s">
        <v>11</v>
      </c>
      <c r="G17" s="1">
        <v>1001</v>
      </c>
      <c r="H17" s="1">
        <v>2.9438680165748194</v>
      </c>
      <c r="I17" s="1">
        <v>2.7873914105325879</v>
      </c>
      <c r="J17" s="1">
        <v>1.2069023401047758</v>
      </c>
      <c r="K17" s="1">
        <v>1.340384832193406</v>
      </c>
      <c r="L17" s="1">
        <v>5.1834167192201006</v>
      </c>
      <c r="M17" s="9">
        <f>30*319.7</f>
        <v>9591</v>
      </c>
      <c r="N17" s="110">
        <f t="shared" si="0"/>
        <v>26733.871018418049</v>
      </c>
      <c r="O17" s="12">
        <f t="shared" si="1"/>
        <v>12855.630925566957</v>
      </c>
      <c r="P17" s="12">
        <f t="shared" si="2"/>
        <v>49714.149754039987</v>
      </c>
      <c r="Q17">
        <v>18</v>
      </c>
      <c r="R17" s="45">
        <f t="shared" si="3"/>
        <v>481209.67833152489</v>
      </c>
      <c r="S17" s="45">
        <f t="shared" si="4"/>
        <v>231401.35666020523</v>
      </c>
      <c r="T17" s="45">
        <f t="shared" si="6"/>
        <v>894854.69557271979</v>
      </c>
      <c r="U17">
        <v>6</v>
      </c>
    </row>
    <row r="18" spans="1:28" x14ac:dyDescent="0.25">
      <c r="A18">
        <v>16</v>
      </c>
      <c r="B18" s="30" t="s">
        <v>69</v>
      </c>
      <c r="C18">
        <v>1990</v>
      </c>
      <c r="D18" s="31" t="s">
        <v>45</v>
      </c>
      <c r="E18" s="2">
        <v>6</v>
      </c>
      <c r="F18" s="4" t="s">
        <v>12</v>
      </c>
      <c r="G18" s="1">
        <v>1001</v>
      </c>
      <c r="H18" s="1">
        <v>4.547080596185662</v>
      </c>
      <c r="I18" s="1">
        <v>4.0054929406572226</v>
      </c>
      <c r="J18" s="1">
        <v>2.4303201765473967</v>
      </c>
      <c r="K18" s="1">
        <v>1.8928513730283922</v>
      </c>
      <c r="L18" s="1">
        <v>9.5583044092806944</v>
      </c>
      <c r="M18" s="9">
        <f>30*272.7</f>
        <v>8181</v>
      </c>
      <c r="N18" s="110">
        <f t="shared" si="0"/>
        <v>32768.937747516735</v>
      </c>
      <c r="O18" s="12">
        <f t="shared" si="1"/>
        <v>15485.417082745276</v>
      </c>
      <c r="P18" s="12">
        <f t="shared" si="2"/>
        <v>78196.488372325359</v>
      </c>
      <c r="Q18">
        <v>19.100000000000001</v>
      </c>
      <c r="R18" s="45">
        <f t="shared" si="3"/>
        <v>625886.71097756969</v>
      </c>
      <c r="S18" s="45">
        <f t="shared" si="4"/>
        <v>295771.4662804348</v>
      </c>
      <c r="T18" s="45">
        <f t="shared" si="6"/>
        <v>1493552.9279114145</v>
      </c>
      <c r="U18">
        <v>5</v>
      </c>
    </row>
    <row r="19" spans="1:28" s="55" customFormat="1" x14ac:dyDescent="0.25">
      <c r="A19">
        <v>17</v>
      </c>
      <c r="B19" s="54" t="s">
        <v>70</v>
      </c>
      <c r="C19" s="55">
        <v>1991</v>
      </c>
      <c r="D19" s="56" t="s">
        <v>45</v>
      </c>
      <c r="E19" s="57">
        <v>3</v>
      </c>
      <c r="F19" s="58" t="s">
        <v>9</v>
      </c>
      <c r="G19" s="57">
        <v>1000</v>
      </c>
      <c r="H19" s="57">
        <v>0.6321602808416692</v>
      </c>
      <c r="I19" s="57">
        <v>0.61824044122620592</v>
      </c>
      <c r="J19" s="57">
        <v>0.15023586660100957</v>
      </c>
      <c r="K19" s="57">
        <v>0.41419621324742484</v>
      </c>
      <c r="L19" s="57">
        <v>0.90443429909321316</v>
      </c>
      <c r="M19" s="59">
        <f>30*544.3</f>
        <v>16328.999999999998</v>
      </c>
      <c r="N19" s="111">
        <f t="shared" si="0"/>
        <v>10095.248164782715</v>
      </c>
      <c r="O19" s="60">
        <f t="shared" si="1"/>
        <v>6763.4099661171995</v>
      </c>
      <c r="P19" s="60">
        <f t="shared" si="2"/>
        <v>14768.507669893075</v>
      </c>
      <c r="Q19" s="55">
        <v>8.1999999999999993</v>
      </c>
      <c r="R19" s="61">
        <f t="shared" si="3"/>
        <v>82781.034951218258</v>
      </c>
      <c r="S19" s="45">
        <f t="shared" si="4"/>
        <v>55459.961722161032</v>
      </c>
      <c r="T19" s="45">
        <f t="shared" si="6"/>
        <v>121101.7628931232</v>
      </c>
      <c r="U19" s="55">
        <v>1</v>
      </c>
      <c r="V19" s="16"/>
      <c r="W19" s="16"/>
      <c r="X19" s="16"/>
      <c r="Y19" s="16"/>
      <c r="Z19" s="16"/>
      <c r="AA19" s="16"/>
      <c r="AB19" s="16"/>
    </row>
    <row r="20" spans="1:28" s="55" customFormat="1" x14ac:dyDescent="0.25">
      <c r="A20">
        <v>18</v>
      </c>
      <c r="B20" s="54" t="s">
        <v>70</v>
      </c>
      <c r="C20" s="55">
        <v>1991</v>
      </c>
      <c r="D20" s="56" t="s">
        <v>45</v>
      </c>
      <c r="E20" s="57">
        <v>4</v>
      </c>
      <c r="F20" s="58" t="s">
        <v>10</v>
      </c>
      <c r="G20" s="57">
        <v>1000</v>
      </c>
      <c r="H20" s="57">
        <v>0.2310514994208745</v>
      </c>
      <c r="I20" s="57">
        <v>0.19473162013196271</v>
      </c>
      <c r="J20" s="57">
        <v>0.12824844078450631</v>
      </c>
      <c r="K20" s="57">
        <v>9.8213442651960289E-2</v>
      </c>
      <c r="L20" s="57">
        <v>0.46095920058996104</v>
      </c>
      <c r="M20" s="59">
        <f>30*363.2</f>
        <v>10896</v>
      </c>
      <c r="N20" s="111">
        <f t="shared" si="0"/>
        <v>2121.7957329578658</v>
      </c>
      <c r="O20" s="60">
        <f t="shared" si="1"/>
        <v>1070.1336711357594</v>
      </c>
      <c r="P20" s="60">
        <f t="shared" si="2"/>
        <v>5022.6114496282153</v>
      </c>
      <c r="Q20" s="55">
        <v>5.5</v>
      </c>
      <c r="R20" s="61">
        <f t="shared" si="3"/>
        <v>11669.876531268263</v>
      </c>
      <c r="S20" s="45">
        <f t="shared" si="4"/>
        <v>5885.7351912466765</v>
      </c>
      <c r="T20" s="45">
        <f t="shared" si="6"/>
        <v>27624.362972955183</v>
      </c>
      <c r="U20" s="55">
        <v>3</v>
      </c>
      <c r="V20" s="16"/>
      <c r="W20" s="16"/>
      <c r="X20" s="16"/>
      <c r="Y20" s="16"/>
      <c r="Z20" s="16"/>
      <c r="AA20" s="16"/>
      <c r="AB20" s="16"/>
    </row>
    <row r="21" spans="1:28" s="55" customFormat="1" x14ac:dyDescent="0.25">
      <c r="A21">
        <v>19</v>
      </c>
      <c r="B21" s="54" t="s">
        <v>70</v>
      </c>
      <c r="C21" s="55">
        <v>1991</v>
      </c>
      <c r="D21" s="56" t="s">
        <v>45</v>
      </c>
      <c r="E21" s="57">
        <v>5</v>
      </c>
      <c r="F21" s="58" t="s">
        <v>11</v>
      </c>
      <c r="G21" s="57">
        <v>1000</v>
      </c>
      <c r="H21" s="57">
        <v>0.35952420456494727</v>
      </c>
      <c r="I21" s="57">
        <v>8.2199986578427378E-3</v>
      </c>
      <c r="J21" s="57">
        <v>0.82481798851170796</v>
      </c>
      <c r="K21" s="57">
        <v>7.4719711484468303E-4</v>
      </c>
      <c r="L21" s="57">
        <v>2.3769813368364456</v>
      </c>
      <c r="M21" s="59">
        <f>30*319.7</f>
        <v>9591</v>
      </c>
      <c r="N21" s="111">
        <f t="shared" si="0"/>
        <v>78.838007127369693</v>
      </c>
      <c r="O21" s="60">
        <f t="shared" si="1"/>
        <v>7.1663675284753552</v>
      </c>
      <c r="P21" s="60">
        <f t="shared" si="2"/>
        <v>22797.62800159835</v>
      </c>
      <c r="Q21" s="55">
        <v>0.4</v>
      </c>
      <c r="R21" s="61">
        <f t="shared" si="3"/>
        <v>31.535202850947879</v>
      </c>
      <c r="S21" s="45">
        <f t="shared" si="4"/>
        <v>2.8665470113901423</v>
      </c>
      <c r="T21" s="45">
        <f t="shared" si="6"/>
        <v>9119.0512006393401</v>
      </c>
      <c r="U21" s="55">
        <v>4</v>
      </c>
      <c r="V21" s="16"/>
      <c r="W21" s="16"/>
      <c r="X21" s="16"/>
      <c r="Y21" s="16"/>
      <c r="Z21" s="16"/>
      <c r="AA21" s="16"/>
      <c r="AB21" s="16"/>
    </row>
    <row r="22" spans="1:28" s="55" customFormat="1" x14ac:dyDescent="0.25">
      <c r="A22">
        <v>20</v>
      </c>
      <c r="B22" s="54" t="s">
        <v>70</v>
      </c>
      <c r="C22" s="55">
        <v>1991</v>
      </c>
      <c r="D22" s="56" t="s">
        <v>45</v>
      </c>
      <c r="E22" s="57">
        <v>6</v>
      </c>
      <c r="F22" s="58" t="s">
        <v>12</v>
      </c>
      <c r="G22" s="57">
        <v>1000</v>
      </c>
      <c r="H22" s="57">
        <v>0.63800654334861795</v>
      </c>
      <c r="I22" s="57">
        <v>0.46888105055617857</v>
      </c>
      <c r="J22" s="57">
        <v>0.66785628564323096</v>
      </c>
      <c r="K22" s="57">
        <v>6.6267772474038747E-4</v>
      </c>
      <c r="L22" s="57">
        <v>1.9612139799944908</v>
      </c>
      <c r="M22" s="59">
        <f>30*272.7</f>
        <v>8181</v>
      </c>
      <c r="N22" s="111">
        <f t="shared" si="0"/>
        <v>3835.9158746000967</v>
      </c>
      <c r="O22" s="60">
        <f t="shared" si="1"/>
        <v>5.4213664661011096</v>
      </c>
      <c r="P22" s="60">
        <f t="shared" si="2"/>
        <v>16044.69157033493</v>
      </c>
      <c r="Q22" s="55">
        <v>11.3</v>
      </c>
      <c r="R22" s="61">
        <f t="shared" si="3"/>
        <v>43345.849382981098</v>
      </c>
      <c r="S22" s="45">
        <f t="shared" si="4"/>
        <v>61.261441066942545</v>
      </c>
      <c r="T22" s="45">
        <f t="shared" si="6"/>
        <v>181305.01474478471</v>
      </c>
      <c r="U22" s="55">
        <v>2</v>
      </c>
      <c r="V22" s="16"/>
      <c r="W22" s="16"/>
      <c r="X22" s="16"/>
      <c r="Y22" s="16"/>
      <c r="Z22" s="16"/>
      <c r="AA22" s="16"/>
      <c r="AB22" s="16"/>
    </row>
    <row r="23" spans="1:28" x14ac:dyDescent="0.25">
      <c r="A23">
        <v>21</v>
      </c>
      <c r="B23" s="30" t="s">
        <v>71</v>
      </c>
      <c r="C23">
        <v>1992</v>
      </c>
      <c r="D23" s="31" t="s">
        <v>45</v>
      </c>
      <c r="E23" s="1">
        <v>1</v>
      </c>
      <c r="F23" s="4" t="s">
        <v>7</v>
      </c>
      <c r="G23" s="1">
        <v>1000</v>
      </c>
      <c r="H23" s="1">
        <v>0.58950595067218592</v>
      </c>
      <c r="I23" s="1">
        <v>0.58447436955095933</v>
      </c>
      <c r="J23" s="1">
        <v>6.7597886886798783E-2</v>
      </c>
      <c r="K23" s="1">
        <v>0.49450600628831726</v>
      </c>
      <c r="L23" s="1">
        <v>0.70586513519269412</v>
      </c>
      <c r="M23" s="9">
        <f>35*408.8</f>
        <v>14308</v>
      </c>
      <c r="N23" s="110">
        <f t="shared" si="0"/>
        <v>8362.6592795351262</v>
      </c>
      <c r="O23" s="12">
        <f t="shared" si="1"/>
        <v>7075.3919379732433</v>
      </c>
      <c r="P23" s="12">
        <f t="shared" si="2"/>
        <v>10099.518354337068</v>
      </c>
      <c r="Q23">
        <v>8.9</v>
      </c>
      <c r="R23" s="45">
        <f t="shared" si="3"/>
        <v>74427.667587862627</v>
      </c>
      <c r="S23" s="45">
        <f t="shared" si="4"/>
        <v>62970.988247961868</v>
      </c>
      <c r="T23" s="45">
        <f t="shared" si="6"/>
        <v>89885.713353599902</v>
      </c>
      <c r="U23">
        <v>1</v>
      </c>
    </row>
    <row r="24" spans="1:28" x14ac:dyDescent="0.25">
      <c r="A24">
        <v>22</v>
      </c>
      <c r="B24" s="30" t="s">
        <v>71</v>
      </c>
      <c r="C24">
        <v>1992</v>
      </c>
      <c r="D24" s="31" t="s">
        <v>45</v>
      </c>
      <c r="E24" s="1">
        <v>2</v>
      </c>
      <c r="F24" s="4" t="s">
        <v>8</v>
      </c>
      <c r="G24" s="1">
        <v>1000</v>
      </c>
      <c r="H24" s="1">
        <v>0.56673962638140096</v>
      </c>
      <c r="I24" s="1">
        <v>0.54577695942271953</v>
      </c>
      <c r="J24" s="1">
        <v>9.84395906556505E-2</v>
      </c>
      <c r="K24" s="1">
        <v>0.43757745069781651</v>
      </c>
      <c r="L24" s="1">
        <v>0.75305743220325505</v>
      </c>
      <c r="M24" s="9">
        <f>30*447.6</f>
        <v>13428</v>
      </c>
      <c r="N24" s="110">
        <f t="shared" si="0"/>
        <v>7328.6930111282782</v>
      </c>
      <c r="O24" s="12">
        <f t="shared" si="1"/>
        <v>5875.7900079702804</v>
      </c>
      <c r="P24" s="12">
        <f t="shared" si="2"/>
        <v>10112.055199625309</v>
      </c>
      <c r="Q24">
        <v>6.5</v>
      </c>
      <c r="R24" s="45">
        <f t="shared" si="3"/>
        <v>47636.504572333812</v>
      </c>
      <c r="S24" s="45">
        <f t="shared" si="4"/>
        <v>38192.635051806821</v>
      </c>
      <c r="T24" s="45">
        <f t="shared" si="6"/>
        <v>65728.358797564506</v>
      </c>
      <c r="U24">
        <v>2</v>
      </c>
    </row>
    <row r="25" spans="1:28" x14ac:dyDescent="0.25">
      <c r="A25">
        <v>23</v>
      </c>
      <c r="B25" s="30" t="s">
        <v>71</v>
      </c>
      <c r="C25">
        <v>1992</v>
      </c>
      <c r="D25" s="31" t="s">
        <v>45</v>
      </c>
      <c r="E25" s="1">
        <v>3</v>
      </c>
      <c r="F25" s="4" t="s">
        <v>9</v>
      </c>
      <c r="G25" s="1">
        <v>1000</v>
      </c>
      <c r="H25" s="1">
        <v>0.12517341111192701</v>
      </c>
      <c r="I25" s="1">
        <v>0.12371085166534262</v>
      </c>
      <c r="J25" s="1">
        <v>1.3434479732700009E-2</v>
      </c>
      <c r="K25" s="1">
        <v>0.10514337235083496</v>
      </c>
      <c r="L25" s="1">
        <v>0.14949485778400942</v>
      </c>
      <c r="M25" s="9">
        <f>30*728.5</f>
        <v>21855</v>
      </c>
      <c r="N25" s="110">
        <f t="shared" si="0"/>
        <v>2703.7006631460631</v>
      </c>
      <c r="O25" s="12">
        <f t="shared" si="1"/>
        <v>2297.908402727498</v>
      </c>
      <c r="P25" s="12">
        <f t="shared" si="2"/>
        <v>3267.2101168695258</v>
      </c>
      <c r="Q25">
        <v>4.8</v>
      </c>
      <c r="R25" s="45">
        <f t="shared" si="3"/>
        <v>12977.763183101102</v>
      </c>
      <c r="S25" s="45">
        <f t="shared" si="4"/>
        <v>11029.960333091991</v>
      </c>
      <c r="T25" s="45">
        <f t="shared" si="6"/>
        <v>15682.608560973724</v>
      </c>
      <c r="U25">
        <v>3</v>
      </c>
    </row>
    <row r="26" spans="1:28" x14ac:dyDescent="0.25">
      <c r="A26">
        <v>24</v>
      </c>
      <c r="B26" s="30" t="s">
        <v>71</v>
      </c>
      <c r="C26">
        <v>1992</v>
      </c>
      <c r="D26" s="31" t="s">
        <v>45</v>
      </c>
      <c r="E26" s="1">
        <v>4</v>
      </c>
      <c r="F26" s="4" t="s">
        <v>10</v>
      </c>
      <c r="G26" s="1">
        <v>1000</v>
      </c>
      <c r="H26" s="1">
        <v>4.3008789246470711E-2</v>
      </c>
      <c r="I26" s="1">
        <v>4.1629685942561064E-2</v>
      </c>
      <c r="J26" s="1">
        <v>8.016439781770553E-3</v>
      </c>
      <c r="K26" s="1">
        <v>3.2345031084565365E-2</v>
      </c>
      <c r="L26" s="1">
        <v>5.7619048914336529E-2</v>
      </c>
      <c r="M26" s="9">
        <f>30*735.7</f>
        <v>22071</v>
      </c>
      <c r="N26" s="110">
        <f t="shared" si="0"/>
        <v>918.80879843826528</v>
      </c>
      <c r="O26" s="12">
        <f t="shared" si="1"/>
        <v>713.88718106744216</v>
      </c>
      <c r="P26" s="12">
        <f t="shared" si="2"/>
        <v>1271.7100285883216</v>
      </c>
      <c r="Q26">
        <v>3.2</v>
      </c>
      <c r="R26" s="45">
        <f t="shared" si="3"/>
        <v>2940.1881550024491</v>
      </c>
      <c r="S26" s="45">
        <f t="shared" si="4"/>
        <v>2284.4389794158151</v>
      </c>
      <c r="T26" s="45">
        <f t="shared" si="6"/>
        <v>4069.4720914826294</v>
      </c>
      <c r="U26">
        <v>4</v>
      </c>
    </row>
    <row r="27" spans="1:28" x14ac:dyDescent="0.25">
      <c r="A27">
        <v>25</v>
      </c>
      <c r="B27" s="30" t="s">
        <v>71</v>
      </c>
      <c r="C27">
        <v>1992</v>
      </c>
      <c r="D27" s="31" t="s">
        <v>45</v>
      </c>
      <c r="E27" s="1">
        <v>5</v>
      </c>
      <c r="F27" s="4" t="s">
        <v>11</v>
      </c>
      <c r="G27" s="1">
        <v>1000</v>
      </c>
      <c r="H27" s="1">
        <v>1.0552733150240252E-2</v>
      </c>
      <c r="I27" s="1">
        <v>8.640332196210956E-3</v>
      </c>
      <c r="J27" s="1">
        <v>7.2178138242125368E-3</v>
      </c>
      <c r="K27" s="1">
        <v>5.6358146226299748E-3</v>
      </c>
      <c r="L27" s="1">
        <v>2.2672192604640033E-2</v>
      </c>
      <c r="M27" s="9">
        <f>30*319.7</f>
        <v>9591</v>
      </c>
      <c r="N27" s="110">
        <f t="shared" si="0"/>
        <v>82.869426093859275</v>
      </c>
      <c r="O27" s="12">
        <f t="shared" si="1"/>
        <v>54.053098045644091</v>
      </c>
      <c r="P27" s="12">
        <f t="shared" si="2"/>
        <v>217.44899927110256</v>
      </c>
      <c r="Q27">
        <v>0.3</v>
      </c>
      <c r="R27" s="45">
        <f t="shared" si="3"/>
        <v>24.860827828157781</v>
      </c>
      <c r="S27" s="45">
        <f t="shared" si="4"/>
        <v>16.215929413693228</v>
      </c>
      <c r="T27" s="45">
        <f t="shared" si="6"/>
        <v>65.234699781330761</v>
      </c>
      <c r="U27">
        <v>5</v>
      </c>
    </row>
    <row r="28" spans="1:28" x14ac:dyDescent="0.25">
      <c r="A28">
        <v>26</v>
      </c>
      <c r="B28" s="30" t="s">
        <v>71</v>
      </c>
      <c r="C28">
        <v>1992</v>
      </c>
      <c r="D28" s="31" t="s">
        <v>45</v>
      </c>
      <c r="E28" s="1">
        <v>6</v>
      </c>
      <c r="F28" s="4" t="s">
        <v>12</v>
      </c>
      <c r="G28" s="1">
        <v>1000</v>
      </c>
      <c r="H28" s="1">
        <v>4.4008517309616028E-3</v>
      </c>
      <c r="I28" s="1">
        <v>2.9061210616731841E-3</v>
      </c>
      <c r="J28" s="1">
        <v>5.3899892439404811E-3</v>
      </c>
      <c r="K28" s="1">
        <v>1.4797903587830232E-3</v>
      </c>
      <c r="L28" s="1">
        <v>1.1582276949814075E-2</v>
      </c>
      <c r="M28" s="9">
        <f>3*263.4</f>
        <v>790.19999999999993</v>
      </c>
      <c r="N28" s="110">
        <f t="shared" si="0"/>
        <v>2.2964168629341497</v>
      </c>
      <c r="O28" s="12">
        <f t="shared" si="1"/>
        <v>1.1693303415103449</v>
      </c>
      <c r="P28" s="12">
        <f t="shared" si="2"/>
        <v>9.1523152457430808</v>
      </c>
      <c r="Q28">
        <v>5.2</v>
      </c>
      <c r="R28" s="45">
        <f t="shared" si="3"/>
        <v>11.941367687257578</v>
      </c>
      <c r="S28" s="45">
        <f t="shared" si="4"/>
        <v>6.0805177758537932</v>
      </c>
      <c r="T28" s="45">
        <f t="shared" si="6"/>
        <v>47.592039277864025</v>
      </c>
      <c r="U28">
        <v>6</v>
      </c>
    </row>
    <row r="29" spans="1:28" s="55" customFormat="1" x14ac:dyDescent="0.25">
      <c r="A29">
        <v>27</v>
      </c>
      <c r="B29" s="54" t="s">
        <v>72</v>
      </c>
      <c r="C29" s="55">
        <v>1996</v>
      </c>
      <c r="D29" s="56" t="s">
        <v>45</v>
      </c>
      <c r="E29" s="57">
        <v>1</v>
      </c>
      <c r="F29" s="58" t="s">
        <v>7</v>
      </c>
      <c r="G29" s="57">
        <v>1000</v>
      </c>
      <c r="H29" s="57">
        <v>1.4752945431721744E-3</v>
      </c>
      <c r="I29" s="57">
        <v>1.4284188263916243E-3</v>
      </c>
      <c r="J29" s="57">
        <v>3.0512248620824869E-4</v>
      </c>
      <c r="K29" s="57">
        <v>1.0344989901438749E-3</v>
      </c>
      <c r="L29" s="57">
        <v>2.0193444332978119E-3</v>
      </c>
      <c r="M29" s="59">
        <f>120*739</f>
        <v>88680</v>
      </c>
      <c r="N29" s="111">
        <f t="shared" si="0"/>
        <v>126.67218152440924</v>
      </c>
      <c r="O29" s="60">
        <f t="shared" si="1"/>
        <v>91.739370445958826</v>
      </c>
      <c r="P29" s="60">
        <f t="shared" si="2"/>
        <v>179.07546434484996</v>
      </c>
      <c r="Q29" s="55">
        <v>9.6</v>
      </c>
      <c r="R29" s="61">
        <f t="shared" si="3"/>
        <v>1216.0529426343287</v>
      </c>
      <c r="S29" s="45">
        <f t="shared" si="4"/>
        <v>880.69795628120471</v>
      </c>
      <c r="T29" s="45">
        <f t="shared" si="6"/>
        <v>1719.1244577105597</v>
      </c>
      <c r="U29" s="55">
        <v>5</v>
      </c>
      <c r="V29" s="16"/>
      <c r="W29" s="16"/>
      <c r="X29" s="16"/>
      <c r="Y29" s="16"/>
      <c r="Z29" s="16"/>
      <c r="AA29" s="16"/>
      <c r="AB29" s="16"/>
    </row>
    <row r="30" spans="1:28" s="55" customFormat="1" x14ac:dyDescent="0.25">
      <c r="A30">
        <v>28</v>
      </c>
      <c r="B30" s="54" t="s">
        <v>72</v>
      </c>
      <c r="C30" s="55">
        <v>1996</v>
      </c>
      <c r="D30" s="56" t="s">
        <v>45</v>
      </c>
      <c r="E30" s="57">
        <v>2</v>
      </c>
      <c r="F30" s="58" t="s">
        <v>8</v>
      </c>
      <c r="G30" s="57">
        <v>1000</v>
      </c>
      <c r="H30" s="57">
        <v>5.0677567418402639E-2</v>
      </c>
      <c r="I30" s="57">
        <v>4.6581694831384537E-2</v>
      </c>
      <c r="J30" s="57">
        <v>2.1670550476386632E-2</v>
      </c>
      <c r="K30" s="57">
        <v>2.5024728092355522E-2</v>
      </c>
      <c r="L30" s="57">
        <v>9.2749556928472657E-2</v>
      </c>
      <c r="M30" s="59">
        <f>30*463.6</f>
        <v>13908</v>
      </c>
      <c r="N30" s="111">
        <f t="shared" si="0"/>
        <v>647.85821171489613</v>
      </c>
      <c r="O30" s="60">
        <f t="shared" si="1"/>
        <v>348.04391830848061</v>
      </c>
      <c r="P30" s="60">
        <f t="shared" si="2"/>
        <v>1289.9608377611978</v>
      </c>
      <c r="Q30" s="55">
        <v>13.1</v>
      </c>
      <c r="R30" s="61">
        <f t="shared" si="3"/>
        <v>8486.9425734651395</v>
      </c>
      <c r="S30" s="45">
        <f t="shared" si="4"/>
        <v>4559.3753298410957</v>
      </c>
      <c r="T30" s="45">
        <f t="shared" si="6"/>
        <v>16898.48697467169</v>
      </c>
      <c r="U30" s="55">
        <v>2</v>
      </c>
      <c r="V30" s="16"/>
      <c r="W30" s="16"/>
      <c r="X30" s="16"/>
      <c r="Y30" s="16"/>
      <c r="Z30" s="16"/>
      <c r="AA30" s="16"/>
      <c r="AB30" s="16"/>
    </row>
    <row r="31" spans="1:28" s="55" customFormat="1" x14ac:dyDescent="0.25">
      <c r="A31">
        <v>29</v>
      </c>
      <c r="B31" s="54" t="s">
        <v>72</v>
      </c>
      <c r="C31" s="55">
        <v>1996</v>
      </c>
      <c r="D31" s="56" t="s">
        <v>45</v>
      </c>
      <c r="E31" s="57">
        <v>3</v>
      </c>
      <c r="F31" s="58" t="s">
        <v>9</v>
      </c>
      <c r="G31" s="57">
        <v>1000</v>
      </c>
      <c r="H31" s="57">
        <v>5.4064725466808614E-2</v>
      </c>
      <c r="I31" s="57">
        <v>5.3074607697576701E-2</v>
      </c>
      <c r="J31" s="57">
        <v>1.1830929585931411E-2</v>
      </c>
      <c r="K31" s="57">
        <v>3.6977212151068348E-2</v>
      </c>
      <c r="L31" s="57">
        <v>7.489890760030328E-2</v>
      </c>
      <c r="M31" s="59">
        <f>30*409.3</f>
        <v>12279</v>
      </c>
      <c r="N31" s="111">
        <f t="shared" si="0"/>
        <v>651.70310791854433</v>
      </c>
      <c r="O31" s="60">
        <f t="shared" si="1"/>
        <v>454.04318800296824</v>
      </c>
      <c r="P31" s="60">
        <f t="shared" si="2"/>
        <v>919.68368642412395</v>
      </c>
      <c r="Q31" s="55">
        <v>9.6999999999999993</v>
      </c>
      <c r="R31" s="61">
        <f t="shared" si="3"/>
        <v>6321.5201468098794</v>
      </c>
      <c r="S31" s="45">
        <f t="shared" si="4"/>
        <v>4404.2189236287913</v>
      </c>
      <c r="T31" s="45">
        <f t="shared" si="6"/>
        <v>8920.9317583140019</v>
      </c>
      <c r="U31" s="55">
        <v>4</v>
      </c>
      <c r="V31" s="16"/>
      <c r="W31" s="16"/>
      <c r="X31" s="16"/>
      <c r="Y31" s="16"/>
      <c r="Z31" s="16"/>
      <c r="AA31" s="16"/>
      <c r="AB31" s="16"/>
    </row>
    <row r="32" spans="1:28" s="55" customFormat="1" x14ac:dyDescent="0.25">
      <c r="A32">
        <v>30</v>
      </c>
      <c r="B32" s="54" t="s">
        <v>72</v>
      </c>
      <c r="C32" s="55">
        <v>1996</v>
      </c>
      <c r="D32" s="56" t="s">
        <v>45</v>
      </c>
      <c r="E32" s="57">
        <v>4</v>
      </c>
      <c r="F32" s="58" t="s">
        <v>10</v>
      </c>
      <c r="G32" s="57">
        <v>1000</v>
      </c>
      <c r="H32" s="57">
        <v>0.12006004555552052</v>
      </c>
      <c r="I32" s="57">
        <v>0.11742870783957088</v>
      </c>
      <c r="J32" s="57">
        <v>2.1692364539652696E-2</v>
      </c>
      <c r="K32" s="57">
        <v>9.0180225869752662E-2</v>
      </c>
      <c r="L32" s="57">
        <v>0.15976047729961035</v>
      </c>
      <c r="M32" s="59">
        <f>30*396.3</f>
        <v>11889</v>
      </c>
      <c r="N32" s="111">
        <f t="shared" si="0"/>
        <v>1396.1099075046582</v>
      </c>
      <c r="O32" s="60">
        <f t="shared" si="1"/>
        <v>1072.1527053654893</v>
      </c>
      <c r="P32" s="60">
        <f t="shared" si="2"/>
        <v>1899.3923146150673</v>
      </c>
      <c r="Q32" s="55">
        <v>17.5</v>
      </c>
      <c r="R32" s="61">
        <f t="shared" si="3"/>
        <v>24431.923381331519</v>
      </c>
      <c r="S32" s="45">
        <f t="shared" si="4"/>
        <v>18762.672343896062</v>
      </c>
      <c r="T32" s="45">
        <f t="shared" si="6"/>
        <v>33239.365505763679</v>
      </c>
      <c r="U32" s="55">
        <v>1</v>
      </c>
      <c r="V32" s="16"/>
      <c r="W32" s="16"/>
      <c r="X32" s="16"/>
      <c r="Y32" s="16"/>
      <c r="Z32" s="16"/>
      <c r="AA32" s="16"/>
      <c r="AB32" s="16"/>
    </row>
    <row r="33" spans="1:29" s="55" customFormat="1" x14ac:dyDescent="0.25">
      <c r="A33">
        <v>31</v>
      </c>
      <c r="B33" s="54" t="s">
        <v>72</v>
      </c>
      <c r="C33" s="55">
        <v>1996</v>
      </c>
      <c r="D33" s="56" t="s">
        <v>45</v>
      </c>
      <c r="E33" s="57">
        <v>5</v>
      </c>
      <c r="F33" s="58" t="s">
        <v>11</v>
      </c>
      <c r="G33" s="57">
        <v>1000</v>
      </c>
      <c r="H33" s="57">
        <v>9.4826595838934755E-2</v>
      </c>
      <c r="I33" s="57">
        <v>8.6986783693451572E-2</v>
      </c>
      <c r="J33" s="57">
        <v>3.7659801485658159E-2</v>
      </c>
      <c r="K33" s="57">
        <v>4.3750948419597785E-2</v>
      </c>
      <c r="L33" s="57">
        <v>0.1665243633461497</v>
      </c>
      <c r="M33" s="59">
        <f>30*206.1</f>
        <v>6183</v>
      </c>
      <c r="N33" s="111">
        <f t="shared" si="0"/>
        <v>537.83928357661102</v>
      </c>
      <c r="O33" s="60">
        <f t="shared" si="1"/>
        <v>270.51211407837309</v>
      </c>
      <c r="P33" s="60">
        <f t="shared" si="2"/>
        <v>1029.6201385692436</v>
      </c>
      <c r="Q33" s="55">
        <v>13</v>
      </c>
      <c r="R33" s="61">
        <f t="shared" si="3"/>
        <v>6991.9106864959431</v>
      </c>
      <c r="S33" s="45">
        <f t="shared" si="4"/>
        <v>3516.6574830188501</v>
      </c>
      <c r="T33" s="45">
        <f t="shared" si="6"/>
        <v>13385.061801400167</v>
      </c>
      <c r="U33" s="55">
        <v>3</v>
      </c>
      <c r="V33" s="16"/>
      <c r="W33" s="16"/>
      <c r="X33" s="16"/>
      <c r="Y33" s="16"/>
      <c r="Z33" s="16"/>
      <c r="AA33" s="16"/>
      <c r="AB33" s="16"/>
    </row>
    <row r="34" spans="1:29" x14ac:dyDescent="0.25">
      <c r="A34">
        <v>32</v>
      </c>
      <c r="B34" t="s">
        <v>48</v>
      </c>
      <c r="C34">
        <v>1999</v>
      </c>
      <c r="D34" s="31" t="s">
        <v>45</v>
      </c>
      <c r="E34" s="1">
        <v>1</v>
      </c>
      <c r="F34" s="4" t="s">
        <v>7</v>
      </c>
      <c r="G34" s="1">
        <v>1000</v>
      </c>
      <c r="H34" s="33">
        <v>0.28622578980733288</v>
      </c>
      <c r="I34" s="33">
        <v>0.24578255378136216</v>
      </c>
      <c r="J34" s="33">
        <v>0.17373458705012701</v>
      </c>
      <c r="K34" s="33">
        <v>8.9360213464391464E-2</v>
      </c>
      <c r="L34" s="33">
        <v>0.6464996817203944</v>
      </c>
      <c r="M34" s="9">
        <v>16607.070930057202</v>
      </c>
      <c r="N34" s="110">
        <f t="shared" si="0"/>
        <v>4081.7283040176803</v>
      </c>
      <c r="O34" s="12">
        <f t="shared" si="1"/>
        <v>1484.0114033282016</v>
      </c>
      <c r="P34" s="12">
        <f t="shared" si="2"/>
        <v>10736.466070589995</v>
      </c>
      <c r="Q34">
        <v>11</v>
      </c>
      <c r="R34" s="45">
        <f t="shared" si="3"/>
        <v>44899.011344194485</v>
      </c>
      <c r="S34" s="45">
        <f t="shared" si="4"/>
        <v>16324.125436610218</v>
      </c>
      <c r="T34" s="45">
        <f t="shared" si="6"/>
        <v>118101.12677648995</v>
      </c>
      <c r="U34" s="16">
        <v>2</v>
      </c>
    </row>
    <row r="35" spans="1:29" x14ac:dyDescent="0.25">
      <c r="A35">
        <v>33</v>
      </c>
      <c r="B35" t="s">
        <v>48</v>
      </c>
      <c r="C35">
        <v>1999</v>
      </c>
      <c r="D35" s="31" t="s">
        <v>45</v>
      </c>
      <c r="E35" s="1">
        <v>2</v>
      </c>
      <c r="F35" s="4" t="s">
        <v>8</v>
      </c>
      <c r="G35" s="1">
        <v>1000</v>
      </c>
      <c r="H35" s="33">
        <v>0.78603291731450031</v>
      </c>
      <c r="I35" s="33">
        <v>0.75733416794970676</v>
      </c>
      <c r="J35" s="33">
        <v>0.15410157371228153</v>
      </c>
      <c r="K35" s="33">
        <v>0.58257063148285804</v>
      </c>
      <c r="L35" s="33">
        <v>1.0689262800552024</v>
      </c>
      <c r="M35" s="9">
        <v>10396.801867846863</v>
      </c>
      <c r="N35" s="110">
        <f t="shared" ref="N35:N61" si="7">$M35*I35</f>
        <v>7873.8532919237614</v>
      </c>
      <c r="O35" s="12">
        <f t="shared" ref="O35:O61" si="8">$M35*K35</f>
        <v>6056.8714295537047</v>
      </c>
      <c r="P35" s="12">
        <f t="shared" ref="P35:P61" si="9">$M35*L35</f>
        <v>11113.414745068529</v>
      </c>
      <c r="Q35">
        <v>13.6</v>
      </c>
      <c r="R35" s="45">
        <f t="shared" si="3"/>
        <v>107084.40477016315</v>
      </c>
      <c r="S35" s="45">
        <f t="shared" si="4"/>
        <v>82373.451441930389</v>
      </c>
      <c r="T35" s="45">
        <f t="shared" si="6"/>
        <v>151142.440532932</v>
      </c>
      <c r="U35" s="16">
        <v>1</v>
      </c>
    </row>
    <row r="36" spans="1:29" x14ac:dyDescent="0.25">
      <c r="A36">
        <v>34</v>
      </c>
      <c r="B36" t="s">
        <v>48</v>
      </c>
      <c r="C36">
        <v>1999</v>
      </c>
      <c r="D36" s="31" t="s">
        <v>45</v>
      </c>
      <c r="E36" s="1">
        <v>3</v>
      </c>
      <c r="F36" s="4" t="s">
        <v>9</v>
      </c>
      <c r="G36" s="1">
        <v>1000</v>
      </c>
      <c r="H36" s="33">
        <v>7.5617449084886046E-2</v>
      </c>
      <c r="I36" s="33">
        <v>5.5799937247593905E-2</v>
      </c>
      <c r="J36" s="33">
        <v>5.9761077977453683E-2</v>
      </c>
      <c r="K36" s="33">
        <v>3.5850518613387825E-2</v>
      </c>
      <c r="L36" s="33">
        <v>0.23227293121139037</v>
      </c>
      <c r="M36" s="9">
        <v>11620.532441749217</v>
      </c>
      <c r="N36" s="110">
        <f t="shared" si="7"/>
        <v>648.42498103323555</v>
      </c>
      <c r="O36" s="12">
        <f t="shared" si="8"/>
        <v>416.60211460040739</v>
      </c>
      <c r="P36" s="12">
        <f t="shared" si="9"/>
        <v>2699.1351324821462</v>
      </c>
      <c r="Q36">
        <v>13.6</v>
      </c>
      <c r="R36" s="45">
        <f t="shared" si="3"/>
        <v>8818.579742052003</v>
      </c>
      <c r="S36" s="45">
        <f t="shared" ref="S36:S67" si="10">O36*$Q36</f>
        <v>5665.7887585655408</v>
      </c>
      <c r="T36" s="45">
        <f t="shared" si="6"/>
        <v>36708.23780175719</v>
      </c>
      <c r="U36" s="16">
        <v>5</v>
      </c>
    </row>
    <row r="37" spans="1:29" x14ac:dyDescent="0.25">
      <c r="A37">
        <v>35</v>
      </c>
      <c r="B37" t="s">
        <v>48</v>
      </c>
      <c r="C37">
        <v>1999</v>
      </c>
      <c r="D37" s="31" t="s">
        <v>45</v>
      </c>
      <c r="E37" s="1">
        <v>4</v>
      </c>
      <c r="F37" s="4" t="s">
        <v>10</v>
      </c>
      <c r="G37" s="1">
        <v>1000</v>
      </c>
      <c r="H37" s="33">
        <v>0.24503178422695279</v>
      </c>
      <c r="I37" s="33">
        <v>0.22139826455746445</v>
      </c>
      <c r="J37" s="33">
        <v>9.3169826467921713E-2</v>
      </c>
      <c r="K37" s="33">
        <v>0.14027506602982681</v>
      </c>
      <c r="L37" s="33">
        <v>0.41891002591890503</v>
      </c>
      <c r="M37" s="9">
        <v>10426.249929785692</v>
      </c>
      <c r="N37" s="110">
        <f t="shared" si="7"/>
        <v>2308.3536402969376</v>
      </c>
      <c r="O37" s="12">
        <f t="shared" si="8"/>
        <v>1462.5428973441651</v>
      </c>
      <c r="P37" s="12">
        <f t="shared" si="9"/>
        <v>4367.660628323506</v>
      </c>
      <c r="Q37">
        <v>12.6</v>
      </c>
      <c r="R37" s="45">
        <f t="shared" si="3"/>
        <v>29085.255867741413</v>
      </c>
      <c r="S37" s="45">
        <f t="shared" si="10"/>
        <v>18428.040506536479</v>
      </c>
      <c r="T37" s="45">
        <f t="shared" si="6"/>
        <v>55032.523916876176</v>
      </c>
      <c r="U37" s="16">
        <v>3</v>
      </c>
    </row>
    <row r="38" spans="1:29" x14ac:dyDescent="0.25">
      <c r="A38">
        <v>36</v>
      </c>
      <c r="B38" t="s">
        <v>48</v>
      </c>
      <c r="C38">
        <v>1999</v>
      </c>
      <c r="D38" s="31" t="s">
        <v>45</v>
      </c>
      <c r="E38" s="1">
        <v>5</v>
      </c>
      <c r="F38" s="4" t="s">
        <v>11</v>
      </c>
      <c r="G38" s="1">
        <v>1000</v>
      </c>
      <c r="H38" s="33">
        <v>0.16925023084754404</v>
      </c>
      <c r="I38" s="33">
        <v>0.16673960425285667</v>
      </c>
      <c r="J38" s="33">
        <v>3.880618477657212E-2</v>
      </c>
      <c r="K38" s="33">
        <v>0.10825856734274661</v>
      </c>
      <c r="L38" s="33">
        <v>0.23412628848717038</v>
      </c>
      <c r="M38" s="9">
        <v>3638.4716528861413</v>
      </c>
      <c r="N38" s="110">
        <f t="shared" si="7"/>
        <v>606.67732348747245</v>
      </c>
      <c r="O38" s="12">
        <f t="shared" si="8"/>
        <v>393.89572845864888</v>
      </c>
      <c r="P38" s="12">
        <f t="shared" si="9"/>
        <v>851.86186385601241</v>
      </c>
      <c r="Q38">
        <v>12.6</v>
      </c>
      <c r="R38" s="45">
        <f t="shared" si="3"/>
        <v>7644.1342759421523</v>
      </c>
      <c r="S38" s="45">
        <f t="shared" si="10"/>
        <v>4963.0861785789757</v>
      </c>
      <c r="T38" s="45">
        <f t="shared" si="6"/>
        <v>10733.459484585755</v>
      </c>
      <c r="U38" s="16">
        <v>6</v>
      </c>
    </row>
    <row r="39" spans="1:29" x14ac:dyDescent="0.25">
      <c r="A39">
        <v>37</v>
      </c>
      <c r="B39" t="s">
        <v>48</v>
      </c>
      <c r="C39">
        <v>1999</v>
      </c>
      <c r="D39" s="31" t="s">
        <v>45</v>
      </c>
      <c r="E39" s="1">
        <v>6</v>
      </c>
      <c r="F39" s="4" t="s">
        <v>12</v>
      </c>
      <c r="G39" s="1">
        <v>1000</v>
      </c>
      <c r="H39" s="33">
        <v>9.6049208820309123E-2</v>
      </c>
      <c r="I39" s="33">
        <v>8.063385146771497E-2</v>
      </c>
      <c r="J39" s="33">
        <v>4.0014341360169514E-2</v>
      </c>
      <c r="K39" s="33">
        <v>5.6607447230391288E-2</v>
      </c>
      <c r="L39" s="33">
        <v>0.18333347765720545</v>
      </c>
      <c r="M39" s="9">
        <v>18478.658866613743</v>
      </c>
      <c r="N39" s="110">
        <f t="shared" si="7"/>
        <v>1490.0054343731069</v>
      </c>
      <c r="O39" s="12">
        <f t="shared" si="8"/>
        <v>1046.0297066802395</v>
      </c>
      <c r="P39" s="12">
        <f t="shared" si="9"/>
        <v>3387.7567924574519</v>
      </c>
      <c r="Q39">
        <v>12.6</v>
      </c>
      <c r="R39" s="45">
        <f t="shared" si="3"/>
        <v>18774.068473101146</v>
      </c>
      <c r="S39" s="45">
        <f t="shared" si="10"/>
        <v>13179.974304171017</v>
      </c>
      <c r="T39" s="45">
        <f t="shared" si="6"/>
        <v>42685.735584963892</v>
      </c>
      <c r="U39" s="16">
        <v>4</v>
      </c>
    </row>
    <row r="40" spans="1:29" s="55" customFormat="1" x14ac:dyDescent="0.25">
      <c r="A40">
        <v>38</v>
      </c>
      <c r="B40" s="55" t="s">
        <v>49</v>
      </c>
      <c r="C40" s="55">
        <v>2000</v>
      </c>
      <c r="D40" s="56" t="s">
        <v>45</v>
      </c>
      <c r="E40" s="55">
        <v>1</v>
      </c>
      <c r="F40" s="58" t="s">
        <v>7</v>
      </c>
      <c r="G40" s="57">
        <v>1000</v>
      </c>
      <c r="H40" s="57">
        <v>0.19334554600143763</v>
      </c>
      <c r="I40" s="57">
        <v>0.19204153900273002</v>
      </c>
      <c r="J40" s="57">
        <v>1.5817101305637671E-2</v>
      </c>
      <c r="K40" s="57">
        <v>0.17015079076981476</v>
      </c>
      <c r="L40" s="57">
        <v>0.22153952128045462</v>
      </c>
      <c r="M40" s="55">
        <v>26709.392178515798</v>
      </c>
      <c r="N40" s="111">
        <f t="shared" si="7"/>
        <v>5129.3127797896541</v>
      </c>
      <c r="O40" s="60">
        <f t="shared" si="8"/>
        <v>4544.6242001555684</v>
      </c>
      <c r="P40" s="60">
        <f t="shared" si="9"/>
        <v>5917.1859569203089</v>
      </c>
      <c r="Q40" s="55">
        <v>11.2</v>
      </c>
      <c r="R40" s="61">
        <f t="shared" si="3"/>
        <v>57448.30313364412</v>
      </c>
      <c r="S40" s="45">
        <f t="shared" si="10"/>
        <v>50899.791041742363</v>
      </c>
      <c r="T40" s="45">
        <f t="shared" si="6"/>
        <v>66272.482717507461</v>
      </c>
      <c r="U40" s="55">
        <v>6</v>
      </c>
      <c r="V40" s="16"/>
      <c r="W40" s="16"/>
      <c r="X40" s="16"/>
      <c r="Y40" s="16"/>
      <c r="Z40" s="16"/>
      <c r="AA40" s="16"/>
      <c r="AB40" s="16"/>
      <c r="AC40"/>
    </row>
    <row r="41" spans="1:29" s="55" customFormat="1" x14ac:dyDescent="0.25">
      <c r="A41">
        <v>39</v>
      </c>
      <c r="B41" s="55" t="s">
        <v>49</v>
      </c>
      <c r="C41" s="55">
        <v>2000</v>
      </c>
      <c r="D41" s="56" t="s">
        <v>45</v>
      </c>
      <c r="E41" s="55">
        <v>2</v>
      </c>
      <c r="F41" s="58" t="s">
        <v>8</v>
      </c>
      <c r="G41" s="57">
        <v>1000</v>
      </c>
      <c r="H41" s="57">
        <v>3.7042118726324032E-3</v>
      </c>
      <c r="I41" s="57">
        <v>2.0250927152073118E-3</v>
      </c>
      <c r="J41" s="57">
        <v>3.9118718504905165E-3</v>
      </c>
      <c r="K41" s="57">
        <v>9.4825543828373055E-4</v>
      </c>
      <c r="L41" s="57">
        <v>1.3292194265810572E-2</v>
      </c>
      <c r="M41" s="55">
        <v>6005.7686320795974</v>
      </c>
      <c r="N41" s="111">
        <f t="shared" si="7"/>
        <v>12.162238306044975</v>
      </c>
      <c r="O41" s="60">
        <f t="shared" si="8"/>
        <v>5.6950027664433192</v>
      </c>
      <c r="P41" s="60">
        <f t="shared" si="9"/>
        <v>79.82984337311342</v>
      </c>
      <c r="Q41" s="55">
        <v>19.399999999999999</v>
      </c>
      <c r="R41" s="61">
        <f t="shared" si="3"/>
        <v>235.94742313727249</v>
      </c>
      <c r="S41" s="45">
        <f t="shared" si="10"/>
        <v>110.48305366900038</v>
      </c>
      <c r="T41" s="45">
        <f t="shared" si="6"/>
        <v>1548.6989614384001</v>
      </c>
      <c r="U41" s="55">
        <v>11</v>
      </c>
      <c r="V41" s="16"/>
      <c r="W41" s="16"/>
      <c r="X41" s="16"/>
      <c r="Y41" s="16"/>
      <c r="Z41" s="16"/>
      <c r="AA41" s="16"/>
      <c r="AB41" s="16"/>
      <c r="AC41"/>
    </row>
    <row r="42" spans="1:29" s="55" customFormat="1" x14ac:dyDescent="0.25">
      <c r="A42">
        <v>40</v>
      </c>
      <c r="B42" s="55" t="s">
        <v>49</v>
      </c>
      <c r="C42" s="55">
        <v>2000</v>
      </c>
      <c r="D42" s="56" t="s">
        <v>45</v>
      </c>
      <c r="E42" s="55">
        <v>3</v>
      </c>
      <c r="F42" s="58" t="s">
        <v>9</v>
      </c>
      <c r="G42" s="57">
        <v>1000</v>
      </c>
      <c r="H42" s="57">
        <v>0.15015765570185899</v>
      </c>
      <c r="I42" s="57">
        <v>0.14821783220864465</v>
      </c>
      <c r="J42" s="57">
        <v>3.0366791846684647E-2</v>
      </c>
      <c r="K42" s="57">
        <v>0.10210558694279045</v>
      </c>
      <c r="L42" s="57">
        <v>0.20331565098789553</v>
      </c>
      <c r="M42" s="55">
        <v>17333.456457881595</v>
      </c>
      <c r="N42" s="111">
        <f t="shared" si="7"/>
        <v>2569.1273408701422</v>
      </c>
      <c r="O42" s="60">
        <f t="shared" si="8"/>
        <v>1769.842745379302</v>
      </c>
      <c r="P42" s="60">
        <f t="shared" si="9"/>
        <v>3524.1629836045381</v>
      </c>
      <c r="Q42" s="55">
        <v>11.6</v>
      </c>
      <c r="R42" s="61">
        <f t="shared" si="3"/>
        <v>29801.87715409365</v>
      </c>
      <c r="S42" s="45">
        <f t="shared" si="10"/>
        <v>20530.175846399903</v>
      </c>
      <c r="T42" s="45">
        <f t="shared" si="6"/>
        <v>40880.29060981264</v>
      </c>
      <c r="U42" s="55">
        <v>8</v>
      </c>
      <c r="V42" s="16"/>
      <c r="W42" s="16"/>
      <c r="X42" s="16"/>
      <c r="Y42" s="16"/>
      <c r="Z42" s="16"/>
      <c r="AA42" s="16"/>
      <c r="AB42" s="16"/>
      <c r="AC42"/>
    </row>
    <row r="43" spans="1:29" s="55" customFormat="1" x14ac:dyDescent="0.25">
      <c r="A43">
        <v>41</v>
      </c>
      <c r="B43" s="55" t="s">
        <v>49</v>
      </c>
      <c r="C43" s="55">
        <v>2000</v>
      </c>
      <c r="D43" s="56" t="s">
        <v>45</v>
      </c>
      <c r="E43" s="55">
        <v>4</v>
      </c>
      <c r="F43" s="58" t="s">
        <v>10</v>
      </c>
      <c r="G43" s="57">
        <v>1000</v>
      </c>
      <c r="H43" s="57">
        <v>0.24523228696171093</v>
      </c>
      <c r="I43" s="57">
        <v>0.24161978813928242</v>
      </c>
      <c r="J43" s="57">
        <v>3.8710417496664443E-2</v>
      </c>
      <c r="K43" s="57">
        <v>0.18816702985155254</v>
      </c>
      <c r="L43" s="57">
        <v>0.3135800332282338</v>
      </c>
      <c r="M43" s="55">
        <v>12219.309701172027</v>
      </c>
      <c r="N43" s="111">
        <f t="shared" si="7"/>
        <v>2952.4270212054635</v>
      </c>
      <c r="O43" s="60">
        <f t="shared" si="8"/>
        <v>2299.2712133058026</v>
      </c>
      <c r="P43" s="60">
        <f t="shared" si="9"/>
        <v>3831.731542119604</v>
      </c>
      <c r="Q43" s="55">
        <v>11.6</v>
      </c>
      <c r="R43" s="61">
        <f t="shared" si="3"/>
        <v>34248.153445983378</v>
      </c>
      <c r="S43" s="45">
        <f t="shared" si="10"/>
        <v>26671.546074347309</v>
      </c>
      <c r="T43" s="45">
        <f t="shared" si="6"/>
        <v>44448.085888587404</v>
      </c>
      <c r="U43" s="55">
        <v>7</v>
      </c>
      <c r="V43" s="16"/>
      <c r="W43" s="16"/>
      <c r="X43" s="16"/>
      <c r="Y43" s="16"/>
      <c r="Z43" s="16"/>
      <c r="AA43" s="16"/>
      <c r="AB43" s="16"/>
      <c r="AC43"/>
    </row>
    <row r="44" spans="1:29" s="55" customFormat="1" x14ac:dyDescent="0.25">
      <c r="A44">
        <v>42</v>
      </c>
      <c r="B44" s="55" t="s">
        <v>49</v>
      </c>
      <c r="C44" s="55">
        <v>2000</v>
      </c>
      <c r="D44" s="56" t="s">
        <v>45</v>
      </c>
      <c r="E44" s="55">
        <v>5</v>
      </c>
      <c r="F44" s="58" t="s">
        <v>11</v>
      </c>
      <c r="G44" s="57">
        <v>1000</v>
      </c>
      <c r="H44" s="57">
        <v>4.9688422757716202E-3</v>
      </c>
      <c r="I44" s="57">
        <v>4.7215802496159793E-3</v>
      </c>
      <c r="J44" s="57">
        <v>1.1211075652277096E-3</v>
      </c>
      <c r="K44" s="57">
        <v>3.579389550658319E-3</v>
      </c>
      <c r="L44" s="57">
        <v>7.0577272483722166E-3</v>
      </c>
      <c r="M44" s="55">
        <v>24378.087275025355</v>
      </c>
      <c r="N44" s="111">
        <f t="shared" si="7"/>
        <v>115.10309540117434</v>
      </c>
      <c r="O44" s="60">
        <f t="shared" si="8"/>
        <v>87.258670857262288</v>
      </c>
      <c r="P44" s="60">
        <f t="shared" si="9"/>
        <v>172.05389082414246</v>
      </c>
      <c r="Q44" s="55">
        <v>10.9</v>
      </c>
      <c r="R44" s="61">
        <f t="shared" si="3"/>
        <v>1254.6237398728003</v>
      </c>
      <c r="S44" s="45">
        <f t="shared" si="10"/>
        <v>951.11951234415892</v>
      </c>
      <c r="T44" s="45">
        <f t="shared" si="6"/>
        <v>1875.3874099831528</v>
      </c>
      <c r="U44" s="55">
        <v>10</v>
      </c>
      <c r="V44" s="16"/>
      <c r="W44" s="16"/>
      <c r="X44" s="16"/>
      <c r="Y44" s="16"/>
      <c r="Z44" s="16"/>
      <c r="AA44" s="16"/>
      <c r="AB44" s="16"/>
      <c r="AC44"/>
    </row>
    <row r="45" spans="1:29" s="55" customFormat="1" x14ac:dyDescent="0.25">
      <c r="A45">
        <v>43</v>
      </c>
      <c r="B45" s="55" t="s">
        <v>49</v>
      </c>
      <c r="C45" s="55">
        <v>2000</v>
      </c>
      <c r="D45" s="56" t="s">
        <v>45</v>
      </c>
      <c r="E45" s="55">
        <v>6</v>
      </c>
      <c r="F45" s="58" t="s">
        <v>12</v>
      </c>
      <c r="G45" s="57">
        <v>1000</v>
      </c>
      <c r="H45" s="57">
        <v>5.9950867652771474E-3</v>
      </c>
      <c r="I45" s="57">
        <v>5.3922679403238562E-3</v>
      </c>
      <c r="J45" s="57">
        <v>2.3612762335199506E-3</v>
      </c>
      <c r="K45" s="57">
        <v>3.2535578149322968E-3</v>
      </c>
      <c r="L45" s="57">
        <v>1.0694734297099471E-2</v>
      </c>
      <c r="M45" s="55">
        <v>28396.111726234154</v>
      </c>
      <c r="N45" s="111">
        <f t="shared" si="7"/>
        <v>153.11944289122675</v>
      </c>
      <c r="O45" s="60">
        <f t="shared" si="8"/>
        <v>92.388391220579763</v>
      </c>
      <c r="P45" s="60">
        <f t="shared" si="9"/>
        <v>303.68886998282488</v>
      </c>
      <c r="Q45" s="55">
        <v>11.5</v>
      </c>
      <c r="R45" s="61">
        <f t="shared" si="3"/>
        <v>1760.8735932491077</v>
      </c>
      <c r="S45" s="45">
        <f t="shared" si="10"/>
        <v>1062.4664990366673</v>
      </c>
      <c r="T45" s="45">
        <f t="shared" si="6"/>
        <v>3492.4220048024863</v>
      </c>
      <c r="U45" s="55">
        <v>9</v>
      </c>
      <c r="V45" s="16"/>
      <c r="W45" s="16"/>
      <c r="X45" s="16"/>
      <c r="Y45" s="16"/>
      <c r="Z45" s="16"/>
      <c r="AA45" s="16"/>
      <c r="AB45" s="16"/>
      <c r="AC45"/>
    </row>
    <row r="46" spans="1:29" x14ac:dyDescent="0.25">
      <c r="A46">
        <v>44</v>
      </c>
      <c r="B46" t="s">
        <v>50</v>
      </c>
      <c r="C46">
        <v>2001</v>
      </c>
      <c r="D46" s="31" t="s">
        <v>45</v>
      </c>
      <c r="E46" s="1">
        <v>1</v>
      </c>
      <c r="F46" s="4" t="s">
        <v>7</v>
      </c>
      <c r="G46" s="1">
        <v>1000</v>
      </c>
      <c r="H46" s="1">
        <v>5.8622268121275353E-3</v>
      </c>
      <c r="I46" s="1">
        <v>4.1414639788384579E-3</v>
      </c>
      <c r="J46" s="1">
        <v>4.8402642693663976E-3</v>
      </c>
      <c r="K46" s="1">
        <v>3.001791128363439E-3</v>
      </c>
      <c r="L46" s="1">
        <v>1.9360922113982028E-2</v>
      </c>
      <c r="M46">
        <v>20710.167560200389</v>
      </c>
      <c r="N46" s="110">
        <f t="shared" si="7"/>
        <v>85.770412946278668</v>
      </c>
      <c r="O46" s="12">
        <f t="shared" si="8"/>
        <v>62.167597249129813</v>
      </c>
      <c r="P46" s="12">
        <f t="shared" si="9"/>
        <v>400.96794110055691</v>
      </c>
      <c r="Q46">
        <v>16</v>
      </c>
      <c r="R46" s="45">
        <f t="shared" ref="R46:R61" si="11">Q46*N46</f>
        <v>1372.3266071404587</v>
      </c>
      <c r="S46" s="45">
        <f t="shared" si="10"/>
        <v>994.681555986077</v>
      </c>
      <c r="T46" s="45">
        <f t="shared" si="6"/>
        <v>6415.4870576089106</v>
      </c>
      <c r="U46" s="16">
        <v>10</v>
      </c>
      <c r="V46" s="33"/>
      <c r="W46" s="33"/>
      <c r="X46" s="33"/>
      <c r="Y46" s="33"/>
      <c r="Z46" s="33"/>
      <c r="AA46" s="33"/>
      <c r="AB46" s="33"/>
      <c r="AC46" s="57"/>
    </row>
    <row r="47" spans="1:29" x14ac:dyDescent="0.25">
      <c r="A47">
        <v>45</v>
      </c>
      <c r="B47" t="s">
        <v>50</v>
      </c>
      <c r="C47">
        <v>2001</v>
      </c>
      <c r="D47" s="31" t="s">
        <v>45</v>
      </c>
      <c r="E47" s="1">
        <v>2</v>
      </c>
      <c r="F47" s="4" t="s">
        <v>8</v>
      </c>
      <c r="G47" s="1">
        <v>1000</v>
      </c>
      <c r="H47" s="1">
        <v>1.5184562548149906E-2</v>
      </c>
      <c r="I47" s="1">
        <v>1.3727788988184492E-2</v>
      </c>
      <c r="J47" s="1">
        <v>5.6351174589603986E-3</v>
      </c>
      <c r="K47" s="1">
        <v>9.7238576245295659E-3</v>
      </c>
      <c r="L47" s="1">
        <v>2.7505621922670032E-2</v>
      </c>
      <c r="M47">
        <v>12937.515211791189</v>
      </c>
      <c r="N47" s="110">
        <f t="shared" si="7"/>
        <v>177.60347885889644</v>
      </c>
      <c r="O47" s="12">
        <f t="shared" si="8"/>
        <v>125.802555934643</v>
      </c>
      <c r="P47" s="12">
        <f t="shared" si="9"/>
        <v>355.85440203432074</v>
      </c>
      <c r="Q47">
        <v>15.2</v>
      </c>
      <c r="R47" s="45">
        <f t="shared" si="11"/>
        <v>2699.5728786552258</v>
      </c>
      <c r="S47" s="45">
        <f t="shared" si="10"/>
        <v>1912.1988502065735</v>
      </c>
      <c r="T47" s="45">
        <f t="shared" si="6"/>
        <v>5408.9869109216752</v>
      </c>
      <c r="U47" s="16">
        <v>7</v>
      </c>
    </row>
    <row r="48" spans="1:29" x14ac:dyDescent="0.25">
      <c r="A48">
        <v>46</v>
      </c>
      <c r="B48" t="s">
        <v>50</v>
      </c>
      <c r="C48">
        <v>2001</v>
      </c>
      <c r="D48" s="31" t="s">
        <v>45</v>
      </c>
      <c r="E48" s="1">
        <v>3</v>
      </c>
      <c r="F48" s="4" t="s">
        <v>9</v>
      </c>
      <c r="G48" s="1">
        <v>1000</v>
      </c>
      <c r="H48" s="1">
        <v>0.52584448887725721</v>
      </c>
      <c r="I48" s="1">
        <v>0.50443851518591021</v>
      </c>
      <c r="J48" s="1">
        <v>0.13846954577092449</v>
      </c>
      <c r="K48" s="1">
        <v>0.3330968502550119</v>
      </c>
      <c r="L48" s="1">
        <v>0.77475298907341539</v>
      </c>
      <c r="M48">
        <v>10953.043037802479</v>
      </c>
      <c r="N48" s="110">
        <f t="shared" si="7"/>
        <v>5525.1367667564537</v>
      </c>
      <c r="O48" s="12">
        <f t="shared" si="8"/>
        <v>3648.4241365995931</v>
      </c>
      <c r="P48" s="12">
        <f t="shared" si="9"/>
        <v>8485.9028329872326</v>
      </c>
      <c r="Q48">
        <v>12.6</v>
      </c>
      <c r="R48" s="45">
        <f t="shared" si="11"/>
        <v>69616.723261131308</v>
      </c>
      <c r="S48" s="45">
        <f t="shared" si="10"/>
        <v>45970.144121154874</v>
      </c>
      <c r="T48" s="45">
        <f t="shared" si="6"/>
        <v>106922.37569563913</v>
      </c>
      <c r="U48" s="16">
        <v>1</v>
      </c>
    </row>
    <row r="49" spans="1:29" x14ac:dyDescent="0.25">
      <c r="A49">
        <v>47</v>
      </c>
      <c r="B49" t="s">
        <v>50</v>
      </c>
      <c r="C49">
        <v>2001</v>
      </c>
      <c r="D49" s="31" t="s">
        <v>45</v>
      </c>
      <c r="E49" s="1">
        <v>4</v>
      </c>
      <c r="F49" s="4" t="s">
        <v>10</v>
      </c>
      <c r="G49" s="1">
        <v>1000</v>
      </c>
      <c r="H49" s="1">
        <v>0.11560276701427423</v>
      </c>
      <c r="I49" s="1">
        <v>0.10989677407284135</v>
      </c>
      <c r="J49" s="1">
        <v>5.1644007595457744E-2</v>
      </c>
      <c r="K49" s="1">
        <v>4.2922910890592483E-2</v>
      </c>
      <c r="L49" s="1">
        <v>0.20663823494923067</v>
      </c>
      <c r="M49">
        <v>5346.4592453380883</v>
      </c>
      <c r="N49" s="110">
        <f t="shared" si="7"/>
        <v>587.55862377457379</v>
      </c>
      <c r="O49" s="12">
        <f t="shared" si="8"/>
        <v>229.48559376783109</v>
      </c>
      <c r="P49" s="12">
        <f t="shared" si="9"/>
        <v>1104.7829016846583</v>
      </c>
      <c r="Q49">
        <v>4.0999999999999996</v>
      </c>
      <c r="R49" s="45">
        <f t="shared" si="11"/>
        <v>2408.9903574757523</v>
      </c>
      <c r="S49" s="45">
        <f t="shared" si="10"/>
        <v>940.89093444810737</v>
      </c>
      <c r="T49" s="45">
        <f t="shared" si="6"/>
        <v>4529.609896907099</v>
      </c>
      <c r="U49" s="16">
        <v>8</v>
      </c>
      <c r="V49" s="33"/>
      <c r="W49" s="33"/>
      <c r="X49" s="33"/>
      <c r="Y49" s="33"/>
      <c r="Z49" s="33"/>
      <c r="AA49" s="33"/>
      <c r="AB49" s="33"/>
      <c r="AC49" s="57"/>
    </row>
    <row r="50" spans="1:29" x14ac:dyDescent="0.25">
      <c r="A50">
        <v>48</v>
      </c>
      <c r="B50" t="s">
        <v>50</v>
      </c>
      <c r="C50">
        <v>2001</v>
      </c>
      <c r="D50" s="31" t="s">
        <v>45</v>
      </c>
      <c r="E50" s="1">
        <v>5</v>
      </c>
      <c r="F50" s="4" t="s">
        <v>11</v>
      </c>
      <c r="G50" s="1">
        <v>1000</v>
      </c>
      <c r="H50" s="1">
        <v>0.13958515751941605</v>
      </c>
      <c r="I50" s="1">
        <v>6.897964610021419E-2</v>
      </c>
      <c r="J50" s="1">
        <v>0.28676010803144075</v>
      </c>
      <c r="K50" s="1">
        <v>5.1237694860886168E-2</v>
      </c>
      <c r="L50" s="1">
        <v>1.0832897959380876</v>
      </c>
      <c r="M50">
        <v>13991.101427824766</v>
      </c>
      <c r="N50" s="110">
        <f t="shared" si="7"/>
        <v>965.10122504355377</v>
      </c>
      <c r="O50" s="12">
        <f t="shared" si="8"/>
        <v>716.87178572659411</v>
      </c>
      <c r="P50" s="12">
        <f t="shared" si="9"/>
        <v>15156.417410697377</v>
      </c>
      <c r="Q50">
        <v>11.6</v>
      </c>
      <c r="R50" s="45">
        <f t="shared" si="11"/>
        <v>11195.174210505224</v>
      </c>
      <c r="S50" s="45">
        <f t="shared" si="10"/>
        <v>8315.7127144284914</v>
      </c>
      <c r="T50" s="45">
        <f t="shared" si="6"/>
        <v>175814.44196408958</v>
      </c>
      <c r="U50" s="16">
        <v>3</v>
      </c>
    </row>
    <row r="51" spans="1:29" x14ac:dyDescent="0.25">
      <c r="A51">
        <v>49</v>
      </c>
      <c r="B51" t="s">
        <v>50</v>
      </c>
      <c r="C51">
        <v>2001</v>
      </c>
      <c r="D51" s="31" t="s">
        <v>45</v>
      </c>
      <c r="E51" s="1">
        <v>6</v>
      </c>
      <c r="F51" s="4" t="s">
        <v>12</v>
      </c>
      <c r="G51" s="1">
        <v>1000</v>
      </c>
      <c r="H51" s="1">
        <v>2.9209475275453943E-2</v>
      </c>
      <c r="I51" s="1">
        <v>1.8777124551072704E-2</v>
      </c>
      <c r="J51" s="1">
        <v>2.3533731247991616E-2</v>
      </c>
      <c r="K51" s="1">
        <v>8.7977820835280374E-3</v>
      </c>
      <c r="L51" s="1">
        <v>7.6175973880173373E-2</v>
      </c>
      <c r="M51">
        <v>6966.102651973556</v>
      </c>
      <c r="N51" s="110">
        <f t="shared" si="7"/>
        <v>130.80337713166534</v>
      </c>
      <c r="O51" s="12">
        <f t="shared" si="8"/>
        <v>61.286253103550102</v>
      </c>
      <c r="P51" s="12">
        <f t="shared" si="9"/>
        <v>530.64965366334411</v>
      </c>
      <c r="Q51">
        <v>11.6</v>
      </c>
      <c r="R51" s="45">
        <f t="shared" si="11"/>
        <v>1517.3191747273179</v>
      </c>
      <c r="S51" s="45">
        <f t="shared" si="10"/>
        <v>710.92053600118118</v>
      </c>
      <c r="T51" s="45">
        <f t="shared" si="6"/>
        <v>6155.5359824947918</v>
      </c>
      <c r="U51" s="16">
        <v>9</v>
      </c>
      <c r="V51" s="33"/>
      <c r="W51" s="33"/>
      <c r="X51" s="33"/>
      <c r="Y51" s="33"/>
      <c r="Z51" s="33"/>
      <c r="AA51" s="33"/>
      <c r="AB51" s="33"/>
      <c r="AC51" s="57"/>
    </row>
    <row r="52" spans="1:29" x14ac:dyDescent="0.25">
      <c r="A52">
        <v>50</v>
      </c>
      <c r="B52" t="s">
        <v>50</v>
      </c>
      <c r="C52">
        <v>2001</v>
      </c>
      <c r="D52" s="31" t="s">
        <v>45</v>
      </c>
      <c r="E52" s="1">
        <v>7</v>
      </c>
      <c r="F52" s="4" t="s">
        <v>13</v>
      </c>
      <c r="G52" s="1">
        <v>1000</v>
      </c>
      <c r="H52" s="1">
        <v>1.3003348687654239E-2</v>
      </c>
      <c r="I52" s="1">
        <v>1.2755167923229862E-2</v>
      </c>
      <c r="J52" s="1">
        <v>4.0002115797094619E-3</v>
      </c>
      <c r="K52" s="1">
        <v>6.7084986470144501E-3</v>
      </c>
      <c r="L52" s="1">
        <v>2.0726717168338026E-2</v>
      </c>
      <c r="M52">
        <v>2532.5333267390947</v>
      </c>
      <c r="N52" s="110">
        <f t="shared" si="7"/>
        <v>32.302887853733111</v>
      </c>
      <c r="O52" s="12">
        <f t="shared" si="8"/>
        <v>16.989496395948223</v>
      </c>
      <c r="P52" s="12">
        <f t="shared" si="9"/>
        <v>52.491101982711413</v>
      </c>
      <c r="Q52">
        <v>19.100000000000001</v>
      </c>
      <c r="R52" s="45">
        <f t="shared" si="11"/>
        <v>616.98515800630241</v>
      </c>
      <c r="S52" s="45">
        <f t="shared" si="10"/>
        <v>324.49938116261109</v>
      </c>
      <c r="T52" s="45">
        <f t="shared" si="6"/>
        <v>1002.580047869788</v>
      </c>
      <c r="U52" s="16">
        <v>11</v>
      </c>
      <c r="V52" s="33"/>
      <c r="W52" s="33"/>
      <c r="X52" s="33"/>
      <c r="Y52" s="33"/>
      <c r="Z52" s="33"/>
      <c r="AA52" s="33"/>
      <c r="AB52" s="33"/>
      <c r="AC52" s="57"/>
    </row>
    <row r="53" spans="1:29" x14ac:dyDescent="0.25">
      <c r="A53">
        <v>51</v>
      </c>
      <c r="B53" t="s">
        <v>50</v>
      </c>
      <c r="C53">
        <v>2001</v>
      </c>
      <c r="D53" s="31" t="s">
        <v>45</v>
      </c>
      <c r="E53" s="1">
        <v>8</v>
      </c>
      <c r="F53" s="4" t="s">
        <v>14</v>
      </c>
      <c r="G53" s="1">
        <v>1000</v>
      </c>
      <c r="H53" s="1">
        <v>2.8853490071401307E-2</v>
      </c>
      <c r="I53" s="1">
        <v>2.8664781476841386E-2</v>
      </c>
      <c r="J53" s="1">
        <v>8.827453619413379E-3</v>
      </c>
      <c r="K53" s="1">
        <v>1.5806346434638387E-2</v>
      </c>
      <c r="L53" s="1">
        <v>4.3623163738825535E-2</v>
      </c>
      <c r="M53">
        <v>13775.148973606703</v>
      </c>
      <c r="N53" s="110">
        <f t="shared" si="7"/>
        <v>394.86163513937208</v>
      </c>
      <c r="O53" s="12">
        <f t="shared" si="8"/>
        <v>217.73477686558095</v>
      </c>
      <c r="P53" s="12">
        <f t="shared" si="9"/>
        <v>600.91557920235971</v>
      </c>
      <c r="Q53">
        <v>13.2</v>
      </c>
      <c r="R53" s="45">
        <f t="shared" si="11"/>
        <v>5212.1735838397108</v>
      </c>
      <c r="S53" s="45">
        <f t="shared" si="10"/>
        <v>2874.0990546256685</v>
      </c>
      <c r="T53" s="45">
        <f t="shared" si="6"/>
        <v>7932.0856454711475</v>
      </c>
      <c r="U53" s="16">
        <v>5</v>
      </c>
    </row>
    <row r="54" spans="1:29" x14ac:dyDescent="0.25">
      <c r="A54">
        <v>52</v>
      </c>
      <c r="B54" t="s">
        <v>50</v>
      </c>
      <c r="C54">
        <v>2001</v>
      </c>
      <c r="D54" s="31" t="s">
        <v>45</v>
      </c>
      <c r="E54" s="1">
        <v>9</v>
      </c>
      <c r="F54" s="4" t="s">
        <v>15</v>
      </c>
      <c r="G54" s="1">
        <v>1000</v>
      </c>
      <c r="H54" s="1">
        <v>6.3344536944064361E-2</v>
      </c>
      <c r="I54" s="1">
        <v>5.6354871010670382E-2</v>
      </c>
      <c r="J54" s="1">
        <v>2.3378192723356173E-2</v>
      </c>
      <c r="K54" s="1">
        <v>3.8597410773730377E-2</v>
      </c>
      <c r="L54" s="1">
        <v>0.11619566249259854</v>
      </c>
      <c r="M54">
        <v>5560.7756961151053</v>
      </c>
      <c r="N54" s="110">
        <f t="shared" si="7"/>
        <v>313.37679707383757</v>
      </c>
      <c r="O54" s="12">
        <f t="shared" si="8"/>
        <v>214.6315437635312</v>
      </c>
      <c r="P54" s="12">
        <f t="shared" si="9"/>
        <v>646.13801598283544</v>
      </c>
      <c r="Q54">
        <v>15.6</v>
      </c>
      <c r="R54" s="45">
        <f t="shared" si="11"/>
        <v>4888.6780343518658</v>
      </c>
      <c r="S54" s="45">
        <f t="shared" si="10"/>
        <v>3348.2520827110866</v>
      </c>
      <c r="T54" s="45">
        <f t="shared" si="6"/>
        <v>10079.753049332232</v>
      </c>
      <c r="U54" s="16">
        <v>6</v>
      </c>
    </row>
    <row r="55" spans="1:29" x14ac:dyDescent="0.25">
      <c r="A55">
        <v>53</v>
      </c>
      <c r="B55" t="s">
        <v>50</v>
      </c>
      <c r="C55">
        <v>2001</v>
      </c>
      <c r="D55" s="31" t="s">
        <v>45</v>
      </c>
      <c r="E55" s="1">
        <v>10</v>
      </c>
      <c r="F55" s="4" t="s">
        <v>16</v>
      </c>
      <c r="G55" s="1">
        <v>1000</v>
      </c>
      <c r="H55" s="1">
        <v>0.14903983196873805</v>
      </c>
      <c r="I55" s="1">
        <v>0.14501489539831192</v>
      </c>
      <c r="J55" s="1">
        <v>2.49727628176463E-2</v>
      </c>
      <c r="K55" s="1">
        <v>0.11656132496382843</v>
      </c>
      <c r="L55" s="1">
        <v>0.19746788825331041</v>
      </c>
      <c r="M55">
        <v>10828.706776282988</v>
      </c>
      <c r="N55" s="110">
        <f t="shared" si="7"/>
        <v>1570.323780461669</v>
      </c>
      <c r="O55" s="12">
        <f t="shared" si="8"/>
        <v>1262.2084094883323</v>
      </c>
      <c r="P55" s="12">
        <f t="shared" si="9"/>
        <v>2138.3218596269144</v>
      </c>
      <c r="Q55">
        <v>12.1</v>
      </c>
      <c r="R55" s="45">
        <f t="shared" si="11"/>
        <v>19000.917743586193</v>
      </c>
      <c r="S55" s="45">
        <f t="shared" si="10"/>
        <v>15272.721754808821</v>
      </c>
      <c r="T55" s="45">
        <f t="shared" si="6"/>
        <v>25873.694501485665</v>
      </c>
      <c r="U55" s="16">
        <v>2</v>
      </c>
    </row>
    <row r="56" spans="1:29" x14ac:dyDescent="0.25">
      <c r="A56">
        <v>54</v>
      </c>
      <c r="B56" t="s">
        <v>50</v>
      </c>
      <c r="C56">
        <v>2001</v>
      </c>
      <c r="D56" s="31" t="s">
        <v>45</v>
      </c>
      <c r="E56" s="1">
        <v>11</v>
      </c>
      <c r="F56" s="4" t="s">
        <v>17</v>
      </c>
      <c r="G56" s="1">
        <v>1000</v>
      </c>
      <c r="H56" s="1"/>
      <c r="I56" s="1"/>
      <c r="J56" s="1"/>
      <c r="K56" s="1"/>
      <c r="L56" s="1"/>
      <c r="M56"/>
      <c r="N56" s="110">
        <f t="shared" si="7"/>
        <v>0</v>
      </c>
      <c r="O56" s="12">
        <f t="shared" si="8"/>
        <v>0</v>
      </c>
      <c r="P56" s="12">
        <f t="shared" si="9"/>
        <v>0</v>
      </c>
      <c r="Q56" s="12"/>
      <c r="R56" s="45">
        <f t="shared" si="11"/>
        <v>0</v>
      </c>
      <c r="S56" s="45">
        <f t="shared" si="10"/>
        <v>0</v>
      </c>
      <c r="T56" s="45">
        <f t="shared" si="6"/>
        <v>0</v>
      </c>
      <c r="U56" s="16">
        <v>12</v>
      </c>
      <c r="V56" s="33"/>
      <c r="W56" s="33"/>
      <c r="X56" s="33"/>
      <c r="Y56" s="33"/>
      <c r="Z56" s="33"/>
      <c r="AA56" s="33"/>
      <c r="AB56" s="33"/>
      <c r="AC56" s="57"/>
    </row>
    <row r="57" spans="1:29" x14ac:dyDescent="0.25">
      <c r="A57">
        <v>55</v>
      </c>
      <c r="B57" t="s">
        <v>50</v>
      </c>
      <c r="C57">
        <v>2001</v>
      </c>
      <c r="D57" s="31" t="s">
        <v>45</v>
      </c>
      <c r="E57" s="1">
        <v>12</v>
      </c>
      <c r="F57" s="4" t="s">
        <v>18</v>
      </c>
      <c r="G57" s="62" t="s">
        <v>92</v>
      </c>
      <c r="H57" s="1"/>
      <c r="I57" s="1"/>
      <c r="J57" s="1"/>
      <c r="K57" s="1"/>
      <c r="L57" s="1"/>
      <c r="M57"/>
      <c r="N57" s="110">
        <f t="shared" si="7"/>
        <v>0</v>
      </c>
      <c r="O57" s="12">
        <f t="shared" si="8"/>
        <v>0</v>
      </c>
      <c r="P57" s="12">
        <f t="shared" si="9"/>
        <v>0</v>
      </c>
      <c r="Q57" s="12"/>
      <c r="R57" s="45">
        <f t="shared" si="11"/>
        <v>0</v>
      </c>
      <c r="S57" s="45">
        <f t="shared" si="10"/>
        <v>0</v>
      </c>
      <c r="T57" s="45">
        <f t="shared" si="6"/>
        <v>0</v>
      </c>
      <c r="U57" s="16">
        <v>13</v>
      </c>
      <c r="V57" s="33"/>
      <c r="W57" s="33"/>
      <c r="X57" s="33"/>
      <c r="Y57" s="33"/>
      <c r="Z57" s="33"/>
      <c r="AA57" s="33"/>
      <c r="AB57" s="33"/>
      <c r="AC57" s="57"/>
    </row>
    <row r="58" spans="1:29" x14ac:dyDescent="0.25">
      <c r="A58">
        <v>56</v>
      </c>
      <c r="B58" t="s">
        <v>50</v>
      </c>
      <c r="C58">
        <v>2001</v>
      </c>
      <c r="D58" s="31" t="s">
        <v>45</v>
      </c>
      <c r="E58" s="1">
        <v>13</v>
      </c>
      <c r="F58" s="4" t="s">
        <v>19</v>
      </c>
      <c r="G58" s="1">
        <v>1000</v>
      </c>
      <c r="H58" s="1">
        <v>0.20314106352534064</v>
      </c>
      <c r="I58" s="1">
        <v>0.17352071700362656</v>
      </c>
      <c r="J58" s="1">
        <v>0.10790203539542109</v>
      </c>
      <c r="K58" s="1">
        <v>8.5912145363866696E-2</v>
      </c>
      <c r="L58" s="1">
        <v>0.40233240647232482</v>
      </c>
      <c r="M58">
        <v>5410.2633795388801</v>
      </c>
      <c r="N58" s="110">
        <f t="shared" si="7"/>
        <v>938.79278079605024</v>
      </c>
      <c r="O58" s="12">
        <f t="shared" si="8"/>
        <v>464.80733391974894</v>
      </c>
      <c r="P58" s="12">
        <f t="shared" si="9"/>
        <v>2176.7242851389706</v>
      </c>
      <c r="Q58">
        <v>11.6</v>
      </c>
      <c r="R58" s="45">
        <f t="shared" si="11"/>
        <v>10889.996257234183</v>
      </c>
      <c r="S58" s="45">
        <f t="shared" si="10"/>
        <v>5391.7650734690878</v>
      </c>
      <c r="T58" s="45">
        <f t="shared" si="6"/>
        <v>25250.001707612057</v>
      </c>
      <c r="U58" s="16">
        <v>4</v>
      </c>
    </row>
    <row r="59" spans="1:29" s="55" customFormat="1" x14ac:dyDescent="0.25">
      <c r="A59">
        <v>57</v>
      </c>
      <c r="B59" s="55" t="s">
        <v>51</v>
      </c>
      <c r="C59" s="55">
        <v>2002</v>
      </c>
      <c r="D59" s="56" t="s">
        <v>45</v>
      </c>
      <c r="E59" s="57">
        <v>1</v>
      </c>
      <c r="F59" s="58" t="s">
        <v>7</v>
      </c>
      <c r="G59" s="57">
        <v>1000</v>
      </c>
      <c r="H59" s="57">
        <v>6.7286033629636961E-3</v>
      </c>
      <c r="I59" s="57">
        <v>5.6372691502914116E-3</v>
      </c>
      <c r="J59" s="57">
        <v>3.4160077895843783E-3</v>
      </c>
      <c r="K59" s="57">
        <v>4.1338005370532942E-3</v>
      </c>
      <c r="L59" s="57">
        <v>1.4877100416514417E-2</v>
      </c>
      <c r="M59" s="59">
        <v>21727.53118530977</v>
      </c>
      <c r="N59" s="111">
        <f t="shared" si="7"/>
        <v>122.48394126294136</v>
      </c>
      <c r="O59" s="60">
        <f t="shared" si="8"/>
        <v>89.817280082675722</v>
      </c>
      <c r="P59" s="60">
        <f t="shared" si="9"/>
        <v>323.24266324680195</v>
      </c>
      <c r="Q59" s="55">
        <v>11.2</v>
      </c>
      <c r="R59" s="61">
        <f t="shared" si="11"/>
        <v>1371.820142144943</v>
      </c>
      <c r="S59" s="45">
        <f t="shared" si="10"/>
        <v>1005.953536925968</v>
      </c>
      <c r="T59" s="45">
        <f t="shared" si="6"/>
        <v>3620.3178283641814</v>
      </c>
      <c r="U59" s="55">
        <v>9</v>
      </c>
      <c r="V59" s="33"/>
      <c r="W59" s="33"/>
      <c r="X59" s="33"/>
      <c r="Y59" s="33"/>
      <c r="Z59" s="33"/>
      <c r="AA59" s="33"/>
      <c r="AB59" s="33"/>
      <c r="AC59" s="1"/>
    </row>
    <row r="60" spans="1:29" s="55" customFormat="1" x14ac:dyDescent="0.25">
      <c r="A60">
        <v>58</v>
      </c>
      <c r="B60" s="55" t="s">
        <v>51</v>
      </c>
      <c r="C60" s="55">
        <v>2002</v>
      </c>
      <c r="D60" s="56" t="s">
        <v>45</v>
      </c>
      <c r="E60" s="57">
        <v>2</v>
      </c>
      <c r="F60" s="58" t="s">
        <v>8</v>
      </c>
      <c r="G60" s="57">
        <v>1000</v>
      </c>
      <c r="H60" s="57">
        <v>1.7034098755724123E-2</v>
      </c>
      <c r="I60" s="57">
        <v>1.5732487936215522E-2</v>
      </c>
      <c r="J60" s="57">
        <v>8.0328251325464829E-3</v>
      </c>
      <c r="K60" s="57">
        <v>6.8194970043115814E-3</v>
      </c>
      <c r="L60" s="57">
        <v>3.2371140377338417E-2</v>
      </c>
      <c r="M60" s="59">
        <v>11555.924996488471</v>
      </c>
      <c r="N60" s="111">
        <f t="shared" si="7"/>
        <v>181.80345059906628</v>
      </c>
      <c r="O60" s="60">
        <f t="shared" si="8"/>
        <v>78.805595895602451</v>
      </c>
      <c r="P60" s="60">
        <f t="shared" si="9"/>
        <v>374.07847025132224</v>
      </c>
      <c r="Q60" s="55">
        <v>6.6</v>
      </c>
      <c r="R60" s="61">
        <f t="shared" si="11"/>
        <v>1199.9027739538374</v>
      </c>
      <c r="S60" s="45">
        <f t="shared" si="10"/>
        <v>520.11693291097617</v>
      </c>
      <c r="T60" s="45">
        <f t="shared" si="6"/>
        <v>2468.9179036587266</v>
      </c>
      <c r="U60" s="55">
        <v>10</v>
      </c>
      <c r="V60" s="33"/>
      <c r="W60" s="33"/>
      <c r="X60" s="33"/>
      <c r="Y60" s="33"/>
      <c r="Z60" s="33"/>
      <c r="AA60" s="33"/>
      <c r="AB60" s="33"/>
      <c r="AC60" s="1"/>
    </row>
    <row r="61" spans="1:29" s="55" customFormat="1" x14ac:dyDescent="0.25">
      <c r="A61">
        <v>59</v>
      </c>
      <c r="B61" s="55" t="s">
        <v>51</v>
      </c>
      <c r="C61" s="55">
        <v>2002</v>
      </c>
      <c r="D61" s="56" t="s">
        <v>45</v>
      </c>
      <c r="E61" s="57">
        <v>3</v>
      </c>
      <c r="F61" s="58" t="s">
        <v>9</v>
      </c>
      <c r="G61" s="57">
        <v>1000</v>
      </c>
      <c r="H61" s="57">
        <v>0.15637788808116776</v>
      </c>
      <c r="I61" s="57">
        <v>0.15381938708501156</v>
      </c>
      <c r="J61" s="57">
        <v>1.9567124938122002E-2</v>
      </c>
      <c r="K61" s="57">
        <v>0.13146775454416593</v>
      </c>
      <c r="L61" s="57">
        <v>0.19419433287624402</v>
      </c>
      <c r="M61" s="59">
        <v>8875.6810357629201</v>
      </c>
      <c r="N61" s="111">
        <f t="shared" si="7"/>
        <v>1365.251816883113</v>
      </c>
      <c r="O61" s="60">
        <f t="shared" si="8"/>
        <v>1166.8658558219879</v>
      </c>
      <c r="P61" s="60">
        <f t="shared" si="9"/>
        <v>1723.6069575623108</v>
      </c>
      <c r="Q61" s="55">
        <v>11.1</v>
      </c>
      <c r="R61" s="61">
        <f t="shared" si="11"/>
        <v>15154.295167402553</v>
      </c>
      <c r="S61" s="45">
        <f t="shared" si="10"/>
        <v>12952.210999624065</v>
      </c>
      <c r="T61" s="45">
        <f t="shared" si="6"/>
        <v>19132.037228941648</v>
      </c>
      <c r="U61" s="55">
        <v>3</v>
      </c>
      <c r="V61" s="33"/>
      <c r="W61" s="33"/>
      <c r="X61" s="33"/>
      <c r="Y61" s="33"/>
      <c r="Z61" s="33"/>
      <c r="AA61" s="33"/>
      <c r="AB61" s="33"/>
      <c r="AC61" s="57"/>
    </row>
    <row r="62" spans="1:29" s="55" customFormat="1" x14ac:dyDescent="0.25">
      <c r="A62">
        <v>60</v>
      </c>
      <c r="D62" s="56"/>
      <c r="E62" s="57"/>
      <c r="F62" s="58" t="s">
        <v>10</v>
      </c>
      <c r="G62" s="62" t="s">
        <v>92</v>
      </c>
      <c r="H62" s="57"/>
      <c r="I62" s="57"/>
      <c r="J62" s="57"/>
      <c r="K62" s="57"/>
      <c r="L62" s="57"/>
      <c r="M62" s="59"/>
      <c r="N62" s="111"/>
      <c r="O62" s="60"/>
      <c r="P62" s="60"/>
      <c r="R62" s="61"/>
      <c r="S62" s="45">
        <f t="shared" si="10"/>
        <v>0</v>
      </c>
      <c r="T62" s="45">
        <f t="shared" si="6"/>
        <v>0</v>
      </c>
      <c r="V62" s="16"/>
      <c r="W62" s="16"/>
      <c r="X62" s="16"/>
      <c r="Y62" s="16"/>
      <c r="Z62" s="16"/>
      <c r="AA62" s="16"/>
      <c r="AB62" s="16"/>
      <c r="AC62"/>
    </row>
    <row r="63" spans="1:29" s="55" customFormat="1" x14ac:dyDescent="0.25">
      <c r="A63">
        <v>61</v>
      </c>
      <c r="B63" s="55" t="s">
        <v>51</v>
      </c>
      <c r="C63" s="55">
        <v>2002</v>
      </c>
      <c r="D63" s="56" t="s">
        <v>45</v>
      </c>
      <c r="E63" s="57">
        <v>5</v>
      </c>
      <c r="F63" s="58" t="s">
        <v>11</v>
      </c>
      <c r="G63" s="57">
        <v>1000</v>
      </c>
      <c r="H63" s="57">
        <v>9.9051799515496211E-2</v>
      </c>
      <c r="I63" s="57">
        <v>9.6084769952419602E-2</v>
      </c>
      <c r="J63" s="57">
        <v>1.1636825983047825E-2</v>
      </c>
      <c r="K63" s="57">
        <v>8.5277655800826663E-2</v>
      </c>
      <c r="L63" s="57">
        <v>0.12363299653960805</v>
      </c>
      <c r="M63" s="59">
        <v>12042.09009683687</v>
      </c>
      <c r="N63" s="111">
        <f t="shared" ref="N63:N71" si="12">$M63*I63</f>
        <v>1157.0614567008809</v>
      </c>
      <c r="O63" s="60">
        <f t="shared" ref="O63:O71" si="13">$M63*K63</f>
        <v>1026.921214400598</v>
      </c>
      <c r="P63" s="60">
        <f t="shared" ref="P63:P71" si="14">$M63*L63</f>
        <v>1488.7996832718811</v>
      </c>
      <c r="Q63" s="55">
        <v>16.899999999999999</v>
      </c>
      <c r="R63" s="61">
        <f t="shared" ref="R63:R71" si="15">Q63*N63</f>
        <v>19554.338618244885</v>
      </c>
      <c r="S63" s="45">
        <f t="shared" si="10"/>
        <v>17354.968523370106</v>
      </c>
      <c r="T63" s="45">
        <f t="shared" si="6"/>
        <v>25160.71464729479</v>
      </c>
      <c r="U63" s="55">
        <v>2</v>
      </c>
      <c r="V63" s="33"/>
      <c r="W63" s="33"/>
      <c r="X63" s="33"/>
      <c r="Y63" s="33"/>
      <c r="Z63" s="33"/>
      <c r="AA63" s="33"/>
      <c r="AB63" s="33"/>
      <c r="AC63" s="57"/>
    </row>
    <row r="64" spans="1:29" s="55" customFormat="1" x14ac:dyDescent="0.25">
      <c r="A64">
        <v>62</v>
      </c>
      <c r="B64" s="55" t="s">
        <v>51</v>
      </c>
      <c r="C64" s="55">
        <v>2002</v>
      </c>
      <c r="D64" s="56" t="s">
        <v>45</v>
      </c>
      <c r="E64" s="57">
        <v>6</v>
      </c>
      <c r="F64" s="58" t="s">
        <v>12</v>
      </c>
      <c r="G64" s="57">
        <v>1000</v>
      </c>
      <c r="H64" s="57">
        <v>4.8179383564428073E-2</v>
      </c>
      <c r="I64" s="57">
        <v>4.7727728264524615E-2</v>
      </c>
      <c r="J64" s="57">
        <v>4.8009131692554009E-3</v>
      </c>
      <c r="K64" s="57">
        <v>4.1227945478978581E-2</v>
      </c>
      <c r="L64" s="57">
        <v>5.6779578671171935E-2</v>
      </c>
      <c r="M64" s="59">
        <v>7874.607443882147</v>
      </c>
      <c r="N64" s="111">
        <f t="shared" si="12"/>
        <v>375.83712427140989</v>
      </c>
      <c r="O64" s="60">
        <f t="shared" si="13"/>
        <v>324.65388636473205</v>
      </c>
      <c r="P64" s="60">
        <f t="shared" si="14"/>
        <v>447.11689286450252</v>
      </c>
      <c r="Q64" s="55">
        <v>12.7</v>
      </c>
      <c r="R64" s="61">
        <f t="shared" si="15"/>
        <v>4773.1314782469053</v>
      </c>
      <c r="S64" s="45">
        <f t="shared" si="10"/>
        <v>4123.1043568320965</v>
      </c>
      <c r="T64" s="45">
        <f t="shared" si="6"/>
        <v>5678.3845393791817</v>
      </c>
      <c r="U64" s="55">
        <v>6</v>
      </c>
      <c r="V64" s="33"/>
      <c r="W64" s="33"/>
      <c r="X64" s="33"/>
      <c r="Y64" s="33"/>
      <c r="Z64" s="33"/>
      <c r="AA64" s="33"/>
      <c r="AB64" s="33"/>
      <c r="AC64" s="57"/>
    </row>
    <row r="65" spans="1:29" s="55" customFormat="1" x14ac:dyDescent="0.25">
      <c r="A65">
        <v>63</v>
      </c>
      <c r="B65" s="55" t="s">
        <v>51</v>
      </c>
      <c r="C65" s="55">
        <v>2002</v>
      </c>
      <c r="D65" s="56" t="s">
        <v>45</v>
      </c>
      <c r="E65" s="57">
        <v>7</v>
      </c>
      <c r="F65" s="58" t="s">
        <v>13</v>
      </c>
      <c r="G65" s="57">
        <v>1000</v>
      </c>
      <c r="H65" s="57">
        <v>4.5520943490250147E-2</v>
      </c>
      <c r="I65" s="57">
        <v>4.4888161446463598E-2</v>
      </c>
      <c r="J65" s="57">
        <v>9.6494612151748812E-3</v>
      </c>
      <c r="K65" s="57">
        <v>3.0697420165893358E-2</v>
      </c>
      <c r="L65" s="57">
        <v>6.2323698903622021E-2</v>
      </c>
      <c r="M65" s="59">
        <v>3143.2289068933196</v>
      </c>
      <c r="N65" s="111">
        <f t="shared" si="12"/>
        <v>141.09376663581864</v>
      </c>
      <c r="O65" s="60">
        <f t="shared" si="13"/>
        <v>96.489018432485921</v>
      </c>
      <c r="P65" s="60">
        <f t="shared" si="14"/>
        <v>195.89765197838022</v>
      </c>
      <c r="Q65" s="55">
        <v>12.7</v>
      </c>
      <c r="R65" s="61">
        <f t="shared" si="15"/>
        <v>1791.8908362748966</v>
      </c>
      <c r="S65" s="45">
        <f t="shared" si="10"/>
        <v>1225.4105340925712</v>
      </c>
      <c r="T65" s="45">
        <f t="shared" si="6"/>
        <v>2487.9001801254285</v>
      </c>
      <c r="U65" s="55">
        <v>8</v>
      </c>
      <c r="V65" s="33"/>
      <c r="W65" s="33"/>
      <c r="X65" s="33"/>
      <c r="Y65" s="33"/>
      <c r="Z65" s="33"/>
      <c r="AA65" s="33"/>
      <c r="AB65" s="33"/>
      <c r="AC65" s="1"/>
    </row>
    <row r="66" spans="1:29" s="55" customFormat="1" x14ac:dyDescent="0.25">
      <c r="A66">
        <v>64</v>
      </c>
      <c r="B66" s="55" t="s">
        <v>51</v>
      </c>
      <c r="C66" s="55">
        <v>2002</v>
      </c>
      <c r="D66" s="56" t="s">
        <v>45</v>
      </c>
      <c r="E66" s="57">
        <v>8</v>
      </c>
      <c r="F66" s="58" t="s">
        <v>14</v>
      </c>
      <c r="G66" s="57">
        <v>1000</v>
      </c>
      <c r="H66" s="57">
        <v>2.8372660377824623E-2</v>
      </c>
      <c r="I66" s="57">
        <v>2.8201529731948151E-2</v>
      </c>
      <c r="J66" s="57">
        <v>2.9558489846882498E-3</v>
      </c>
      <c r="K66" s="57">
        <v>2.400364747173107E-2</v>
      </c>
      <c r="L66" s="57">
        <v>3.3606246578110399E-2</v>
      </c>
      <c r="M66" s="59">
        <v>14985.197005970756</v>
      </c>
      <c r="N66" s="111">
        <f t="shared" si="12"/>
        <v>422.60547890298471</v>
      </c>
      <c r="O66" s="60">
        <f t="shared" si="13"/>
        <v>359.69938622576194</v>
      </c>
      <c r="P66" s="60">
        <f t="shared" si="14"/>
        <v>503.59622560421491</v>
      </c>
      <c r="Q66" s="55">
        <v>15.9</v>
      </c>
      <c r="R66" s="61">
        <f t="shared" si="15"/>
        <v>6719.4271145574567</v>
      </c>
      <c r="S66" s="45">
        <f t="shared" si="10"/>
        <v>5719.2202409896154</v>
      </c>
      <c r="T66" s="45">
        <f t="shared" si="6"/>
        <v>8007.179987107017</v>
      </c>
      <c r="U66" s="55">
        <v>4</v>
      </c>
      <c r="V66" s="33"/>
      <c r="W66" s="33"/>
      <c r="X66" s="33"/>
      <c r="Y66" s="33"/>
      <c r="Z66" s="33"/>
      <c r="AA66" s="33"/>
      <c r="AB66" s="33"/>
      <c r="AC66" s="57"/>
    </row>
    <row r="67" spans="1:29" s="55" customFormat="1" x14ac:dyDescent="0.25">
      <c r="A67">
        <v>65</v>
      </c>
      <c r="B67" s="55" t="s">
        <v>51</v>
      </c>
      <c r="C67" s="55">
        <v>2002</v>
      </c>
      <c r="D67" s="56" t="s">
        <v>45</v>
      </c>
      <c r="E67" s="57">
        <v>9</v>
      </c>
      <c r="F67" s="58" t="s">
        <v>15</v>
      </c>
      <c r="G67" s="57">
        <v>1000</v>
      </c>
      <c r="H67" s="57">
        <v>6.6113801044227719E-2</v>
      </c>
      <c r="I67" s="57">
        <v>6.5565720996550739E-2</v>
      </c>
      <c r="J67" s="57">
        <v>8.7687298072278361E-3</v>
      </c>
      <c r="K67" s="57">
        <v>5.252416490334437E-2</v>
      </c>
      <c r="L67" s="57">
        <v>8.1414682695005042E-2</v>
      </c>
      <c r="M67" s="59">
        <v>7110.1259590049967</v>
      </c>
      <c r="N67" s="111">
        <f t="shared" si="12"/>
        <v>466.18053487845435</v>
      </c>
      <c r="O67" s="60">
        <f t="shared" si="13"/>
        <v>373.45342835432797</v>
      </c>
      <c r="P67" s="60">
        <f t="shared" si="14"/>
        <v>578.86864887391027</v>
      </c>
      <c r="Q67" s="55">
        <v>10.4</v>
      </c>
      <c r="R67" s="61">
        <f t="shared" si="15"/>
        <v>4848.2775627359251</v>
      </c>
      <c r="S67" s="45">
        <f t="shared" si="10"/>
        <v>3883.915654885011</v>
      </c>
      <c r="T67" s="45">
        <f t="shared" si="6"/>
        <v>6020.2339482886673</v>
      </c>
      <c r="U67" s="55">
        <v>5</v>
      </c>
      <c r="V67" s="33"/>
      <c r="W67" s="33"/>
      <c r="X67" s="33"/>
      <c r="Y67" s="33"/>
      <c r="Z67" s="33"/>
      <c r="AA67" s="33"/>
      <c r="AB67" s="33"/>
      <c r="AC67" s="57"/>
    </row>
    <row r="68" spans="1:29" s="55" customFormat="1" x14ac:dyDescent="0.25">
      <c r="A68">
        <v>66</v>
      </c>
      <c r="B68" s="55" t="s">
        <v>51</v>
      </c>
      <c r="C68" s="55">
        <v>2002</v>
      </c>
      <c r="D68" s="56" t="s">
        <v>45</v>
      </c>
      <c r="E68" s="57">
        <v>10</v>
      </c>
      <c r="F68" s="58" t="s">
        <v>16</v>
      </c>
      <c r="G68" s="57">
        <v>1000</v>
      </c>
      <c r="H68" s="57">
        <v>0.16313012413424868</v>
      </c>
      <c r="I68" s="57">
        <v>0.16118339617056293</v>
      </c>
      <c r="J68" s="57">
        <v>1.9872212925697512E-2</v>
      </c>
      <c r="K68" s="57">
        <v>0.13380260081587092</v>
      </c>
      <c r="L68" s="57">
        <v>0.2004529893262845</v>
      </c>
      <c r="M68" s="59">
        <v>11841.968099077438</v>
      </c>
      <c r="N68" s="111">
        <f t="shared" si="12"/>
        <v>1908.7286355527667</v>
      </c>
      <c r="O68" s="60">
        <f t="shared" si="13"/>
        <v>1584.4861304351361</v>
      </c>
      <c r="P68" s="60">
        <f t="shared" si="14"/>
        <v>2373.757904966571</v>
      </c>
      <c r="Q68" s="55">
        <v>13.3</v>
      </c>
      <c r="R68" s="61">
        <f t="shared" si="15"/>
        <v>25386.090852851798</v>
      </c>
      <c r="S68" s="45">
        <f t="shared" ref="S68:S76" si="16">O68*$Q68</f>
        <v>21073.665534787313</v>
      </c>
      <c r="T68" s="45">
        <f t="shared" si="6"/>
        <v>31570.980136055397</v>
      </c>
      <c r="U68" s="55">
        <v>1</v>
      </c>
      <c r="V68" s="33"/>
      <c r="W68" s="33"/>
      <c r="X68" s="33"/>
      <c r="Y68" s="33"/>
      <c r="Z68" s="33"/>
      <c r="AA68" s="33"/>
      <c r="AB68" s="33"/>
      <c r="AC68" s="57"/>
    </row>
    <row r="69" spans="1:29" s="55" customFormat="1" x14ac:dyDescent="0.25">
      <c r="A69">
        <v>67</v>
      </c>
      <c r="B69" s="55" t="s">
        <v>51</v>
      </c>
      <c r="C69" s="55">
        <v>2002</v>
      </c>
      <c r="D69" s="56" t="s">
        <v>45</v>
      </c>
      <c r="E69" s="57">
        <v>11</v>
      </c>
      <c r="F69" s="58" t="s">
        <v>17</v>
      </c>
      <c r="G69" s="57">
        <v>1000</v>
      </c>
      <c r="H69" s="57">
        <v>2.8599368926743285E-3</v>
      </c>
      <c r="I69" s="57">
        <v>2.8052675600579767E-3</v>
      </c>
      <c r="J69" s="57">
        <v>5.8113736890884544E-4</v>
      </c>
      <c r="K69" s="57">
        <v>1.9830623034390324E-3</v>
      </c>
      <c r="L69" s="57">
        <v>3.9199913306715512E-3</v>
      </c>
      <c r="M69" s="59">
        <v>12208.214535131379</v>
      </c>
      <c r="N69" s="111">
        <f t="shared" si="12"/>
        <v>34.247308201632329</v>
      </c>
      <c r="O69" s="60">
        <f t="shared" si="13"/>
        <v>24.209650036915509</v>
      </c>
      <c r="P69" s="60">
        <f t="shared" si="14"/>
        <v>47.856095140693427</v>
      </c>
      <c r="Q69" s="55">
        <v>13.3</v>
      </c>
      <c r="R69" s="61">
        <f t="shared" si="15"/>
        <v>455.48919908171001</v>
      </c>
      <c r="S69" s="45">
        <f t="shared" si="16"/>
        <v>321.98834549097626</v>
      </c>
      <c r="T69" s="45">
        <f t="shared" si="6"/>
        <v>636.48606537122259</v>
      </c>
      <c r="U69" s="55">
        <v>11</v>
      </c>
      <c r="V69" s="33"/>
      <c r="W69" s="33"/>
      <c r="X69" s="33"/>
      <c r="Y69" s="33"/>
      <c r="Z69" s="33"/>
      <c r="AA69" s="33"/>
      <c r="AB69" s="33"/>
      <c r="AC69" s="1"/>
    </row>
    <row r="70" spans="1:29" s="55" customFormat="1" x14ac:dyDescent="0.25">
      <c r="A70">
        <v>68</v>
      </c>
      <c r="B70" s="55" t="s">
        <v>51</v>
      </c>
      <c r="C70" s="55">
        <v>2002</v>
      </c>
      <c r="D70" s="56" t="s">
        <v>45</v>
      </c>
      <c r="E70" s="57">
        <v>12</v>
      </c>
      <c r="F70" s="58" t="s">
        <v>18</v>
      </c>
      <c r="G70" s="57">
        <v>1000</v>
      </c>
      <c r="H70" s="57">
        <v>5.1425398840402312E-4</v>
      </c>
      <c r="I70" s="57">
        <v>4.9411255569929225E-4</v>
      </c>
      <c r="J70" s="57">
        <v>1.2944827979247974E-4</v>
      </c>
      <c r="K70" s="57">
        <v>3.3453465639280246E-4</v>
      </c>
      <c r="L70" s="57">
        <v>7.6013461464659489E-4</v>
      </c>
      <c r="M70" s="59">
        <v>23285.2375462481</v>
      </c>
      <c r="N70" s="111">
        <f t="shared" si="12"/>
        <v>11.505528234041766</v>
      </c>
      <c r="O70" s="60">
        <f t="shared" si="13"/>
        <v>7.789718941558891</v>
      </c>
      <c r="P70" s="60">
        <f t="shared" si="14"/>
        <v>17.699915069171723</v>
      </c>
      <c r="Q70" s="55">
        <v>12.9</v>
      </c>
      <c r="R70" s="61">
        <f t="shared" si="15"/>
        <v>148.42131421913879</v>
      </c>
      <c r="S70" s="45">
        <f t="shared" si="16"/>
        <v>100.4873743461097</v>
      </c>
      <c r="T70" s="45">
        <f t="shared" si="6"/>
        <v>228.32890439231522</v>
      </c>
      <c r="U70" s="55">
        <v>12</v>
      </c>
      <c r="V70" s="33"/>
      <c r="W70" s="33"/>
      <c r="X70" s="33"/>
      <c r="Y70" s="33"/>
      <c r="Z70" s="33"/>
      <c r="AA70" s="33"/>
      <c r="AB70" s="33"/>
      <c r="AC70" s="1"/>
    </row>
    <row r="71" spans="1:29" s="55" customFormat="1" x14ac:dyDescent="0.25">
      <c r="A71">
        <v>69</v>
      </c>
      <c r="B71" s="55" t="s">
        <v>51</v>
      </c>
      <c r="C71" s="55">
        <v>2002</v>
      </c>
      <c r="D71" s="56" t="s">
        <v>45</v>
      </c>
      <c r="E71" s="57">
        <v>13</v>
      </c>
      <c r="F71" s="58" t="s">
        <v>19</v>
      </c>
      <c r="G71" s="57">
        <v>1000</v>
      </c>
      <c r="H71" s="57">
        <v>3.0157177292140899E-2</v>
      </c>
      <c r="I71" s="57">
        <v>2.818948568637809E-2</v>
      </c>
      <c r="J71" s="57">
        <v>8.9930683635805215E-3</v>
      </c>
      <c r="K71" s="57">
        <v>2.1601340926576673E-2</v>
      </c>
      <c r="L71" s="57">
        <v>5.0709921282438342E-2</v>
      </c>
      <c r="M71" s="59">
        <v>4906.4659682331812</v>
      </c>
      <c r="N71" s="111">
        <f t="shared" si="12"/>
        <v>138.31075218221048</v>
      </c>
      <c r="O71" s="60">
        <f t="shared" si="13"/>
        <v>105.98624412445106</v>
      </c>
      <c r="P71" s="60">
        <f t="shared" si="14"/>
        <v>248.80650302406724</v>
      </c>
      <c r="Q71" s="55">
        <v>17.8</v>
      </c>
      <c r="R71" s="61">
        <f t="shared" si="15"/>
        <v>2461.9313888433467</v>
      </c>
      <c r="S71" s="45">
        <f t="shared" si="16"/>
        <v>1886.5551454152289</v>
      </c>
      <c r="T71" s="45">
        <f t="shared" si="6"/>
        <v>4428.7557538283972</v>
      </c>
      <c r="U71" s="55">
        <v>7</v>
      </c>
      <c r="V71" s="33"/>
      <c r="W71" s="33"/>
      <c r="X71" s="33"/>
      <c r="Y71" s="33"/>
      <c r="Z71" s="33"/>
      <c r="AA71" s="33"/>
      <c r="AB71" s="33"/>
      <c r="AC71" s="57"/>
    </row>
    <row r="72" spans="1:29" x14ac:dyDescent="0.25">
      <c r="A72">
        <v>70</v>
      </c>
      <c r="B72" t="s">
        <v>52</v>
      </c>
      <c r="C72">
        <v>2003</v>
      </c>
      <c r="D72" s="31" t="s">
        <v>45</v>
      </c>
      <c r="E72" s="57">
        <v>1</v>
      </c>
      <c r="F72" s="4" t="s">
        <v>7</v>
      </c>
      <c r="G72" s="40" t="s">
        <v>92</v>
      </c>
      <c r="H72" s="1"/>
      <c r="I72" s="1"/>
      <c r="J72" s="1"/>
      <c r="K72" s="1"/>
      <c r="L72" s="1"/>
      <c r="M72"/>
      <c r="S72" s="45">
        <f t="shared" si="16"/>
        <v>0</v>
      </c>
      <c r="T72" s="45">
        <f t="shared" si="6"/>
        <v>0</v>
      </c>
      <c r="U72" s="16">
        <v>10</v>
      </c>
      <c r="AC72" s="55"/>
    </row>
    <row r="73" spans="1:29" x14ac:dyDescent="0.25">
      <c r="A73">
        <v>71</v>
      </c>
      <c r="B73" t="s">
        <v>52</v>
      </c>
      <c r="C73">
        <v>2003</v>
      </c>
      <c r="D73" s="31" t="s">
        <v>45</v>
      </c>
      <c r="E73" s="1">
        <v>2</v>
      </c>
      <c r="F73" s="3" t="str">
        <f>VLOOKUP(E73,[1]Sheet1!$A$1:$B$21,2,FALSE)</f>
        <v>B</v>
      </c>
      <c r="G73" s="1">
        <v>1000</v>
      </c>
      <c r="H73" s="1">
        <v>0.15121700355972029</v>
      </c>
      <c r="I73" s="1">
        <v>0.14602584407140676</v>
      </c>
      <c r="J73" s="1">
        <v>3.615106370434177E-2</v>
      </c>
      <c r="K73" s="1">
        <v>0.10185375546953773</v>
      </c>
      <c r="L73" s="1">
        <v>0.21696693186434438</v>
      </c>
      <c r="M73">
        <v>12937.515211791189</v>
      </c>
      <c r="N73" s="110">
        <f>$M73*I73</f>
        <v>1889.2115789884731</v>
      </c>
      <c r="O73" s="12">
        <f>$M73*K73</f>
        <v>1317.7345107652045</v>
      </c>
      <c r="P73" s="12">
        <f>$M73*L73</f>
        <v>2807.0129814506181</v>
      </c>
      <c r="Q73">
        <v>14.7</v>
      </c>
      <c r="R73" s="45">
        <f>Q73*N73</f>
        <v>27771.410211130555</v>
      </c>
      <c r="S73" s="45">
        <f t="shared" si="16"/>
        <v>19370.697308248506</v>
      </c>
      <c r="T73" s="45">
        <f t="shared" si="6"/>
        <v>41263.090827324086</v>
      </c>
      <c r="U73" s="16">
        <v>2</v>
      </c>
      <c r="V73" s="33"/>
      <c r="W73" s="33"/>
      <c r="X73" s="33"/>
      <c r="Y73" s="33"/>
      <c r="Z73" s="33"/>
      <c r="AA73" s="33"/>
      <c r="AB73" s="33"/>
      <c r="AC73" s="1"/>
    </row>
    <row r="74" spans="1:29" x14ac:dyDescent="0.25">
      <c r="A74">
        <v>72</v>
      </c>
      <c r="B74" t="s">
        <v>52</v>
      </c>
      <c r="C74">
        <v>2003</v>
      </c>
      <c r="D74" s="31" t="s">
        <v>45</v>
      </c>
      <c r="E74" s="1">
        <v>3</v>
      </c>
      <c r="F74" s="3" t="str">
        <f>VLOOKUP(E74,[1]Sheet1!$A$1:$B$21,2,FALSE)</f>
        <v>C</v>
      </c>
      <c r="G74" s="1">
        <v>1000</v>
      </c>
      <c r="H74" s="1">
        <v>0.44316723881301839</v>
      </c>
      <c r="I74" s="1">
        <v>0.39386443575796543</v>
      </c>
      <c r="J74" s="1">
        <v>0.15923088351191014</v>
      </c>
      <c r="K74" s="1">
        <v>0.27816643695364029</v>
      </c>
      <c r="L74" s="1">
        <v>0.78461339500482041</v>
      </c>
      <c r="M74">
        <v>10953.043037802479</v>
      </c>
      <c r="N74" s="110">
        <f>$M74*I74</f>
        <v>4314.0141159167852</v>
      </c>
      <c r="O74" s="12">
        <f>$M74*K74</f>
        <v>3046.7689556253922</v>
      </c>
      <c r="P74" s="12">
        <f>$M74*L74</f>
        <v>8593.9042835241144</v>
      </c>
      <c r="Q74">
        <v>8.4</v>
      </c>
      <c r="R74" s="45">
        <f>Q74*N74</f>
        <v>36237.718573701</v>
      </c>
      <c r="S74" s="45">
        <f t="shared" si="16"/>
        <v>25592.859227253295</v>
      </c>
      <c r="T74" s="45">
        <f t="shared" si="6"/>
        <v>72188.795981602569</v>
      </c>
      <c r="U74" s="16">
        <v>1</v>
      </c>
      <c r="V74" s="33"/>
      <c r="W74" s="33"/>
      <c r="X74" s="33"/>
      <c r="Y74" s="33"/>
      <c r="Z74" s="33"/>
      <c r="AA74" s="33"/>
      <c r="AB74" s="33"/>
      <c r="AC74" s="1"/>
    </row>
    <row r="75" spans="1:29" x14ac:dyDescent="0.25">
      <c r="A75">
        <v>73</v>
      </c>
      <c r="B75" t="s">
        <v>52</v>
      </c>
      <c r="C75">
        <v>2003</v>
      </c>
      <c r="D75" s="31" t="s">
        <v>45</v>
      </c>
      <c r="E75" s="1">
        <v>4</v>
      </c>
      <c r="F75" s="3" t="s">
        <v>10</v>
      </c>
      <c r="G75" s="40" t="s">
        <v>92</v>
      </c>
      <c r="H75" s="1"/>
      <c r="I75" s="1"/>
      <c r="J75" s="1"/>
      <c r="K75" s="1"/>
      <c r="L75" s="1"/>
      <c r="M75"/>
      <c r="S75" s="45">
        <f t="shared" si="16"/>
        <v>0</v>
      </c>
      <c r="T75" s="45">
        <f t="shared" si="6"/>
        <v>0</v>
      </c>
      <c r="U75" s="16">
        <v>11</v>
      </c>
      <c r="AC75" s="55"/>
    </row>
    <row r="76" spans="1:29" x14ac:dyDescent="0.25">
      <c r="A76">
        <v>74</v>
      </c>
      <c r="B76" t="s">
        <v>52</v>
      </c>
      <c r="C76">
        <v>2003</v>
      </c>
      <c r="D76" s="31" t="s">
        <v>45</v>
      </c>
      <c r="E76" s="1">
        <v>5</v>
      </c>
      <c r="F76" s="3" t="str">
        <f>VLOOKUP(E76,[1]Sheet1!$A$1:$B$21,2,FALSE)</f>
        <v>E</v>
      </c>
      <c r="G76" s="1">
        <v>1000</v>
      </c>
      <c r="H76" s="1">
        <v>8.9396778957507764E-2</v>
      </c>
      <c r="I76" s="1">
        <v>7.9135672321662215E-2</v>
      </c>
      <c r="J76" s="1">
        <v>2.5591415321087115E-2</v>
      </c>
      <c r="K76" s="1">
        <v>6.6592267016809231E-2</v>
      </c>
      <c r="L76" s="1">
        <v>0.14879322613290324</v>
      </c>
      <c r="M76">
        <v>13991.101427824766</v>
      </c>
      <c r="N76" s="110">
        <f t="shared" ref="N76:N81" si="17">$M76*I76</f>
        <v>1107.1952180114811</v>
      </c>
      <c r="O76" s="12">
        <f t="shared" ref="O76:P81" si="18">$M76*K76</f>
        <v>931.6991621409677</v>
      </c>
      <c r="P76" s="12">
        <f t="shared" si="18"/>
        <v>2081.7811185987157</v>
      </c>
      <c r="Q76">
        <v>13.2</v>
      </c>
      <c r="R76" s="45">
        <f t="shared" ref="R76:R81" si="19">Q76*N76</f>
        <v>14614.976877751549</v>
      </c>
      <c r="S76" s="45">
        <f t="shared" si="16"/>
        <v>12298.428940260774</v>
      </c>
      <c r="T76" s="45">
        <f t="shared" si="6"/>
        <v>27479.510765503044</v>
      </c>
      <c r="U76" s="16">
        <v>3</v>
      </c>
      <c r="V76" s="33"/>
      <c r="W76" s="33"/>
      <c r="X76" s="33"/>
      <c r="Y76" s="33"/>
      <c r="Z76" s="33"/>
      <c r="AA76" s="33"/>
      <c r="AB76" s="33"/>
      <c r="AC76" s="1"/>
    </row>
    <row r="77" spans="1:29" x14ac:dyDescent="0.25">
      <c r="A77">
        <v>75</v>
      </c>
      <c r="B77" t="s">
        <v>52</v>
      </c>
      <c r="C77">
        <v>2003</v>
      </c>
      <c r="D77" s="31" t="s">
        <v>45</v>
      </c>
      <c r="E77" s="1">
        <v>6</v>
      </c>
      <c r="F77" s="3" t="str">
        <f>VLOOKUP(E77,[1]Sheet1!$A$1:$B$21,2,FALSE)</f>
        <v>F</v>
      </c>
      <c r="G77" s="1">
        <v>1000</v>
      </c>
      <c r="H77" s="1">
        <v>8.3374207940841369E-2</v>
      </c>
      <c r="I77" s="1">
        <v>7.8671876392375689E-2</v>
      </c>
      <c r="J77" s="1">
        <v>1.8288481350023356E-2</v>
      </c>
      <c r="K77" s="1">
        <v>6.3372125342097921E-2</v>
      </c>
      <c r="L77" s="1">
        <v>0.12209406280070939</v>
      </c>
      <c r="M77">
        <v>6966.102651973556</v>
      </c>
      <c r="N77" s="110">
        <f t="shared" si="17"/>
        <v>548.03636677266411</v>
      </c>
      <c r="O77" s="12">
        <f t="shared" si="18"/>
        <v>441.45673040678895</v>
      </c>
      <c r="P77" s="12">
        <f t="shared" si="18"/>
        <v>850.5197746662476</v>
      </c>
      <c r="Q77">
        <v>13.2</v>
      </c>
      <c r="R77" s="45">
        <f t="shared" si="19"/>
        <v>7234.0800413991656</v>
      </c>
      <c r="S77" s="45">
        <f t="shared" ref="S77:S140" si="20">O77*$Q77</f>
        <v>5827.2288413696142</v>
      </c>
      <c r="T77" s="45">
        <f t="shared" ref="T77:T140" si="21">P77*$Q77</f>
        <v>11226.861025594468</v>
      </c>
      <c r="U77" s="16">
        <v>5</v>
      </c>
      <c r="V77" s="33"/>
      <c r="W77" s="33"/>
      <c r="X77" s="33"/>
      <c r="Y77" s="33"/>
      <c r="Z77" s="33"/>
      <c r="AA77" s="33"/>
      <c r="AB77" s="33"/>
      <c r="AC77" s="1"/>
    </row>
    <row r="78" spans="1:29" x14ac:dyDescent="0.25">
      <c r="A78">
        <v>76</v>
      </c>
      <c r="B78" t="s">
        <v>52</v>
      </c>
      <c r="C78">
        <v>2003</v>
      </c>
      <c r="D78" s="31" t="s">
        <v>45</v>
      </c>
      <c r="E78" s="1">
        <v>7</v>
      </c>
      <c r="F78" s="3" t="str">
        <f>VLOOKUP(E78,[1]Sheet1!$A$1:$B$21,2,FALSE)</f>
        <v>G</v>
      </c>
      <c r="G78" s="1">
        <v>1000</v>
      </c>
      <c r="H78" s="1">
        <v>5.6304687703999691E-2</v>
      </c>
      <c r="I78" s="1">
        <v>4.2348945751919297E-2</v>
      </c>
      <c r="J78" s="1">
        <v>6.3903208602128114E-2</v>
      </c>
      <c r="K78" s="1">
        <v>3.0589445220539468E-2</v>
      </c>
      <c r="L78" s="1">
        <v>6.429767481686946E-2</v>
      </c>
      <c r="M78">
        <v>2532.5333267390947</v>
      </c>
      <c r="N78" s="110">
        <f t="shared" si="17"/>
        <v>107.25011646900163</v>
      </c>
      <c r="O78" s="12">
        <f t="shared" si="18"/>
        <v>77.468789467476114</v>
      </c>
      <c r="P78" s="12">
        <f t="shared" si="18"/>
        <v>162.83600430555492</v>
      </c>
      <c r="Q78">
        <v>13.2</v>
      </c>
      <c r="R78" s="45">
        <f t="shared" si="19"/>
        <v>1415.7015373908214</v>
      </c>
      <c r="S78" s="45">
        <f t="shared" si="20"/>
        <v>1022.5880209706846</v>
      </c>
      <c r="T78" s="45">
        <f t="shared" si="21"/>
        <v>2149.4352568333247</v>
      </c>
      <c r="U78" s="16">
        <v>8</v>
      </c>
      <c r="AC78" s="55"/>
    </row>
    <row r="79" spans="1:29" x14ac:dyDescent="0.25">
      <c r="A79">
        <v>77</v>
      </c>
      <c r="B79" t="s">
        <v>52</v>
      </c>
      <c r="C79">
        <v>2003</v>
      </c>
      <c r="D79" s="31" t="s">
        <v>45</v>
      </c>
      <c r="E79" s="1">
        <v>8</v>
      </c>
      <c r="F79" s="3" t="str">
        <f>VLOOKUP(E79,[1]Sheet1!$A$1:$B$21,2,FALSE)</f>
        <v>H</v>
      </c>
      <c r="G79" s="1">
        <v>1000</v>
      </c>
      <c r="H79" s="1">
        <v>3.5582634195367412E-2</v>
      </c>
      <c r="I79" s="1">
        <v>2.8140496494571447E-2</v>
      </c>
      <c r="J79" s="1">
        <v>2.13415495235591E-2</v>
      </c>
      <c r="K79" s="1">
        <v>1.1644534491726848E-2</v>
      </c>
      <c r="L79" s="1">
        <v>7.5881900702536115E-2</v>
      </c>
      <c r="M79">
        <v>13775.148973606703</v>
      </c>
      <c r="N79" s="110">
        <f t="shared" si="17"/>
        <v>387.63953140397888</v>
      </c>
      <c r="O79" s="12">
        <f t="shared" si="18"/>
        <v>160.40519735183895</v>
      </c>
      <c r="P79" s="12">
        <f t="shared" si="18"/>
        <v>1045.2844865778661</v>
      </c>
      <c r="Q79">
        <v>15.4</v>
      </c>
      <c r="R79" s="45">
        <f t="shared" si="19"/>
        <v>5969.6487836212746</v>
      </c>
      <c r="S79" s="45">
        <f t="shared" si="20"/>
        <v>2470.2400392183199</v>
      </c>
      <c r="T79" s="45">
        <f t="shared" si="21"/>
        <v>16097.381093299138</v>
      </c>
      <c r="U79" s="16">
        <v>6</v>
      </c>
      <c r="V79" s="33"/>
      <c r="W79" s="33"/>
      <c r="X79" s="33"/>
      <c r="Y79" s="33"/>
      <c r="Z79" s="33"/>
      <c r="AA79" s="33"/>
      <c r="AB79" s="33"/>
      <c r="AC79" s="1"/>
    </row>
    <row r="80" spans="1:29" x14ac:dyDescent="0.25">
      <c r="A80">
        <v>78</v>
      </c>
      <c r="B80" t="s">
        <v>52</v>
      </c>
      <c r="C80">
        <v>2003</v>
      </c>
      <c r="D80" s="31" t="s">
        <v>45</v>
      </c>
      <c r="E80" s="1">
        <v>9</v>
      </c>
      <c r="F80" s="3" t="str">
        <f>VLOOKUP(E80,[1]Sheet1!$A$1:$B$21,2,FALSE)</f>
        <v>I</v>
      </c>
      <c r="G80" s="1">
        <v>1000</v>
      </c>
      <c r="H80" s="1">
        <v>4.9987708054311325E-2</v>
      </c>
      <c r="I80" s="1">
        <v>4.9214798438026119E-2</v>
      </c>
      <c r="J80" s="1">
        <v>8.2486900723307954E-3</v>
      </c>
      <c r="K80" s="1">
        <v>3.7519817954120072E-2</v>
      </c>
      <c r="L80" s="1">
        <v>6.4540257020729103E-2</v>
      </c>
      <c r="M80">
        <v>5560.7756961151053</v>
      </c>
      <c r="N80" s="110">
        <f t="shared" si="17"/>
        <v>273.67245504337927</v>
      </c>
      <c r="O80" s="12">
        <f t="shared" si="18"/>
        <v>208.63929180193406</v>
      </c>
      <c r="P80" s="12">
        <f t="shared" si="18"/>
        <v>358.89389266189266</v>
      </c>
      <c r="Q80">
        <v>15.4</v>
      </c>
      <c r="R80" s="45">
        <f t="shared" si="19"/>
        <v>4214.5558076680409</v>
      </c>
      <c r="S80" s="45">
        <f t="shared" si="20"/>
        <v>3213.0450937497849</v>
      </c>
      <c r="T80" s="45">
        <f t="shared" si="21"/>
        <v>5526.9659469931476</v>
      </c>
      <c r="U80" s="16">
        <v>7</v>
      </c>
      <c r="V80" s="33"/>
      <c r="W80" s="33"/>
      <c r="X80" s="33"/>
      <c r="Y80" s="33"/>
      <c r="Z80" s="33"/>
      <c r="AA80" s="33"/>
      <c r="AB80" s="33"/>
      <c r="AC80" s="1"/>
    </row>
    <row r="81" spans="1:29" x14ac:dyDescent="0.25">
      <c r="A81">
        <v>79</v>
      </c>
      <c r="B81" t="s">
        <v>52</v>
      </c>
      <c r="C81">
        <v>2003</v>
      </c>
      <c r="D81" s="31" t="s">
        <v>45</v>
      </c>
      <c r="E81" s="1">
        <v>10</v>
      </c>
      <c r="F81" s="3" t="str">
        <f>VLOOKUP(E81,[1]Sheet1!$A$1:$B$21,2,FALSE)</f>
        <v>J</v>
      </c>
      <c r="G81" s="1">
        <v>1000</v>
      </c>
      <c r="H81" s="1">
        <v>6.7005195365554437E-2</v>
      </c>
      <c r="I81" s="1">
        <v>6.4049435342417194E-2</v>
      </c>
      <c r="J81" s="1">
        <v>1.2955569409946039E-2</v>
      </c>
      <c r="K81" s="1">
        <v>5.1226832586902686E-2</v>
      </c>
      <c r="L81" s="1">
        <v>9.2798517535789993E-2</v>
      </c>
      <c r="M81">
        <v>10828.706776282988</v>
      </c>
      <c r="N81" s="110">
        <f t="shared" si="17"/>
        <v>693.57255450953221</v>
      </c>
      <c r="O81" s="12">
        <f t="shared" si="18"/>
        <v>554.72034916130735</v>
      </c>
      <c r="P81" s="12">
        <f t="shared" si="18"/>
        <v>1004.8879356688249</v>
      </c>
      <c r="Q81">
        <v>15.4</v>
      </c>
      <c r="R81" s="45">
        <f t="shared" si="19"/>
        <v>10681.017339446797</v>
      </c>
      <c r="S81" s="45">
        <f t="shared" si="20"/>
        <v>8542.6933770841333</v>
      </c>
      <c r="T81" s="45">
        <f t="shared" si="21"/>
        <v>15475.274209299903</v>
      </c>
      <c r="U81" s="16">
        <v>4</v>
      </c>
      <c r="V81" s="33"/>
      <c r="W81" s="33"/>
      <c r="X81" s="33"/>
      <c r="Y81" s="33"/>
      <c r="Z81" s="33"/>
      <c r="AA81" s="33"/>
      <c r="AB81" s="33"/>
      <c r="AC81" s="1"/>
    </row>
    <row r="82" spans="1:29" x14ac:dyDescent="0.25">
      <c r="A82">
        <v>80</v>
      </c>
      <c r="B82" t="s">
        <v>52</v>
      </c>
      <c r="C82">
        <v>2003</v>
      </c>
      <c r="D82" s="31" t="s">
        <v>45</v>
      </c>
      <c r="E82" s="1">
        <v>11</v>
      </c>
      <c r="F82" s="3" t="s">
        <v>17</v>
      </c>
      <c r="G82" s="40" t="s">
        <v>92</v>
      </c>
      <c r="H82" s="1"/>
      <c r="I82" s="1"/>
      <c r="J82" s="1"/>
      <c r="K82" s="1"/>
      <c r="L82" s="1"/>
      <c r="M82"/>
      <c r="S82" s="45">
        <f t="shared" si="20"/>
        <v>0</v>
      </c>
      <c r="T82" s="45">
        <f t="shared" si="21"/>
        <v>0</v>
      </c>
      <c r="U82" s="16">
        <v>12</v>
      </c>
      <c r="AC82" s="55"/>
    </row>
    <row r="83" spans="1:29" x14ac:dyDescent="0.25">
      <c r="A83">
        <v>81</v>
      </c>
      <c r="B83" t="s">
        <v>52</v>
      </c>
      <c r="C83">
        <v>2003</v>
      </c>
      <c r="D83" s="31" t="s">
        <v>45</v>
      </c>
      <c r="E83" s="1">
        <v>12</v>
      </c>
      <c r="F83" s="3" t="s">
        <v>18</v>
      </c>
      <c r="G83" s="40" t="s">
        <v>92</v>
      </c>
      <c r="H83" s="1"/>
      <c r="I83" s="1"/>
      <c r="J83" s="1"/>
      <c r="K83" s="1"/>
      <c r="L83" s="1"/>
      <c r="M83"/>
      <c r="S83" s="45">
        <f t="shared" si="20"/>
        <v>0</v>
      </c>
      <c r="T83" s="45">
        <f t="shared" si="21"/>
        <v>0</v>
      </c>
      <c r="U83" s="16">
        <v>13</v>
      </c>
      <c r="AC83" s="55"/>
    </row>
    <row r="84" spans="1:29" x14ac:dyDescent="0.25">
      <c r="A84">
        <v>82</v>
      </c>
      <c r="B84" t="s">
        <v>52</v>
      </c>
      <c r="C84">
        <v>2003</v>
      </c>
      <c r="D84" s="31" t="s">
        <v>45</v>
      </c>
      <c r="E84" s="1">
        <v>13</v>
      </c>
      <c r="F84" s="3" t="str">
        <f>VLOOKUP(E84,[1]Sheet1!$A$1:$B$21,2,FALSE)</f>
        <v>M</v>
      </c>
      <c r="G84" s="40" t="s">
        <v>92</v>
      </c>
      <c r="H84" s="1"/>
      <c r="I84" s="1">
        <v>0</v>
      </c>
      <c r="J84" s="1">
        <v>0</v>
      </c>
      <c r="K84" s="1">
        <v>0</v>
      </c>
      <c r="L84" s="1">
        <v>0</v>
      </c>
      <c r="M84"/>
      <c r="N84" s="110">
        <f t="shared" ref="N84:N100" si="22">$M84*I84</f>
        <v>0</v>
      </c>
      <c r="O84" s="12">
        <f t="shared" ref="O84:O100" si="23">$M84*K84</f>
        <v>0</v>
      </c>
      <c r="P84" s="12">
        <f t="shared" ref="P84:P100" si="24">$M84*L84</f>
        <v>0</v>
      </c>
      <c r="Q84">
        <v>15.9</v>
      </c>
      <c r="R84" s="45">
        <f t="shared" ref="R84:R100" si="25">Q84*N84</f>
        <v>0</v>
      </c>
      <c r="S84" s="45">
        <f t="shared" si="20"/>
        <v>0</v>
      </c>
      <c r="T84" s="45">
        <f t="shared" si="21"/>
        <v>0</v>
      </c>
      <c r="U84" s="16">
        <v>9</v>
      </c>
      <c r="AC84" s="55"/>
    </row>
    <row r="85" spans="1:29" s="55" customFormat="1" x14ac:dyDescent="0.25">
      <c r="A85">
        <v>83</v>
      </c>
      <c r="B85" s="55" t="s">
        <v>53</v>
      </c>
      <c r="C85" s="55">
        <v>2004</v>
      </c>
      <c r="D85" s="56" t="s">
        <v>45</v>
      </c>
      <c r="E85" s="57">
        <v>1</v>
      </c>
      <c r="F85" s="63" t="str">
        <f>VLOOKUP(E85,[1]Sheet1!$A$1:$B$21,2,FALSE)</f>
        <v>A</v>
      </c>
      <c r="G85" s="57">
        <v>1000</v>
      </c>
      <c r="H85" s="57">
        <v>4.0619747694862268E-3</v>
      </c>
      <c r="I85" s="57">
        <v>3.851761924480199E-3</v>
      </c>
      <c r="J85" s="57">
        <v>9.9553345124334157E-4</v>
      </c>
      <c r="K85" s="57">
        <v>2.8273931803865235E-3</v>
      </c>
      <c r="L85" s="57">
        <v>6.0205762492076187E-3</v>
      </c>
      <c r="M85" s="55">
        <v>20710.167560200389</v>
      </c>
      <c r="N85" s="111">
        <f t="shared" si="22"/>
        <v>79.770634857984831</v>
      </c>
      <c r="O85" s="60">
        <f t="shared" si="23"/>
        <v>58.555786524372785</v>
      </c>
      <c r="P85" s="60">
        <f t="shared" si="24"/>
        <v>124.68714293005256</v>
      </c>
      <c r="Q85" s="55">
        <v>9.8000000000000007</v>
      </c>
      <c r="R85" s="61">
        <f t="shared" si="25"/>
        <v>781.75222160825138</v>
      </c>
      <c r="S85" s="45">
        <f t="shared" si="20"/>
        <v>573.84670793885334</v>
      </c>
      <c r="T85" s="45">
        <f t="shared" si="21"/>
        <v>1221.9340007145152</v>
      </c>
      <c r="U85" s="55">
        <v>10</v>
      </c>
      <c r="V85" s="16"/>
      <c r="W85" s="16"/>
      <c r="X85" s="16"/>
      <c r="Y85" s="16"/>
      <c r="Z85" s="16"/>
      <c r="AA85" s="16"/>
      <c r="AB85" s="16"/>
      <c r="AC85"/>
    </row>
    <row r="86" spans="1:29" s="55" customFormat="1" x14ac:dyDescent="0.25">
      <c r="A86">
        <v>84</v>
      </c>
      <c r="B86" s="55" t="s">
        <v>53</v>
      </c>
      <c r="C86" s="55">
        <v>2004</v>
      </c>
      <c r="D86" s="56" t="s">
        <v>45</v>
      </c>
      <c r="E86" s="57">
        <v>2</v>
      </c>
      <c r="F86" s="63" t="str">
        <f>VLOOKUP(E86,[1]Sheet1!$A$1:$B$21,2,FALSE)</f>
        <v>B</v>
      </c>
      <c r="G86" s="57">
        <v>1000</v>
      </c>
      <c r="H86" s="57">
        <v>0.23055732501273593</v>
      </c>
      <c r="I86" s="57">
        <v>0.17451064979952424</v>
      </c>
      <c r="J86" s="57">
        <v>0.15751662542512318</v>
      </c>
      <c r="K86" s="57">
        <v>0.12420085984730847</v>
      </c>
      <c r="L86" s="57">
        <v>0.62583761641580848</v>
      </c>
      <c r="M86" s="55">
        <v>12937.515211791189</v>
      </c>
      <c r="N86" s="111">
        <f t="shared" si="22"/>
        <v>2257.7341864009099</v>
      </c>
      <c r="O86" s="60">
        <f t="shared" si="23"/>
        <v>1606.8505135920989</v>
      </c>
      <c r="P86" s="60">
        <f t="shared" si="24"/>
        <v>8096.7836824906617</v>
      </c>
      <c r="Q86" s="55">
        <v>8.5</v>
      </c>
      <c r="R86" s="61">
        <f t="shared" si="25"/>
        <v>19190.740584407733</v>
      </c>
      <c r="S86" s="45">
        <f t="shared" si="20"/>
        <v>13658.229365532841</v>
      </c>
      <c r="T86" s="45">
        <f t="shared" si="21"/>
        <v>68822.661301170621</v>
      </c>
      <c r="U86" s="55">
        <v>3</v>
      </c>
      <c r="V86" s="16"/>
      <c r="W86" s="16"/>
      <c r="X86" s="16"/>
      <c r="Y86" s="16"/>
      <c r="Z86" s="16"/>
      <c r="AA86" s="16"/>
      <c r="AB86" s="16"/>
    </row>
    <row r="87" spans="1:29" s="55" customFormat="1" x14ac:dyDescent="0.25">
      <c r="A87">
        <v>85</v>
      </c>
      <c r="B87" s="55" t="s">
        <v>53</v>
      </c>
      <c r="C87" s="55">
        <v>2004</v>
      </c>
      <c r="D87" s="56" t="s">
        <v>45</v>
      </c>
      <c r="E87" s="57">
        <v>3</v>
      </c>
      <c r="F87" s="63" t="str">
        <f>VLOOKUP(E87,[1]Sheet1!$A$1:$B$21,2,FALSE)</f>
        <v>C</v>
      </c>
      <c r="G87" s="57">
        <v>1000</v>
      </c>
      <c r="H87" s="57">
        <v>0.48858352211529038</v>
      </c>
      <c r="I87" s="57">
        <v>0.48203284556356152</v>
      </c>
      <c r="J87" s="57">
        <v>5.9483274677867119E-2</v>
      </c>
      <c r="K87" s="57">
        <v>0.40789695545643145</v>
      </c>
      <c r="L87" s="57">
        <v>0.59416292051892727</v>
      </c>
      <c r="M87" s="55">
        <v>10953.043037802479</v>
      </c>
      <c r="N87" s="111">
        <f t="shared" si="22"/>
        <v>5279.7265030920853</v>
      </c>
      <c r="O87" s="60">
        <f t="shared" si="23"/>
        <v>4467.7129081028943</v>
      </c>
      <c r="P87" s="60">
        <f t="shared" si="24"/>
        <v>6507.8920399102244</v>
      </c>
      <c r="Q87" s="55">
        <v>10.4</v>
      </c>
      <c r="R87" s="61">
        <f t="shared" si="25"/>
        <v>54909.155632157686</v>
      </c>
      <c r="S87" s="45">
        <f t="shared" si="20"/>
        <v>46464.214244270101</v>
      </c>
      <c r="T87" s="45">
        <f t="shared" si="21"/>
        <v>67682.07721506634</v>
      </c>
      <c r="U87" s="55">
        <v>1</v>
      </c>
      <c r="V87" s="16"/>
      <c r="W87" s="16"/>
      <c r="X87" s="16"/>
      <c r="Y87" s="16"/>
      <c r="Z87" s="16"/>
      <c r="AA87" s="16"/>
      <c r="AB87" s="16"/>
    </row>
    <row r="88" spans="1:29" s="55" customFormat="1" x14ac:dyDescent="0.25">
      <c r="A88">
        <v>86</v>
      </c>
      <c r="B88" s="55" t="s">
        <v>53</v>
      </c>
      <c r="C88" s="55">
        <v>2004</v>
      </c>
      <c r="D88" s="56" t="s">
        <v>45</v>
      </c>
      <c r="E88" s="57">
        <v>4</v>
      </c>
      <c r="F88" s="63" t="str">
        <f>VLOOKUP(E88,[1]Sheet1!$A$1:$B$21,2,FALSE)</f>
        <v>D</v>
      </c>
      <c r="G88" s="57">
        <v>1000</v>
      </c>
      <c r="H88" s="57">
        <v>0.11522592139256951</v>
      </c>
      <c r="I88" s="57">
        <v>9.0539877571639615E-2</v>
      </c>
      <c r="J88" s="57">
        <v>9.1971975919180007E-2</v>
      </c>
      <c r="K88" s="57">
        <v>4.0517867938527533E-2</v>
      </c>
      <c r="L88" s="57">
        <v>0.27110477842326797</v>
      </c>
      <c r="M88" s="55">
        <v>5346.4592453380883</v>
      </c>
      <c r="N88" s="111">
        <f t="shared" si="22"/>
        <v>484.06776551467124</v>
      </c>
      <c r="O88" s="60">
        <f t="shared" si="23"/>
        <v>216.62712964132822</v>
      </c>
      <c r="P88" s="60">
        <f t="shared" si="24"/>
        <v>1449.4506490564149</v>
      </c>
      <c r="Q88" s="55">
        <v>8.3000000000000007</v>
      </c>
      <c r="R88" s="61">
        <f t="shared" si="25"/>
        <v>4017.7624537717716</v>
      </c>
      <c r="S88" s="45">
        <f t="shared" si="20"/>
        <v>1798.0051760230244</v>
      </c>
      <c r="T88" s="45">
        <f t="shared" si="21"/>
        <v>12030.440387168244</v>
      </c>
      <c r="U88" s="55">
        <v>6</v>
      </c>
      <c r="V88" s="16"/>
      <c r="W88" s="16"/>
      <c r="X88" s="16"/>
      <c r="Y88" s="16"/>
      <c r="Z88" s="16"/>
      <c r="AA88" s="16"/>
      <c r="AB88" s="16"/>
    </row>
    <row r="89" spans="1:29" s="55" customFormat="1" x14ac:dyDescent="0.25">
      <c r="A89">
        <v>87</v>
      </c>
      <c r="B89" s="55" t="s">
        <v>53</v>
      </c>
      <c r="C89" s="55">
        <v>2004</v>
      </c>
      <c r="D89" s="56" t="s">
        <v>45</v>
      </c>
      <c r="E89" s="57">
        <v>5</v>
      </c>
      <c r="F89" s="63" t="str">
        <f>VLOOKUP(E89,[1]Sheet1!$A$1:$B$21,2,FALSE)</f>
        <v>E</v>
      </c>
      <c r="G89" s="57">
        <v>1000</v>
      </c>
      <c r="H89" s="57">
        <v>6.28637965272687E-2</v>
      </c>
      <c r="I89" s="57">
        <v>6.2704856298808523E-2</v>
      </c>
      <c r="J89" s="57">
        <v>4.6544421588200985E-3</v>
      </c>
      <c r="K89" s="57">
        <v>5.5438389152064685E-2</v>
      </c>
      <c r="L89" s="57">
        <v>7.0854420671602331E-2</v>
      </c>
      <c r="M89" s="55">
        <v>13991.101427824766</v>
      </c>
      <c r="N89" s="111">
        <f t="shared" si="22"/>
        <v>877.31000449380667</v>
      </c>
      <c r="O89" s="60">
        <f t="shared" si="23"/>
        <v>775.64412562175721</v>
      </c>
      <c r="P89" s="60">
        <f t="shared" si="24"/>
        <v>991.33138622615195</v>
      </c>
      <c r="Q89" s="55">
        <v>13.8</v>
      </c>
      <c r="R89" s="61">
        <f t="shared" si="25"/>
        <v>12106.878062014533</v>
      </c>
      <c r="S89" s="45">
        <f t="shared" si="20"/>
        <v>10703.888933580251</v>
      </c>
      <c r="T89" s="45">
        <f t="shared" si="21"/>
        <v>13680.373129920898</v>
      </c>
      <c r="U89" s="55">
        <v>4</v>
      </c>
      <c r="V89" s="16"/>
      <c r="W89" s="16"/>
      <c r="X89" s="16"/>
      <c r="Y89" s="16"/>
      <c r="Z89" s="16"/>
      <c r="AA89" s="16"/>
      <c r="AB89" s="16"/>
    </row>
    <row r="90" spans="1:29" s="55" customFormat="1" x14ac:dyDescent="0.25">
      <c r="A90">
        <v>88</v>
      </c>
      <c r="B90" s="55" t="s">
        <v>53</v>
      </c>
      <c r="C90" s="55">
        <v>2004</v>
      </c>
      <c r="D90" s="56" t="s">
        <v>45</v>
      </c>
      <c r="E90" s="57">
        <v>6</v>
      </c>
      <c r="F90" s="63" t="str">
        <f>VLOOKUP(E90,[1]Sheet1!$A$1:$B$21,2,FALSE)</f>
        <v>F</v>
      </c>
      <c r="G90" s="57">
        <v>1000</v>
      </c>
      <c r="H90" s="57">
        <v>0.2296340281408141</v>
      </c>
      <c r="I90" s="57">
        <v>0.22626198056104302</v>
      </c>
      <c r="J90" s="57">
        <v>3.0002222075404161E-2</v>
      </c>
      <c r="K90" s="57">
        <v>0.18675858687811736</v>
      </c>
      <c r="L90" s="57">
        <v>0.28377610565455036</v>
      </c>
      <c r="M90" s="55">
        <v>6966.102651973556</v>
      </c>
      <c r="N90" s="111">
        <f t="shared" si="22"/>
        <v>1576.164182827071</v>
      </c>
      <c r="O90" s="60">
        <f t="shared" si="23"/>
        <v>1300.979487330487</v>
      </c>
      <c r="P90" s="60">
        <f t="shared" si="24"/>
        <v>1976.8134821668914</v>
      </c>
      <c r="Q90" s="55">
        <v>12.7</v>
      </c>
      <c r="R90" s="61">
        <f t="shared" si="25"/>
        <v>20017.285121903802</v>
      </c>
      <c r="S90" s="45">
        <f t="shared" si="20"/>
        <v>16522.439489097185</v>
      </c>
      <c r="T90" s="45">
        <f t="shared" si="21"/>
        <v>25105.53122351952</v>
      </c>
      <c r="U90" s="55">
        <v>2</v>
      </c>
      <c r="V90" s="16"/>
      <c r="W90" s="16"/>
      <c r="X90" s="16"/>
      <c r="Y90" s="16"/>
      <c r="Z90" s="16"/>
      <c r="AA90" s="16"/>
      <c r="AB90" s="16"/>
    </row>
    <row r="91" spans="1:29" s="55" customFormat="1" x14ac:dyDescent="0.25">
      <c r="A91">
        <v>89</v>
      </c>
      <c r="B91" s="55" t="s">
        <v>53</v>
      </c>
      <c r="C91" s="55">
        <v>2004</v>
      </c>
      <c r="D91" s="56" t="s">
        <v>45</v>
      </c>
      <c r="E91" s="57">
        <v>7</v>
      </c>
      <c r="F91" s="63" t="str">
        <f>VLOOKUP(E91,[1]Sheet1!$A$1:$B$21,2,FALSE)</f>
        <v>G</v>
      </c>
      <c r="G91" s="57">
        <v>1000</v>
      </c>
      <c r="H91" s="57">
        <v>1.4682866892843404E-2</v>
      </c>
      <c r="I91" s="57">
        <v>1.4687873022295619E-2</v>
      </c>
      <c r="J91" s="57">
        <v>3.3269910523013842E-3</v>
      </c>
      <c r="K91" s="57">
        <v>9.0049228522342713E-3</v>
      </c>
      <c r="L91" s="57">
        <v>2.0349780594243437E-2</v>
      </c>
      <c r="M91" s="55">
        <v>2532.5333267390947</v>
      </c>
      <c r="N91" s="111">
        <f t="shared" si="22"/>
        <v>37.197527927875726</v>
      </c>
      <c r="O91" s="60">
        <f t="shared" si="23"/>
        <v>22.805267227997756</v>
      </c>
      <c r="P91" s="60">
        <f t="shared" si="24"/>
        <v>51.536497546750006</v>
      </c>
      <c r="Q91" s="55">
        <v>12.7</v>
      </c>
      <c r="R91" s="61">
        <f t="shared" si="25"/>
        <v>472.40860468402167</v>
      </c>
      <c r="S91" s="45">
        <f t="shared" si="20"/>
        <v>289.6268937955715</v>
      </c>
      <c r="T91" s="45">
        <f t="shared" si="21"/>
        <v>654.51351884372502</v>
      </c>
      <c r="U91" s="55">
        <v>11</v>
      </c>
      <c r="V91" s="16"/>
      <c r="W91" s="16"/>
      <c r="X91" s="16"/>
      <c r="Y91" s="16"/>
      <c r="Z91" s="16"/>
      <c r="AA91" s="16"/>
      <c r="AB91" s="16"/>
      <c r="AC91"/>
    </row>
    <row r="92" spans="1:29" s="55" customFormat="1" x14ac:dyDescent="0.25">
      <c r="A92">
        <v>90</v>
      </c>
      <c r="B92" s="55" t="s">
        <v>53</v>
      </c>
      <c r="C92" s="55">
        <v>2004</v>
      </c>
      <c r="D92" s="56" t="s">
        <v>45</v>
      </c>
      <c r="E92" s="57">
        <v>8</v>
      </c>
      <c r="F92" s="63" t="str">
        <f>VLOOKUP(E92,[1]Sheet1!$A$1:$B$21,2,FALSE)</f>
        <v>H</v>
      </c>
      <c r="G92" s="57">
        <v>1000</v>
      </c>
      <c r="H92" s="57">
        <v>1.286660968187384E-2</v>
      </c>
      <c r="I92" s="57">
        <v>1.0067769792160536E-2</v>
      </c>
      <c r="J92" s="57">
        <v>7.5746213845690235E-3</v>
      </c>
      <c r="K92" s="57">
        <v>8.2694468631924131E-3</v>
      </c>
      <c r="L92" s="57">
        <v>3.1600840798144875E-2</v>
      </c>
      <c r="M92" s="55">
        <v>13775.148973606703</v>
      </c>
      <c r="N92" s="111">
        <f t="shared" si="22"/>
        <v>138.68502871898878</v>
      </c>
      <c r="O92" s="60">
        <f t="shared" si="23"/>
        <v>113.91286246980015</v>
      </c>
      <c r="P92" s="60">
        <f t="shared" si="24"/>
        <v>435.30628968567419</v>
      </c>
      <c r="Q92" s="55">
        <v>14.7</v>
      </c>
      <c r="R92" s="61">
        <f t="shared" si="25"/>
        <v>2038.6699221691349</v>
      </c>
      <c r="S92" s="45">
        <f t="shared" si="20"/>
        <v>1674.5190783060621</v>
      </c>
      <c r="T92" s="45">
        <f t="shared" si="21"/>
        <v>6399.0024583794102</v>
      </c>
      <c r="U92" s="55">
        <v>8</v>
      </c>
      <c r="V92" s="16"/>
      <c r="W92" s="16"/>
      <c r="X92" s="16"/>
      <c r="Y92" s="16"/>
      <c r="Z92" s="16"/>
      <c r="AA92" s="16"/>
      <c r="AB92" s="16"/>
      <c r="AC92"/>
    </row>
    <row r="93" spans="1:29" s="55" customFormat="1" x14ac:dyDescent="0.25">
      <c r="A93">
        <v>91</v>
      </c>
      <c r="B93" s="55" t="s">
        <v>53</v>
      </c>
      <c r="C93" s="55">
        <v>2004</v>
      </c>
      <c r="D93" s="56" t="s">
        <v>45</v>
      </c>
      <c r="E93" s="57">
        <v>9</v>
      </c>
      <c r="F93" s="63" t="str">
        <f>VLOOKUP(E93,[1]Sheet1!$A$1:$B$21,2,FALSE)</f>
        <v>I</v>
      </c>
      <c r="G93" s="57">
        <v>1000</v>
      </c>
      <c r="H93" s="57">
        <v>5.4564304416470193E-2</v>
      </c>
      <c r="I93" s="57">
        <v>5.0515392740935798E-2</v>
      </c>
      <c r="J93" s="57">
        <v>1.6723013317748031E-2</v>
      </c>
      <c r="K93" s="57">
        <v>3.5151921503239217E-2</v>
      </c>
      <c r="L93" s="57">
        <v>8.7733582685122852E-2</v>
      </c>
      <c r="M93" s="55">
        <v>5560.7756961151053</v>
      </c>
      <c r="N93" s="111">
        <f t="shared" si="22"/>
        <v>280.90476823350519</v>
      </c>
      <c r="O93" s="60">
        <f t="shared" si="23"/>
        <v>195.4719507669586</v>
      </c>
      <c r="P93" s="60">
        <f t="shared" si="24"/>
        <v>487.86677432853617</v>
      </c>
      <c r="Q93" s="55">
        <v>11.4</v>
      </c>
      <c r="R93" s="61">
        <f t="shared" si="25"/>
        <v>3202.3143578619593</v>
      </c>
      <c r="S93" s="45">
        <f t="shared" si="20"/>
        <v>2228.3802387433279</v>
      </c>
      <c r="T93" s="45">
        <f t="shared" si="21"/>
        <v>5561.6812273453124</v>
      </c>
      <c r="U93" s="55">
        <v>7</v>
      </c>
      <c r="V93" s="16"/>
      <c r="W93" s="16"/>
      <c r="X93" s="16"/>
      <c r="Y93" s="16"/>
      <c r="Z93" s="16"/>
      <c r="AA93" s="16"/>
      <c r="AB93" s="16"/>
    </row>
    <row r="94" spans="1:29" s="55" customFormat="1" x14ac:dyDescent="0.25">
      <c r="A94">
        <v>92</v>
      </c>
      <c r="B94" s="55" t="s">
        <v>53</v>
      </c>
      <c r="C94" s="55">
        <v>2004</v>
      </c>
      <c r="D94" s="56" t="s">
        <v>45</v>
      </c>
      <c r="E94" s="57">
        <v>10</v>
      </c>
      <c r="F94" s="63" t="str">
        <f>VLOOKUP(E94,[1]Sheet1!$A$1:$B$21,2,FALSE)</f>
        <v>J</v>
      </c>
      <c r="G94" s="57">
        <v>1000</v>
      </c>
      <c r="H94" s="57">
        <v>5.9437690542769324E-2</v>
      </c>
      <c r="I94" s="57">
        <v>5.682282491735819E-2</v>
      </c>
      <c r="J94" s="57">
        <v>1.2258617696142194E-2</v>
      </c>
      <c r="K94" s="57">
        <v>4.4157643351643287E-2</v>
      </c>
      <c r="L94" s="57">
        <v>8.3246466472479075E-2</v>
      </c>
      <c r="M94" s="55">
        <v>10828.706776282988</v>
      </c>
      <c r="N94" s="111">
        <f t="shared" si="22"/>
        <v>615.31770923013846</v>
      </c>
      <c r="O94" s="60">
        <f t="shared" si="23"/>
        <v>478.17017178662712</v>
      </c>
      <c r="P94" s="60">
        <f t="shared" si="24"/>
        <v>901.45157559214874</v>
      </c>
      <c r="Q94" s="55">
        <v>11.8</v>
      </c>
      <c r="R94" s="61">
        <f t="shared" si="25"/>
        <v>7260.7489689156346</v>
      </c>
      <c r="S94" s="45">
        <f t="shared" si="20"/>
        <v>5642.4080270822005</v>
      </c>
      <c r="T94" s="45">
        <f t="shared" si="21"/>
        <v>10637.128591987355</v>
      </c>
      <c r="U94" s="55">
        <v>5</v>
      </c>
      <c r="V94" s="16"/>
      <c r="W94" s="16"/>
      <c r="X94" s="16"/>
      <c r="Y94" s="16"/>
      <c r="Z94" s="16"/>
      <c r="AA94" s="16"/>
      <c r="AB94" s="16"/>
    </row>
    <row r="95" spans="1:29" s="55" customFormat="1" x14ac:dyDescent="0.25">
      <c r="A95">
        <v>93</v>
      </c>
      <c r="B95" s="55" t="s">
        <v>53</v>
      </c>
      <c r="C95" s="55">
        <v>2004</v>
      </c>
      <c r="D95" s="56" t="s">
        <v>45</v>
      </c>
      <c r="E95" s="57">
        <v>11</v>
      </c>
      <c r="F95" s="63" t="str">
        <f>VLOOKUP(E95,[1]Sheet1!$A$1:$B$21,2,FALSE)</f>
        <v>K</v>
      </c>
      <c r="G95" s="57">
        <v>1000</v>
      </c>
      <c r="H95" s="57">
        <v>9.3607832857788421E-4</v>
      </c>
      <c r="I95" s="57">
        <v>7.1337551774562679E-4</v>
      </c>
      <c r="J95" s="57">
        <v>7.9608036959775725E-4</v>
      </c>
      <c r="K95" s="57">
        <v>4.4575820180093749E-4</v>
      </c>
      <c r="L95" s="57">
        <v>3.0211629878421709E-3</v>
      </c>
      <c r="M95" s="55">
        <v>11753.048720473937</v>
      </c>
      <c r="N95" s="111">
        <f t="shared" si="22"/>
        <v>8.3843372160576717</v>
      </c>
      <c r="O95" s="60">
        <f t="shared" si="23"/>
        <v>5.2390178633172715</v>
      </c>
      <c r="P95" s="60">
        <f t="shared" si="24"/>
        <v>35.507875788601645</v>
      </c>
      <c r="Q95" s="55">
        <v>11.8</v>
      </c>
      <c r="R95" s="61">
        <f t="shared" si="25"/>
        <v>98.935179149480533</v>
      </c>
      <c r="S95" s="45">
        <f t="shared" si="20"/>
        <v>61.820410787143807</v>
      </c>
      <c r="T95" s="45">
        <f t="shared" si="21"/>
        <v>418.99293430549943</v>
      </c>
      <c r="U95" s="55">
        <v>12</v>
      </c>
      <c r="V95" s="16"/>
      <c r="W95" s="16"/>
      <c r="X95" s="16"/>
      <c r="Y95" s="16"/>
      <c r="Z95" s="16"/>
      <c r="AA95" s="16"/>
      <c r="AB95" s="16"/>
      <c r="AC95"/>
    </row>
    <row r="96" spans="1:29" s="55" customFormat="1" x14ac:dyDescent="0.25">
      <c r="A96">
        <v>94</v>
      </c>
      <c r="B96" s="55" t="s">
        <v>53</v>
      </c>
      <c r="C96" s="55">
        <v>2004</v>
      </c>
      <c r="D96" s="56" t="s">
        <v>45</v>
      </c>
      <c r="E96" s="57">
        <v>12</v>
      </c>
      <c r="F96" s="63" t="str">
        <f>VLOOKUP(E96,[1]Sheet1!$A$1:$B$21,2,FALSE)</f>
        <v>L</v>
      </c>
      <c r="G96" s="40" t="s">
        <v>92</v>
      </c>
      <c r="H96" s="57"/>
      <c r="I96" s="57">
        <v>0</v>
      </c>
      <c r="J96" s="57">
        <v>0</v>
      </c>
      <c r="K96" s="57">
        <v>0</v>
      </c>
      <c r="L96" s="57">
        <v>0</v>
      </c>
      <c r="N96" s="111">
        <f t="shared" si="22"/>
        <v>0</v>
      </c>
      <c r="O96" s="60">
        <f t="shared" si="23"/>
        <v>0</v>
      </c>
      <c r="P96" s="60">
        <f t="shared" si="24"/>
        <v>0</v>
      </c>
      <c r="Q96" s="55">
        <v>11.8</v>
      </c>
      <c r="R96" s="61">
        <f t="shared" si="25"/>
        <v>0</v>
      </c>
      <c r="S96" s="45">
        <f t="shared" si="20"/>
        <v>0</v>
      </c>
      <c r="T96" s="45">
        <f t="shared" si="21"/>
        <v>0</v>
      </c>
      <c r="U96" s="55">
        <v>13</v>
      </c>
      <c r="V96" s="16"/>
      <c r="W96" s="16"/>
      <c r="X96" s="16"/>
      <c r="Y96" s="16"/>
      <c r="Z96" s="16"/>
      <c r="AA96" s="16"/>
      <c r="AB96" s="16"/>
      <c r="AC96"/>
    </row>
    <row r="97" spans="1:29" s="55" customFormat="1" x14ac:dyDescent="0.25">
      <c r="A97">
        <v>95</v>
      </c>
      <c r="B97" s="55" t="s">
        <v>53</v>
      </c>
      <c r="C97" s="55">
        <v>2004</v>
      </c>
      <c r="D97" s="56" t="s">
        <v>45</v>
      </c>
      <c r="E97" s="57">
        <v>13</v>
      </c>
      <c r="F97" s="63" t="str">
        <f>VLOOKUP(E97,[1]Sheet1!$A$1:$B$21,2,FALSE)</f>
        <v>M</v>
      </c>
      <c r="G97" s="57">
        <v>1000</v>
      </c>
      <c r="H97" s="57">
        <v>2.2239278296399597E-2</v>
      </c>
      <c r="I97" s="57">
        <v>1.4237372838306818E-2</v>
      </c>
      <c r="J97" s="57">
        <v>2.7820924983605364E-2</v>
      </c>
      <c r="K97" s="57">
        <v>1.0387984741762904E-2</v>
      </c>
      <c r="L97" s="57">
        <v>5.4302856931748994E-2</v>
      </c>
      <c r="M97" s="55">
        <v>5410.2633795388801</v>
      </c>
      <c r="N97" s="111">
        <f t="shared" si="22"/>
        <v>77.02793688793291</v>
      </c>
      <c r="O97" s="60">
        <f t="shared" si="23"/>
        <v>56.201733435568492</v>
      </c>
      <c r="P97" s="60">
        <f t="shared" si="24"/>
        <v>293.7927582621806</v>
      </c>
      <c r="Q97" s="55">
        <v>13.8</v>
      </c>
      <c r="R97" s="61">
        <f t="shared" si="25"/>
        <v>1062.9855290534742</v>
      </c>
      <c r="S97" s="45">
        <f t="shared" si="20"/>
        <v>775.58392141084528</v>
      </c>
      <c r="T97" s="45">
        <f t="shared" si="21"/>
        <v>4054.3400640180926</v>
      </c>
      <c r="U97" s="55">
        <v>9</v>
      </c>
      <c r="V97" s="16"/>
      <c r="W97" s="16"/>
      <c r="X97" s="16"/>
      <c r="Y97" s="16"/>
      <c r="Z97" s="16"/>
      <c r="AA97" s="16"/>
      <c r="AB97" s="16"/>
      <c r="AC97"/>
    </row>
    <row r="98" spans="1:29" x14ac:dyDescent="0.25">
      <c r="A98">
        <v>96</v>
      </c>
      <c r="B98" s="16" t="s">
        <v>80</v>
      </c>
      <c r="C98" s="16">
        <v>2005</v>
      </c>
      <c r="D98" s="42" t="s">
        <v>45</v>
      </c>
      <c r="E98" s="33">
        <v>1</v>
      </c>
      <c r="F98" s="43" t="str">
        <f t="shared" ref="F98:F107" si="26">VLOOKUP(E98,E$46:F$58,2,FALSE)</f>
        <v>A</v>
      </c>
      <c r="G98" s="33">
        <v>1000</v>
      </c>
      <c r="H98" s="33">
        <v>0.15190086662369928</v>
      </c>
      <c r="I98" s="33">
        <v>6.7815304342814242E-2</v>
      </c>
      <c r="J98" s="33">
        <v>0.17893322196306857</v>
      </c>
      <c r="K98" s="33">
        <v>2.8897304995747428E-2</v>
      </c>
      <c r="L98" s="33">
        <v>0.57356208537069731</v>
      </c>
      <c r="M98" s="25">
        <v>20710.167560200389</v>
      </c>
      <c r="N98" s="112">
        <f t="shared" si="22"/>
        <v>1404.466316085668</v>
      </c>
      <c r="O98" s="20">
        <f t="shared" si="23"/>
        <v>598.46802850014501</v>
      </c>
      <c r="P98" s="20">
        <f t="shared" si="24"/>
        <v>11878.566894205102</v>
      </c>
      <c r="Q98" s="16">
        <v>9</v>
      </c>
      <c r="R98" s="46">
        <f t="shared" si="25"/>
        <v>12640.196844771013</v>
      </c>
      <c r="S98" s="45">
        <f t="shared" si="20"/>
        <v>5386.2122565013051</v>
      </c>
      <c r="T98" s="45">
        <f t="shared" si="21"/>
        <v>106907.10204784591</v>
      </c>
      <c r="U98" s="16">
        <v>3</v>
      </c>
    </row>
    <row r="99" spans="1:29" x14ac:dyDescent="0.25">
      <c r="A99">
        <v>97</v>
      </c>
      <c r="B99" s="16" t="s">
        <v>80</v>
      </c>
      <c r="C99" s="16">
        <v>2005</v>
      </c>
      <c r="D99" s="42" t="s">
        <v>45</v>
      </c>
      <c r="E99" s="33">
        <v>2</v>
      </c>
      <c r="F99" s="43" t="str">
        <f t="shared" si="26"/>
        <v>B</v>
      </c>
      <c r="G99" s="33">
        <v>1000</v>
      </c>
      <c r="H99" s="33">
        <v>1.6637451549716897E-3</v>
      </c>
      <c r="I99" s="33">
        <v>1.4043292710140436E-3</v>
      </c>
      <c r="J99" s="33">
        <v>9.8992662137440952E-4</v>
      </c>
      <c r="K99" s="33">
        <v>7.7177495096714523E-4</v>
      </c>
      <c r="L99" s="33">
        <v>3.9494556900343423E-3</v>
      </c>
      <c r="M99" s="25">
        <v>12937.515211791189</v>
      </c>
      <c r="N99" s="112">
        <f t="shared" si="22"/>
        <v>18.16853130610782</v>
      </c>
      <c r="O99" s="20">
        <f t="shared" si="23"/>
        <v>9.9848501682168411</v>
      </c>
      <c r="P99" s="20">
        <f t="shared" si="24"/>
        <v>51.096143068114571</v>
      </c>
      <c r="Q99" s="16">
        <v>18.399999999999999</v>
      </c>
      <c r="R99" s="46">
        <f t="shared" si="25"/>
        <v>334.30097603238386</v>
      </c>
      <c r="S99" s="45">
        <f t="shared" si="20"/>
        <v>183.72124309518986</v>
      </c>
      <c r="T99" s="45">
        <f t="shared" si="21"/>
        <v>940.16903245330809</v>
      </c>
      <c r="U99" s="16">
        <v>7</v>
      </c>
    </row>
    <row r="100" spans="1:29" x14ac:dyDescent="0.25">
      <c r="A100">
        <v>98</v>
      </c>
      <c r="B100" s="16" t="s">
        <v>80</v>
      </c>
      <c r="C100" s="16">
        <v>2005</v>
      </c>
      <c r="D100" s="42" t="s">
        <v>45</v>
      </c>
      <c r="E100" s="33">
        <v>3</v>
      </c>
      <c r="F100" s="43" t="str">
        <f t="shared" si="26"/>
        <v>C</v>
      </c>
      <c r="G100" s="33">
        <v>1000</v>
      </c>
      <c r="H100" s="33">
        <v>0.16207951885731939</v>
      </c>
      <c r="I100" s="33">
        <v>0.15611859948174694</v>
      </c>
      <c r="J100" s="33">
        <v>3.6468339370682112E-2</v>
      </c>
      <c r="K100" s="33">
        <v>0.11275433159679221</v>
      </c>
      <c r="L100" s="33">
        <v>0.22986030143001504</v>
      </c>
      <c r="M100" s="25">
        <v>10953.043037802479</v>
      </c>
      <c r="N100" s="112">
        <f t="shared" si="22"/>
        <v>1709.9737391250221</v>
      </c>
      <c r="O100" s="20">
        <f t="shared" si="23"/>
        <v>1235.0030466783171</v>
      </c>
      <c r="P100" s="20">
        <f t="shared" si="24"/>
        <v>2517.6697742452056</v>
      </c>
      <c r="Q100" s="16">
        <v>16.899999999999999</v>
      </c>
      <c r="R100" s="46">
        <f t="shared" si="25"/>
        <v>28898.556191212872</v>
      </c>
      <c r="S100" s="45">
        <f t="shared" si="20"/>
        <v>20871.551488863559</v>
      </c>
      <c r="T100" s="45">
        <f t="shared" si="21"/>
        <v>42548.61918474397</v>
      </c>
      <c r="U100" s="16">
        <v>2</v>
      </c>
    </row>
    <row r="101" spans="1:29" x14ac:dyDescent="0.25">
      <c r="A101">
        <v>99</v>
      </c>
      <c r="B101" s="16" t="s">
        <v>80</v>
      </c>
      <c r="C101" s="16">
        <v>2005</v>
      </c>
      <c r="D101" s="42" t="s">
        <v>45</v>
      </c>
      <c r="E101" s="33">
        <v>4</v>
      </c>
      <c r="F101" s="43" t="str">
        <f t="shared" si="26"/>
        <v>D</v>
      </c>
      <c r="G101" s="33">
        <v>1000</v>
      </c>
      <c r="H101" s="33"/>
      <c r="I101" s="33"/>
      <c r="J101" s="33"/>
      <c r="K101" s="33"/>
      <c r="L101" s="33"/>
      <c r="M101" s="25"/>
      <c r="N101" s="112"/>
      <c r="O101" s="20"/>
      <c r="P101" s="20"/>
      <c r="Q101" s="16">
        <v>16.899999999999999</v>
      </c>
      <c r="R101" s="46"/>
      <c r="S101" s="45">
        <f t="shared" si="20"/>
        <v>0</v>
      </c>
      <c r="T101" s="45">
        <f t="shared" si="21"/>
        <v>0</v>
      </c>
      <c r="U101" s="16">
        <v>12</v>
      </c>
    </row>
    <row r="102" spans="1:29" x14ac:dyDescent="0.25">
      <c r="A102">
        <v>100</v>
      </c>
      <c r="B102" s="16" t="s">
        <v>80</v>
      </c>
      <c r="C102" s="16">
        <v>2005</v>
      </c>
      <c r="D102" s="42" t="s">
        <v>45</v>
      </c>
      <c r="E102" s="33">
        <v>5</v>
      </c>
      <c r="F102" s="43" t="str">
        <f t="shared" si="26"/>
        <v>E</v>
      </c>
      <c r="G102" s="33">
        <v>1000</v>
      </c>
      <c r="H102" s="33">
        <v>0.18518327848590674</v>
      </c>
      <c r="I102" s="33">
        <v>0.17583443371159627</v>
      </c>
      <c r="J102" s="33">
        <v>4.8389549377127174E-2</v>
      </c>
      <c r="K102" s="33">
        <v>0.11779041751961183</v>
      </c>
      <c r="L102" s="33">
        <v>0.27450415558087377</v>
      </c>
      <c r="M102" s="25">
        <v>13991.101427824766</v>
      </c>
      <c r="N102" s="112">
        <f t="shared" ref="N102:N111" si="27">$M102*I102</f>
        <v>2460.1173965630737</v>
      </c>
      <c r="O102" s="20">
        <f t="shared" ref="O102:O111" si="28">$M102*K102</f>
        <v>1648.0176787427165</v>
      </c>
      <c r="P102" s="20">
        <f t="shared" ref="P102:P111" si="29">$M102*L102</f>
        <v>3840.6154830913947</v>
      </c>
      <c r="Q102" s="16">
        <v>18.7</v>
      </c>
      <c r="R102" s="46">
        <f t="shared" ref="R102:R111" si="30">Q102*N102</f>
        <v>46004.195315729477</v>
      </c>
      <c r="S102" s="45">
        <f t="shared" si="20"/>
        <v>30817.930592488796</v>
      </c>
      <c r="T102" s="45">
        <f t="shared" si="21"/>
        <v>71819.509533809076</v>
      </c>
      <c r="U102" s="16">
        <v>1</v>
      </c>
    </row>
    <row r="103" spans="1:29" x14ac:dyDescent="0.25">
      <c r="A103">
        <v>101</v>
      </c>
      <c r="B103" s="16" t="s">
        <v>80</v>
      </c>
      <c r="C103" s="16">
        <v>2005</v>
      </c>
      <c r="D103" s="42" t="s">
        <v>45</v>
      </c>
      <c r="E103" s="33">
        <v>6</v>
      </c>
      <c r="F103" s="43" t="str">
        <f t="shared" si="26"/>
        <v>F</v>
      </c>
      <c r="G103" s="33">
        <v>1000</v>
      </c>
      <c r="H103" s="33">
        <v>0.11291222360936216</v>
      </c>
      <c r="I103" s="33">
        <v>6.0956250888259692E-2</v>
      </c>
      <c r="J103" s="33">
        <v>0.20432008573819302</v>
      </c>
      <c r="K103" s="33">
        <v>3.7226436585998168E-2</v>
      </c>
      <c r="L103" s="33">
        <v>0.76104226614136516</v>
      </c>
      <c r="M103" s="25">
        <v>6966.102651973556</v>
      </c>
      <c r="N103" s="112">
        <f t="shared" si="27"/>
        <v>424.62750096707128</v>
      </c>
      <c r="O103" s="20">
        <f t="shared" si="28"/>
        <v>259.32317862524724</v>
      </c>
      <c r="P103" s="20">
        <f t="shared" si="29"/>
        <v>5301.4985484313283</v>
      </c>
      <c r="Q103" s="16">
        <v>19.399999999999999</v>
      </c>
      <c r="R103" s="46">
        <f t="shared" si="30"/>
        <v>8237.7735187611815</v>
      </c>
      <c r="S103" s="45">
        <f t="shared" si="20"/>
        <v>5030.8696653297957</v>
      </c>
      <c r="T103" s="45">
        <f t="shared" si="21"/>
        <v>102849.07183956777</v>
      </c>
      <c r="U103" s="16">
        <v>4</v>
      </c>
    </row>
    <row r="104" spans="1:29" x14ac:dyDescent="0.25">
      <c r="A104">
        <v>102</v>
      </c>
      <c r="B104" s="16" t="s">
        <v>80</v>
      </c>
      <c r="C104" s="16">
        <v>2005</v>
      </c>
      <c r="D104" s="42" t="s">
        <v>45</v>
      </c>
      <c r="E104" s="33">
        <v>7</v>
      </c>
      <c r="F104" s="43" t="str">
        <f t="shared" si="26"/>
        <v>G</v>
      </c>
      <c r="G104" s="33">
        <v>1000</v>
      </c>
      <c r="H104" s="33">
        <v>3.4749660038418215E-2</v>
      </c>
      <c r="I104" s="33">
        <v>2.7413726897774278E-2</v>
      </c>
      <c r="J104" s="33">
        <v>2.694118740599747E-2</v>
      </c>
      <c r="K104" s="33">
        <v>1.3553654669626013E-2</v>
      </c>
      <c r="L104" s="33">
        <v>0.10336599009170613</v>
      </c>
      <c r="M104" s="25">
        <v>2532.5333267390947</v>
      </c>
      <c r="N104" s="112">
        <f t="shared" si="27"/>
        <v>69.426176978737288</v>
      </c>
      <c r="O104" s="20">
        <f t="shared" si="28"/>
        <v>34.325082149940833</v>
      </c>
      <c r="P104" s="20">
        <f t="shared" si="29"/>
        <v>261.77781475862884</v>
      </c>
      <c r="Q104" s="16">
        <v>19.3</v>
      </c>
      <c r="R104" s="46">
        <f t="shared" si="30"/>
        <v>1339.9252156896298</v>
      </c>
      <c r="S104" s="45">
        <f t="shared" si="20"/>
        <v>662.47408549385807</v>
      </c>
      <c r="T104" s="45">
        <f t="shared" si="21"/>
        <v>5052.3118248415367</v>
      </c>
      <c r="U104" s="16">
        <v>5</v>
      </c>
    </row>
    <row r="105" spans="1:29" x14ac:dyDescent="0.25">
      <c r="A105">
        <v>103</v>
      </c>
      <c r="B105" s="16" t="s">
        <v>80</v>
      </c>
      <c r="C105" s="16">
        <v>2005</v>
      </c>
      <c r="D105" s="42" t="s">
        <v>45</v>
      </c>
      <c r="E105" s="33">
        <v>8</v>
      </c>
      <c r="F105" s="43" t="str">
        <f t="shared" si="26"/>
        <v>H</v>
      </c>
      <c r="G105" s="33">
        <v>1000</v>
      </c>
      <c r="H105" s="33">
        <v>3.7793398987877747E-3</v>
      </c>
      <c r="I105" s="33">
        <v>2.8807735837156952E-3</v>
      </c>
      <c r="J105" s="33">
        <v>3.5579333604329202E-3</v>
      </c>
      <c r="K105" s="33">
        <v>1.9456424441637052E-3</v>
      </c>
      <c r="L105" s="33">
        <v>6.9958560047846431E-3</v>
      </c>
      <c r="M105" s="25">
        <v>14985.197005970756</v>
      </c>
      <c r="N105" s="112">
        <f t="shared" si="27"/>
        <v>43.168959681576084</v>
      </c>
      <c r="O105" s="20">
        <f t="shared" si="28"/>
        <v>29.15583532897158</v>
      </c>
      <c r="P105" s="20">
        <f t="shared" si="29"/>
        <v>104.83428045710137</v>
      </c>
      <c r="Q105" s="16">
        <v>8.1</v>
      </c>
      <c r="R105" s="46">
        <f t="shared" si="30"/>
        <v>349.66857342076628</v>
      </c>
      <c r="S105" s="45">
        <f t="shared" si="20"/>
        <v>236.1622661646698</v>
      </c>
      <c r="T105" s="45">
        <f t="shared" si="21"/>
        <v>849.15767170252104</v>
      </c>
      <c r="U105" s="16">
        <v>6</v>
      </c>
    </row>
    <row r="106" spans="1:29" x14ac:dyDescent="0.25">
      <c r="A106">
        <v>104</v>
      </c>
      <c r="B106" s="16" t="s">
        <v>80</v>
      </c>
      <c r="C106" s="16">
        <v>2005</v>
      </c>
      <c r="D106" s="42" t="s">
        <v>45</v>
      </c>
      <c r="E106" s="33">
        <v>9</v>
      </c>
      <c r="F106" s="43" t="str">
        <f t="shared" si="26"/>
        <v>I</v>
      </c>
      <c r="G106" s="33">
        <v>1000</v>
      </c>
      <c r="H106" s="33">
        <v>0.15209274533152795</v>
      </c>
      <c r="I106" s="33">
        <v>0.13204541164217226</v>
      </c>
      <c r="J106" s="33">
        <v>8.5206642381216932E-2</v>
      </c>
      <c r="K106" s="33">
        <v>5.32646406921546E-2</v>
      </c>
      <c r="L106" s="33">
        <v>0.3144385195170244</v>
      </c>
      <c r="M106" s="25"/>
      <c r="N106" s="112">
        <f t="shared" si="27"/>
        <v>0</v>
      </c>
      <c r="O106" s="20">
        <f t="shared" si="28"/>
        <v>0</v>
      </c>
      <c r="P106" s="20">
        <f t="shared" si="29"/>
        <v>0</v>
      </c>
      <c r="Q106" s="16">
        <v>11.7</v>
      </c>
      <c r="R106" s="46">
        <f t="shared" si="30"/>
        <v>0</v>
      </c>
      <c r="S106" s="45">
        <f t="shared" si="20"/>
        <v>0</v>
      </c>
      <c r="T106" s="45">
        <f t="shared" si="21"/>
        <v>0</v>
      </c>
      <c r="U106" s="16">
        <v>9</v>
      </c>
    </row>
    <row r="107" spans="1:29" x14ac:dyDescent="0.25">
      <c r="A107">
        <v>105</v>
      </c>
      <c r="B107" s="16" t="s">
        <v>80</v>
      </c>
      <c r="C107" s="16">
        <v>2005</v>
      </c>
      <c r="D107" s="42" t="s">
        <v>45</v>
      </c>
      <c r="E107" s="33">
        <v>10</v>
      </c>
      <c r="F107" s="43" t="str">
        <f t="shared" si="26"/>
        <v>J</v>
      </c>
      <c r="G107" s="33">
        <v>1000</v>
      </c>
      <c r="H107" s="33">
        <v>3.8103023458412488E-2</v>
      </c>
      <c r="I107" s="33">
        <v>2.506600207213561E-2</v>
      </c>
      <c r="J107" s="33">
        <v>3.6087656839493588E-2</v>
      </c>
      <c r="K107" s="33">
        <v>1.8283308691732273E-3</v>
      </c>
      <c r="L107" s="33">
        <v>0.10904895990614599</v>
      </c>
      <c r="M107" s="25"/>
      <c r="N107" s="112">
        <f t="shared" si="27"/>
        <v>0</v>
      </c>
      <c r="O107" s="20">
        <f t="shared" si="28"/>
        <v>0</v>
      </c>
      <c r="P107" s="20">
        <f t="shared" si="29"/>
        <v>0</v>
      </c>
      <c r="Q107" s="16">
        <v>15.3</v>
      </c>
      <c r="R107" s="46">
        <f t="shared" si="30"/>
        <v>0</v>
      </c>
      <c r="S107" s="45">
        <f t="shared" si="20"/>
        <v>0</v>
      </c>
      <c r="T107" s="45">
        <f t="shared" si="21"/>
        <v>0</v>
      </c>
      <c r="U107" s="16">
        <v>10</v>
      </c>
    </row>
    <row r="108" spans="1:29" x14ac:dyDescent="0.25">
      <c r="A108">
        <v>106</v>
      </c>
      <c r="B108" s="16" t="s">
        <v>80</v>
      </c>
      <c r="C108" s="16">
        <v>2005</v>
      </c>
      <c r="D108" s="42" t="s">
        <v>45</v>
      </c>
      <c r="E108" s="33">
        <v>12</v>
      </c>
      <c r="F108" s="43" t="s">
        <v>18</v>
      </c>
      <c r="G108" s="33">
        <v>1000</v>
      </c>
      <c r="H108" s="33">
        <v>2.2752905997190504E-2</v>
      </c>
      <c r="I108" s="33">
        <v>8.8420489147217826E-3</v>
      </c>
      <c r="J108" s="33">
        <v>3.1062405110355708E-2</v>
      </c>
      <c r="K108" s="33">
        <v>1.7924398893633569E-3</v>
      </c>
      <c r="L108" s="33">
        <v>9.6476957491973145E-2</v>
      </c>
      <c r="M108" s="25"/>
      <c r="N108" s="112">
        <f t="shared" si="27"/>
        <v>0</v>
      </c>
      <c r="O108" s="20">
        <f t="shared" si="28"/>
        <v>0</v>
      </c>
      <c r="P108" s="20">
        <f t="shared" si="29"/>
        <v>0</v>
      </c>
      <c r="Q108" s="16">
        <v>13.3</v>
      </c>
      <c r="R108" s="46">
        <f t="shared" si="30"/>
        <v>0</v>
      </c>
      <c r="S108" s="45">
        <f t="shared" si="20"/>
        <v>0</v>
      </c>
      <c r="T108" s="45">
        <f t="shared" si="21"/>
        <v>0</v>
      </c>
      <c r="U108" s="16">
        <v>11</v>
      </c>
    </row>
    <row r="109" spans="1:29" x14ac:dyDescent="0.25">
      <c r="A109">
        <v>107</v>
      </c>
      <c r="B109" s="16" t="s">
        <v>80</v>
      </c>
      <c r="C109" s="16">
        <v>2005</v>
      </c>
      <c r="D109" s="42" t="s">
        <v>45</v>
      </c>
      <c r="E109" s="33">
        <v>13</v>
      </c>
      <c r="F109" s="43" t="str">
        <f>VLOOKUP(E109,E$46:F$58,2,FALSE)</f>
        <v>M</v>
      </c>
      <c r="G109" s="33">
        <v>1000</v>
      </c>
      <c r="H109" s="33">
        <v>8.3963286985296315E-3</v>
      </c>
      <c r="I109" s="33">
        <v>3.517049889217836E-3</v>
      </c>
      <c r="J109" s="33">
        <v>1.050224439167775E-2</v>
      </c>
      <c r="K109" s="33">
        <v>8.551560766384646E-4</v>
      </c>
      <c r="L109" s="33">
        <v>3.3451488195958452E-2</v>
      </c>
      <c r="M109" s="25">
        <v>4906.4659682331812</v>
      </c>
      <c r="N109" s="112">
        <f t="shared" si="27"/>
        <v>17.256285590025591</v>
      </c>
      <c r="O109" s="20">
        <f t="shared" si="28"/>
        <v>4.1957941875544327</v>
      </c>
      <c r="P109" s="20">
        <f t="shared" si="29"/>
        <v>164.12858842022413</v>
      </c>
      <c r="Q109" s="16">
        <v>15.6</v>
      </c>
      <c r="R109" s="46">
        <f t="shared" si="30"/>
        <v>269.19805520439922</v>
      </c>
      <c r="S109" s="45">
        <f t="shared" si="20"/>
        <v>65.454389325849149</v>
      </c>
      <c r="T109" s="45">
        <f t="shared" si="21"/>
        <v>2560.4059793554966</v>
      </c>
      <c r="U109" s="16">
        <v>8</v>
      </c>
    </row>
    <row r="110" spans="1:29" s="55" customFormat="1" x14ac:dyDescent="0.25">
      <c r="A110">
        <v>108</v>
      </c>
      <c r="B110" s="57" t="s">
        <v>89</v>
      </c>
      <c r="C110" s="62">
        <v>2007</v>
      </c>
      <c r="D110" s="56" t="s">
        <v>45</v>
      </c>
      <c r="E110" s="57">
        <v>1</v>
      </c>
      <c r="F110" s="63" t="s">
        <v>7</v>
      </c>
      <c r="G110" s="57">
        <v>1000</v>
      </c>
      <c r="H110" s="57">
        <v>7.8052971045370165E-2</v>
      </c>
      <c r="I110" s="57">
        <v>5.4734117779048616E-2</v>
      </c>
      <c r="J110" s="57">
        <v>7.7940561247372336E-2</v>
      </c>
      <c r="K110" s="57">
        <v>2.5887002464015506E-2</v>
      </c>
      <c r="L110" s="57">
        <v>0.29205955065665812</v>
      </c>
      <c r="M110" s="59">
        <v>20710.167560200389</v>
      </c>
      <c r="N110" s="111">
        <f t="shared" si="27"/>
        <v>1133.5527504638401</v>
      </c>
      <c r="O110" s="60">
        <f t="shared" si="28"/>
        <v>536.12415866108142</v>
      </c>
      <c r="P110" s="60">
        <f t="shared" si="29"/>
        <v>6048.602231656223</v>
      </c>
      <c r="Q110" s="55">
        <v>7.6</v>
      </c>
      <c r="R110" s="61">
        <f t="shared" si="30"/>
        <v>8615.0009035251842</v>
      </c>
      <c r="S110" s="45">
        <f t="shared" si="20"/>
        <v>4074.5436058242185</v>
      </c>
      <c r="T110" s="45">
        <f t="shared" si="21"/>
        <v>45969.376960587295</v>
      </c>
      <c r="U110" s="55">
        <v>8</v>
      </c>
      <c r="V110" s="16"/>
      <c r="W110" s="16"/>
      <c r="X110" s="16"/>
      <c r="Y110" s="16"/>
      <c r="Z110" s="16"/>
      <c r="AA110" s="16"/>
      <c r="AB110" s="16"/>
      <c r="AC110"/>
    </row>
    <row r="111" spans="1:29" s="55" customFormat="1" x14ac:dyDescent="0.25">
      <c r="A111">
        <v>109</v>
      </c>
      <c r="B111" s="57" t="s">
        <v>89</v>
      </c>
      <c r="C111" s="62">
        <v>2007</v>
      </c>
      <c r="D111" s="56" t="s">
        <v>45</v>
      </c>
      <c r="E111" s="57">
        <v>2</v>
      </c>
      <c r="F111" s="63" t="s">
        <v>8</v>
      </c>
      <c r="G111" s="57">
        <v>1000</v>
      </c>
      <c r="H111" s="57">
        <v>0.61643789225818235</v>
      </c>
      <c r="I111" s="57">
        <v>0.61160054380813467</v>
      </c>
      <c r="J111" s="57">
        <v>7.2773414922742974E-2</v>
      </c>
      <c r="K111" s="57">
        <v>0.50807518584888223</v>
      </c>
      <c r="L111" s="57">
        <v>0.74428130000558801</v>
      </c>
      <c r="M111" s="59">
        <v>12937.515211791189</v>
      </c>
      <c r="N111" s="111">
        <f t="shared" si="27"/>
        <v>7912.591339057506</v>
      </c>
      <c r="O111" s="60">
        <f t="shared" si="28"/>
        <v>6573.2304456535494</v>
      </c>
      <c r="P111" s="60">
        <f t="shared" si="29"/>
        <v>9629.1506406740173</v>
      </c>
      <c r="Q111" s="55">
        <v>10.1</v>
      </c>
      <c r="R111" s="61">
        <f t="shared" si="30"/>
        <v>79917.172524480804</v>
      </c>
      <c r="S111" s="45">
        <f t="shared" si="20"/>
        <v>66389.62750110084</v>
      </c>
      <c r="T111" s="45">
        <f t="shared" si="21"/>
        <v>97254.421470807574</v>
      </c>
      <c r="U111" s="55">
        <v>2</v>
      </c>
      <c r="V111" s="16"/>
      <c r="W111" s="16"/>
      <c r="X111" s="16"/>
      <c r="Y111" s="16"/>
      <c r="Z111" s="16"/>
      <c r="AA111" s="16"/>
      <c r="AB111" s="16"/>
    </row>
    <row r="112" spans="1:29" s="55" customFormat="1" x14ac:dyDescent="0.25">
      <c r="A112">
        <v>110</v>
      </c>
      <c r="B112" s="57" t="s">
        <v>89</v>
      </c>
      <c r="C112" s="62">
        <v>2007</v>
      </c>
      <c r="D112" s="56" t="s">
        <v>45</v>
      </c>
      <c r="E112" s="57">
        <v>3</v>
      </c>
      <c r="F112" s="63" t="s">
        <v>9</v>
      </c>
      <c r="G112" s="57">
        <v>1000</v>
      </c>
      <c r="H112" s="57">
        <v>0.33087802059523863</v>
      </c>
      <c r="I112" s="57">
        <v>0.32399449854260542</v>
      </c>
      <c r="J112" s="57">
        <v>6.2883219881779265E-2</v>
      </c>
      <c r="K112" s="57">
        <v>0.2331425868770903</v>
      </c>
      <c r="L112" s="57">
        <v>0.44659245050955743</v>
      </c>
      <c r="M112" s="59"/>
      <c r="N112" s="111" t="s">
        <v>92</v>
      </c>
      <c r="O112" s="60"/>
      <c r="P112" s="60"/>
      <c r="R112" s="61"/>
      <c r="S112" s="45">
        <f t="shared" si="20"/>
        <v>0</v>
      </c>
      <c r="T112" s="45">
        <f t="shared" si="21"/>
        <v>0</v>
      </c>
      <c r="U112" s="55">
        <v>11</v>
      </c>
      <c r="V112" s="16"/>
      <c r="W112" s="16"/>
      <c r="X112" s="16"/>
      <c r="Y112" s="16"/>
      <c r="Z112" s="16"/>
      <c r="AA112" s="16"/>
      <c r="AB112" s="16"/>
      <c r="AC112"/>
    </row>
    <row r="113" spans="1:35" s="55" customFormat="1" x14ac:dyDescent="0.25">
      <c r="A113">
        <v>111</v>
      </c>
      <c r="B113" s="57" t="s">
        <v>91</v>
      </c>
      <c r="C113" s="62">
        <v>2007</v>
      </c>
      <c r="D113" s="56" t="s">
        <v>45</v>
      </c>
      <c r="E113" s="57">
        <v>4</v>
      </c>
      <c r="F113" s="63" t="str">
        <f>VLOOKUP(E113,E$46:F$58,2,FALSE)</f>
        <v>D</v>
      </c>
      <c r="G113" s="57">
        <v>1000</v>
      </c>
      <c r="H113" s="57"/>
      <c r="I113" s="57"/>
      <c r="J113" s="57"/>
      <c r="K113" s="57"/>
      <c r="L113" s="57"/>
      <c r="M113" s="59"/>
      <c r="N113" s="111">
        <f>$M113*I113</f>
        <v>0</v>
      </c>
      <c r="O113" s="60">
        <f>$M113*K113</f>
        <v>0</v>
      </c>
      <c r="P113" s="60">
        <f>$M113*L113</f>
        <v>0</v>
      </c>
      <c r="Q113" s="55">
        <v>16.899999999999999</v>
      </c>
      <c r="R113" s="61">
        <f>Q113*N113</f>
        <v>0</v>
      </c>
      <c r="S113" s="45">
        <f t="shared" si="20"/>
        <v>0</v>
      </c>
      <c r="T113" s="45">
        <f t="shared" si="21"/>
        <v>0</v>
      </c>
      <c r="U113" s="55">
        <v>13</v>
      </c>
      <c r="V113" s="16"/>
      <c r="W113" s="16"/>
      <c r="X113" s="16"/>
      <c r="Y113" s="16"/>
      <c r="Z113" s="16"/>
      <c r="AA113" s="16"/>
      <c r="AB113" s="16"/>
      <c r="AC113"/>
    </row>
    <row r="114" spans="1:35" s="55" customFormat="1" x14ac:dyDescent="0.25">
      <c r="A114">
        <v>112</v>
      </c>
      <c r="B114" s="57" t="s">
        <v>89</v>
      </c>
      <c r="C114" s="62">
        <v>2007</v>
      </c>
      <c r="D114" s="56" t="s">
        <v>45</v>
      </c>
      <c r="E114" s="57">
        <v>5</v>
      </c>
      <c r="F114" s="63" t="s">
        <v>11</v>
      </c>
      <c r="G114" s="57">
        <v>1000</v>
      </c>
      <c r="H114" s="57">
        <v>0.50330761414107461</v>
      </c>
      <c r="I114" s="57">
        <v>0.45757116232642414</v>
      </c>
      <c r="J114" s="57">
        <v>0.22634533663910894</v>
      </c>
      <c r="K114" s="57">
        <v>0.23845850668267865</v>
      </c>
      <c r="L114" s="57">
        <v>0.92841661441141721</v>
      </c>
      <c r="M114" s="59"/>
      <c r="N114" s="111" t="s">
        <v>92</v>
      </c>
      <c r="O114" s="60"/>
      <c r="P114" s="60"/>
      <c r="R114" s="61"/>
      <c r="S114" s="45">
        <f t="shared" si="20"/>
        <v>0</v>
      </c>
      <c r="T114" s="45">
        <f t="shared" si="21"/>
        <v>0</v>
      </c>
      <c r="U114" s="55">
        <v>12</v>
      </c>
      <c r="V114" s="16"/>
      <c r="W114" s="16"/>
      <c r="X114" s="16"/>
      <c r="Y114" s="16"/>
      <c r="Z114" s="16"/>
      <c r="AA114" s="16"/>
      <c r="AB114" s="16"/>
      <c r="AC114"/>
    </row>
    <row r="115" spans="1:35" s="55" customFormat="1" x14ac:dyDescent="0.25">
      <c r="A115">
        <v>113</v>
      </c>
      <c r="B115" s="57" t="s">
        <v>89</v>
      </c>
      <c r="C115" s="62">
        <v>2007</v>
      </c>
      <c r="D115" s="56" t="s">
        <v>45</v>
      </c>
      <c r="E115" s="57">
        <v>6</v>
      </c>
      <c r="F115" s="63" t="s">
        <v>12</v>
      </c>
      <c r="G115" s="57">
        <v>1000</v>
      </c>
      <c r="H115" s="57">
        <v>0.64233319478569773</v>
      </c>
      <c r="I115" s="57">
        <v>0.62653491476976497</v>
      </c>
      <c r="J115" s="57">
        <v>8.8009894964745747E-2</v>
      </c>
      <c r="K115" s="57">
        <v>0.5314689527078611</v>
      </c>
      <c r="L115" s="57">
        <v>0.80845090337987213</v>
      </c>
      <c r="M115" s="59">
        <v>5721.1040333376059</v>
      </c>
      <c r="N115" s="111">
        <f t="shared" ref="N115:N159" si="31">$M115*I115</f>
        <v>3584.4714279161353</v>
      </c>
      <c r="O115" s="60">
        <f t="shared" ref="O115:O159" si="32">$M115*K115</f>
        <v>3040.5891689306573</v>
      </c>
      <c r="P115" s="60">
        <f t="shared" ref="P115:P159" si="33">$M115*L115</f>
        <v>4625.2317240820175</v>
      </c>
      <c r="Q115" s="55">
        <v>10</v>
      </c>
      <c r="R115" s="61">
        <f t="shared" ref="R115:R146" si="34">Q115*N115</f>
        <v>35844.714279161351</v>
      </c>
      <c r="S115" s="45">
        <f t="shared" si="20"/>
        <v>30405.891689306573</v>
      </c>
      <c r="T115" s="45">
        <f t="shared" si="21"/>
        <v>46252.317240820179</v>
      </c>
      <c r="U115" s="55">
        <v>3</v>
      </c>
      <c r="V115" s="16"/>
      <c r="W115" s="16"/>
      <c r="X115" s="16"/>
      <c r="Y115" s="16"/>
      <c r="Z115" s="16"/>
      <c r="AA115" s="16"/>
      <c r="AB115" s="16"/>
    </row>
    <row r="116" spans="1:35" s="55" customFormat="1" x14ac:dyDescent="0.25">
      <c r="A116">
        <v>114</v>
      </c>
      <c r="B116" s="57" t="s">
        <v>89</v>
      </c>
      <c r="C116" s="62">
        <v>2007</v>
      </c>
      <c r="D116" s="56" t="s">
        <v>45</v>
      </c>
      <c r="E116" s="57">
        <v>7</v>
      </c>
      <c r="F116" s="63" t="s">
        <v>13</v>
      </c>
      <c r="G116" s="57">
        <v>1000</v>
      </c>
      <c r="H116" s="57">
        <v>1.4204472062771012</v>
      </c>
      <c r="I116" s="57">
        <v>1.3644362840767497</v>
      </c>
      <c r="J116" s="57">
        <v>0.43560426912932571</v>
      </c>
      <c r="K116" s="57">
        <v>0.77304353081691946</v>
      </c>
      <c r="L116" s="57">
        <v>2.1981417154107623</v>
      </c>
      <c r="M116" s="59">
        <v>1865.0439227923566</v>
      </c>
      <c r="N116" s="111">
        <f t="shared" si="31"/>
        <v>2544.7335996547276</v>
      </c>
      <c r="O116" s="60">
        <f t="shared" si="32"/>
        <v>1441.7601392040415</v>
      </c>
      <c r="P116" s="60">
        <f t="shared" si="33"/>
        <v>4099.6308477632083</v>
      </c>
      <c r="Q116" s="55">
        <v>10</v>
      </c>
      <c r="R116" s="61">
        <f t="shared" si="34"/>
        <v>25447.335996547277</v>
      </c>
      <c r="S116" s="45">
        <f t="shared" si="20"/>
        <v>14417.601392040415</v>
      </c>
      <c r="T116" s="45">
        <f t="shared" si="21"/>
        <v>40996.308477632083</v>
      </c>
      <c r="U116" s="55">
        <v>5</v>
      </c>
      <c r="V116" s="16"/>
      <c r="W116" s="16"/>
      <c r="X116" s="16"/>
      <c r="Y116" s="16"/>
      <c r="Z116" s="16"/>
      <c r="AA116" s="16"/>
      <c r="AB116" s="16"/>
    </row>
    <row r="117" spans="1:35" s="55" customFormat="1" x14ac:dyDescent="0.25">
      <c r="A117">
        <v>115</v>
      </c>
      <c r="B117" s="57" t="s">
        <v>89</v>
      </c>
      <c r="C117" s="62">
        <v>2007</v>
      </c>
      <c r="D117" s="56" t="s">
        <v>45</v>
      </c>
      <c r="E117" s="57">
        <v>8</v>
      </c>
      <c r="F117" s="63" t="s">
        <v>14</v>
      </c>
      <c r="G117" s="57">
        <v>1000</v>
      </c>
      <c r="H117" s="57">
        <v>0.25700896980312882</v>
      </c>
      <c r="I117" s="57">
        <v>0.25334776507820245</v>
      </c>
      <c r="J117" s="57">
        <v>3.4069569441200979E-2</v>
      </c>
      <c r="K117" s="57">
        <v>0.20711274279886366</v>
      </c>
      <c r="L117" s="57">
        <v>0.32183373222174716</v>
      </c>
      <c r="M117" s="59">
        <v>13775.148973606703</v>
      </c>
      <c r="N117" s="111">
        <f t="shared" si="31"/>
        <v>3489.9032060825525</v>
      </c>
      <c r="O117" s="60">
        <f t="shared" si="32"/>
        <v>2853.0088863866358</v>
      </c>
      <c r="P117" s="60">
        <f t="shared" si="33"/>
        <v>4433.307606086415</v>
      </c>
      <c r="Q117" s="55">
        <v>8.1999999999999993</v>
      </c>
      <c r="R117" s="61">
        <f t="shared" si="34"/>
        <v>28617.206289876929</v>
      </c>
      <c r="S117" s="45">
        <f t="shared" si="20"/>
        <v>23394.672868370413</v>
      </c>
      <c r="T117" s="45">
        <f t="shared" si="21"/>
        <v>36353.122369908597</v>
      </c>
      <c r="U117" s="55">
        <v>4</v>
      </c>
      <c r="V117" s="16"/>
      <c r="W117" s="16"/>
      <c r="X117" s="16"/>
      <c r="Y117" s="16"/>
      <c r="Z117" s="16"/>
      <c r="AA117" s="16"/>
      <c r="AB117" s="16"/>
    </row>
    <row r="118" spans="1:35" s="55" customFormat="1" x14ac:dyDescent="0.25">
      <c r="A118">
        <v>116</v>
      </c>
      <c r="B118" s="57" t="s">
        <v>89</v>
      </c>
      <c r="C118" s="62">
        <v>2007</v>
      </c>
      <c r="D118" s="56" t="s">
        <v>45</v>
      </c>
      <c r="E118" s="57">
        <v>9</v>
      </c>
      <c r="F118" s="63" t="s">
        <v>15</v>
      </c>
      <c r="G118" s="57">
        <v>1000</v>
      </c>
      <c r="H118" s="57">
        <v>0.26815613819125234</v>
      </c>
      <c r="I118" s="57">
        <v>0.22335431728257549</v>
      </c>
      <c r="J118" s="57">
        <v>0.15190099412141489</v>
      </c>
      <c r="K118" s="57">
        <v>0.10401925864275657</v>
      </c>
      <c r="L118" s="57">
        <v>0.58359837722517416</v>
      </c>
      <c r="M118" s="59">
        <v>5560.7756961151053</v>
      </c>
      <c r="N118" s="111">
        <f t="shared" si="31"/>
        <v>1242.0232591673278</v>
      </c>
      <c r="O118" s="60">
        <f t="shared" si="32"/>
        <v>578.42776538855185</v>
      </c>
      <c r="P118" s="60">
        <f t="shared" si="33"/>
        <v>3245.2596723659635</v>
      </c>
      <c r="Q118" s="55">
        <v>16</v>
      </c>
      <c r="R118" s="61">
        <f t="shared" si="34"/>
        <v>19872.372146677244</v>
      </c>
      <c r="S118" s="45">
        <f t="shared" si="20"/>
        <v>9254.8442462168296</v>
      </c>
      <c r="T118" s="45">
        <f t="shared" si="21"/>
        <v>51924.154757855416</v>
      </c>
      <c r="U118" s="55">
        <v>6</v>
      </c>
      <c r="V118" s="16"/>
      <c r="W118" s="16"/>
      <c r="X118" s="16"/>
      <c r="Y118" s="16"/>
      <c r="Z118" s="16"/>
      <c r="AA118" s="16"/>
      <c r="AB118" s="16"/>
      <c r="AC118"/>
    </row>
    <row r="119" spans="1:35" s="55" customFormat="1" x14ac:dyDescent="0.25">
      <c r="A119">
        <v>117</v>
      </c>
      <c r="B119" s="57" t="s">
        <v>89</v>
      </c>
      <c r="C119" s="62">
        <v>2007</v>
      </c>
      <c r="D119" s="56" t="s">
        <v>45</v>
      </c>
      <c r="E119" s="57">
        <v>10</v>
      </c>
      <c r="F119" s="63" t="s">
        <v>16</v>
      </c>
      <c r="G119" s="57">
        <v>1000</v>
      </c>
      <c r="H119" s="57">
        <v>0.66065861146768179</v>
      </c>
      <c r="I119" s="57">
        <v>0.65699568117765206</v>
      </c>
      <c r="J119" s="57">
        <v>6.2653371080200707E-2</v>
      </c>
      <c r="K119" s="57">
        <v>0.57009902403040935</v>
      </c>
      <c r="L119" s="57">
        <v>0.76714923339617647</v>
      </c>
      <c r="M119" s="59">
        <v>10828.706776282988</v>
      </c>
      <c r="N119" s="111">
        <f t="shared" si="31"/>
        <v>7114.4135847570988</v>
      </c>
      <c r="O119" s="60">
        <f t="shared" si="32"/>
        <v>6173.4351646704117</v>
      </c>
      <c r="P119" s="60">
        <f t="shared" si="33"/>
        <v>8307.2341020974764</v>
      </c>
      <c r="Q119" s="55">
        <v>12.2</v>
      </c>
      <c r="R119" s="61">
        <f t="shared" si="34"/>
        <v>86795.8457340366</v>
      </c>
      <c r="S119" s="45">
        <f t="shared" si="20"/>
        <v>75315.909008979012</v>
      </c>
      <c r="T119" s="45">
        <f t="shared" si="21"/>
        <v>101348.25604558921</v>
      </c>
      <c r="U119" s="55">
        <v>1</v>
      </c>
      <c r="V119" s="16"/>
      <c r="W119" s="16"/>
      <c r="X119" s="16"/>
      <c r="Y119" s="16"/>
      <c r="Z119" s="16"/>
      <c r="AA119" s="16"/>
      <c r="AB119" s="16"/>
    </row>
    <row r="120" spans="1:35" s="55" customFormat="1" x14ac:dyDescent="0.25">
      <c r="A120">
        <v>118</v>
      </c>
      <c r="B120" s="57" t="s">
        <v>89</v>
      </c>
      <c r="C120" s="62">
        <v>2007</v>
      </c>
      <c r="D120" s="56" t="s">
        <v>45</v>
      </c>
      <c r="E120" s="57">
        <v>11</v>
      </c>
      <c r="F120" s="63" t="s">
        <v>17</v>
      </c>
      <c r="G120" s="57">
        <v>1000</v>
      </c>
      <c r="H120" s="57">
        <v>1.1058633415244061E-2</v>
      </c>
      <c r="I120" s="57">
        <v>1.0089150013820941E-2</v>
      </c>
      <c r="J120" s="57">
        <v>4.0394906867196748E-3</v>
      </c>
      <c r="K120" s="57">
        <v>5.9414231999055413E-3</v>
      </c>
      <c r="L120" s="57">
        <v>1.8776153416307329E-2</v>
      </c>
      <c r="M120" s="59">
        <v>11753.048720473937</v>
      </c>
      <c r="N120" s="111">
        <f t="shared" si="31"/>
        <v>118.57827166060781</v>
      </c>
      <c r="O120" s="60">
        <f t="shared" si="32"/>
        <v>69.829836337443979</v>
      </c>
      <c r="P120" s="60">
        <f t="shared" si="33"/>
        <v>220.6770458849532</v>
      </c>
      <c r="Q120" s="55">
        <v>12.2</v>
      </c>
      <c r="R120" s="61">
        <f t="shared" si="34"/>
        <v>1446.6549142594151</v>
      </c>
      <c r="S120" s="45">
        <f t="shared" si="20"/>
        <v>851.92400331681654</v>
      </c>
      <c r="T120" s="45">
        <f t="shared" si="21"/>
        <v>2692.259959796429</v>
      </c>
      <c r="U120" s="55">
        <v>9</v>
      </c>
      <c r="V120" s="16"/>
      <c r="W120" s="16"/>
      <c r="X120" s="16"/>
      <c r="Y120" s="16"/>
      <c r="Z120" s="16"/>
      <c r="AA120" s="16"/>
      <c r="AB120" s="16"/>
      <c r="AC120"/>
    </row>
    <row r="121" spans="1:35" s="55" customFormat="1" x14ac:dyDescent="0.25">
      <c r="A121">
        <v>119</v>
      </c>
      <c r="B121" s="57" t="s">
        <v>89</v>
      </c>
      <c r="C121" s="62">
        <v>2007</v>
      </c>
      <c r="D121" s="56" t="s">
        <v>45</v>
      </c>
      <c r="E121" s="57">
        <v>12</v>
      </c>
      <c r="F121" s="63" t="s">
        <v>18</v>
      </c>
      <c r="G121" s="57">
        <v>1000</v>
      </c>
      <c r="H121" s="57">
        <v>9.9735670551059658E-4</v>
      </c>
      <c r="I121" s="57">
        <v>1.506782965876074E-4</v>
      </c>
      <c r="J121" s="57">
        <v>3.6706435924937874E-3</v>
      </c>
      <c r="K121" s="57">
        <v>4.536376147980752E-5</v>
      </c>
      <c r="L121" s="57">
        <v>7.6717408190341528E-4</v>
      </c>
      <c r="M121" s="59">
        <v>30959.729118353116</v>
      </c>
      <c r="N121" s="111">
        <f t="shared" si="31"/>
        <v>4.6649592463671956</v>
      </c>
      <c r="O121" s="60">
        <f t="shared" si="32"/>
        <v>1.4044497672044223</v>
      </c>
      <c r="P121" s="60">
        <f t="shared" si="33"/>
        <v>23.751501762350983</v>
      </c>
      <c r="Q121" s="55">
        <v>0.3</v>
      </c>
      <c r="R121" s="61">
        <f t="shared" si="34"/>
        <v>1.3994877739101586</v>
      </c>
      <c r="S121" s="45">
        <f t="shared" si="20"/>
        <v>0.42133493016132667</v>
      </c>
      <c r="T121" s="45">
        <f t="shared" si="21"/>
        <v>7.1254505287052945</v>
      </c>
      <c r="U121" s="55">
        <v>10</v>
      </c>
      <c r="V121" s="16"/>
      <c r="W121" s="16"/>
      <c r="X121" s="16"/>
      <c r="Y121" s="16"/>
      <c r="Z121" s="16"/>
      <c r="AA121" s="16"/>
      <c r="AB121" s="16"/>
      <c r="AC121"/>
    </row>
    <row r="122" spans="1:35" s="55" customFormat="1" x14ac:dyDescent="0.25">
      <c r="A122">
        <v>120</v>
      </c>
      <c r="B122" s="57" t="s">
        <v>89</v>
      </c>
      <c r="C122" s="62">
        <v>2007</v>
      </c>
      <c r="D122" s="56" t="s">
        <v>45</v>
      </c>
      <c r="E122" s="57">
        <v>13</v>
      </c>
      <c r="F122" s="63" t="s">
        <v>19</v>
      </c>
      <c r="G122" s="57">
        <v>1000</v>
      </c>
      <c r="H122" s="57">
        <v>0.59070833054405236</v>
      </c>
      <c r="I122" s="57">
        <v>0.40313778605675915</v>
      </c>
      <c r="J122" s="57">
        <v>0.40235301393043288</v>
      </c>
      <c r="K122" s="57">
        <v>0.26776685819854962</v>
      </c>
      <c r="L122" s="57">
        <v>1.4584280650197226</v>
      </c>
      <c r="M122" s="59">
        <v>2740.3057637519273</v>
      </c>
      <c r="N122" s="111">
        <f t="shared" si="31"/>
        <v>1104.7207987175284</v>
      </c>
      <c r="O122" s="60">
        <f t="shared" si="32"/>
        <v>733.76306486323051</v>
      </c>
      <c r="P122" s="60">
        <f t="shared" si="33"/>
        <v>3996.5388325911163</v>
      </c>
      <c r="Q122" s="55">
        <v>12.6</v>
      </c>
      <c r="R122" s="61">
        <f t="shared" si="34"/>
        <v>13919.482063840858</v>
      </c>
      <c r="S122" s="45">
        <f t="shared" si="20"/>
        <v>9245.414617276705</v>
      </c>
      <c r="T122" s="45">
        <f t="shared" si="21"/>
        <v>50356.389290648061</v>
      </c>
      <c r="U122" s="55">
        <v>7</v>
      </c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x14ac:dyDescent="0.25">
      <c r="A123">
        <v>121</v>
      </c>
      <c r="B123" s="33" t="s">
        <v>93</v>
      </c>
      <c r="C123" s="48">
        <v>2008</v>
      </c>
      <c r="D123" s="42" t="s">
        <v>45</v>
      </c>
      <c r="E123" s="33">
        <v>1</v>
      </c>
      <c r="F123" s="43" t="s">
        <v>7</v>
      </c>
      <c r="G123" s="33">
        <v>1000</v>
      </c>
      <c r="H123" s="1">
        <v>9.8169614223109464E-2</v>
      </c>
      <c r="I123" s="1">
        <v>8.0895664412278204E-2</v>
      </c>
      <c r="J123" s="1">
        <v>4.5240614563140651E-2</v>
      </c>
      <c r="K123" s="1">
        <v>5.5891792827067063E-2</v>
      </c>
      <c r="L123" s="1">
        <v>0.18553011461753038</v>
      </c>
      <c r="M123" s="25">
        <v>20710.167560200389</v>
      </c>
      <c r="N123" s="112">
        <f t="shared" si="31"/>
        <v>1675.3627648720212</v>
      </c>
      <c r="O123" s="20">
        <f t="shared" si="32"/>
        <v>1157.5283946885652</v>
      </c>
      <c r="P123" s="20">
        <f t="shared" si="33"/>
        <v>3842.3597611922378</v>
      </c>
      <c r="Q123" s="16">
        <v>11.5</v>
      </c>
      <c r="R123" s="46">
        <f t="shared" si="34"/>
        <v>19266.671796028244</v>
      </c>
      <c r="S123" s="45">
        <f t="shared" si="20"/>
        <v>13311.5765389185</v>
      </c>
      <c r="T123" s="45">
        <f t="shared" si="21"/>
        <v>44187.137253710738</v>
      </c>
      <c r="U123" s="16">
        <v>5</v>
      </c>
      <c r="AC123" s="16"/>
      <c r="AD123" s="16"/>
      <c r="AE123" s="16"/>
      <c r="AF123" s="16"/>
      <c r="AG123" s="16"/>
      <c r="AH123" s="16"/>
      <c r="AI123" s="16"/>
    </row>
    <row r="124" spans="1:35" x14ac:dyDescent="0.25">
      <c r="A124">
        <v>122</v>
      </c>
      <c r="B124" s="33" t="s">
        <v>93</v>
      </c>
      <c r="C124" s="48">
        <v>2008</v>
      </c>
      <c r="D124" s="42" t="s">
        <v>45</v>
      </c>
      <c r="E124" s="33">
        <v>2</v>
      </c>
      <c r="F124" s="43" t="s">
        <v>8</v>
      </c>
      <c r="G124" s="33">
        <v>1000</v>
      </c>
      <c r="H124" s="1">
        <v>0.23725408312536297</v>
      </c>
      <c r="I124" s="1">
        <v>0.23115596741464767</v>
      </c>
      <c r="J124" s="1">
        <v>4.0483279208877489E-2</v>
      </c>
      <c r="K124" s="1">
        <v>0.18161105115951012</v>
      </c>
      <c r="L124" s="1">
        <v>0.30667398833357229</v>
      </c>
      <c r="M124" s="25">
        <v>12937.515211791189</v>
      </c>
      <c r="N124" s="112">
        <f t="shared" si="31"/>
        <v>2990.5838447233127</v>
      </c>
      <c r="O124" s="20">
        <f t="shared" si="32"/>
        <v>2349.5957370055503</v>
      </c>
      <c r="P124" s="20">
        <f t="shared" si="33"/>
        <v>3967.5993891262651</v>
      </c>
      <c r="Q124" s="16">
        <v>6.1</v>
      </c>
      <c r="R124" s="46">
        <f t="shared" si="34"/>
        <v>18242.561452812206</v>
      </c>
      <c r="S124" s="45">
        <f t="shared" si="20"/>
        <v>14332.533995733857</v>
      </c>
      <c r="T124" s="45">
        <f t="shared" si="21"/>
        <v>24202.356273670215</v>
      </c>
      <c r="U124" s="16">
        <v>6</v>
      </c>
      <c r="AC124" s="16"/>
      <c r="AD124" s="16"/>
      <c r="AE124" s="16"/>
      <c r="AF124" s="16"/>
      <c r="AG124" s="16"/>
      <c r="AH124" s="16"/>
      <c r="AI124" s="16"/>
    </row>
    <row r="125" spans="1:35" x14ac:dyDescent="0.25">
      <c r="A125">
        <v>123</v>
      </c>
      <c r="B125" s="33" t="s">
        <v>93</v>
      </c>
      <c r="C125" s="48">
        <v>2008</v>
      </c>
      <c r="D125" s="42" t="s">
        <v>45</v>
      </c>
      <c r="E125" s="33">
        <v>3</v>
      </c>
      <c r="F125" s="43" t="s">
        <v>9</v>
      </c>
      <c r="G125" s="33">
        <v>1000</v>
      </c>
      <c r="H125" s="1">
        <v>0.43314178190084235</v>
      </c>
      <c r="I125" s="1">
        <v>0.34427708108629662</v>
      </c>
      <c r="J125" s="1">
        <v>0.3389344223530677</v>
      </c>
      <c r="K125" s="1">
        <v>0.28250042241738371</v>
      </c>
      <c r="L125" s="1">
        <v>0.78944755198219352</v>
      </c>
      <c r="M125" s="25">
        <v>10953.043037802479</v>
      </c>
      <c r="N125" s="112">
        <f t="shared" si="31"/>
        <v>3770.8816860672209</v>
      </c>
      <c r="O125" s="20">
        <f t="shared" si="32"/>
        <v>3094.239284934984</v>
      </c>
      <c r="P125" s="20">
        <f t="shared" si="33"/>
        <v>8646.8530129487754</v>
      </c>
      <c r="Q125" s="16">
        <v>18.100000000000001</v>
      </c>
      <c r="R125" s="46">
        <f t="shared" si="34"/>
        <v>68252.958517816704</v>
      </c>
      <c r="S125" s="45">
        <f t="shared" si="20"/>
        <v>56005.731057323217</v>
      </c>
      <c r="T125" s="45">
        <f t="shared" si="21"/>
        <v>156508.03953437286</v>
      </c>
      <c r="U125" s="16">
        <v>2</v>
      </c>
      <c r="AC125" s="16"/>
      <c r="AD125" s="16"/>
      <c r="AE125" s="16"/>
      <c r="AF125" s="16"/>
      <c r="AG125" s="16"/>
      <c r="AH125" s="16"/>
      <c r="AI125" s="16"/>
    </row>
    <row r="126" spans="1:35" x14ac:dyDescent="0.25">
      <c r="A126">
        <v>124</v>
      </c>
      <c r="B126" s="33" t="s">
        <v>93</v>
      </c>
      <c r="C126" s="48">
        <v>2008</v>
      </c>
      <c r="D126" s="42" t="s">
        <v>45</v>
      </c>
      <c r="E126" s="33">
        <v>4</v>
      </c>
      <c r="F126" s="43" t="str">
        <f>VLOOKUP(E126,E$46:F$58,2,FALSE)</f>
        <v>D</v>
      </c>
      <c r="G126" s="33">
        <v>1000</v>
      </c>
      <c r="H126" s="1">
        <v>5.5954044773754943E-2</v>
      </c>
      <c r="I126" s="1">
        <v>5.3474475035545727E-2</v>
      </c>
      <c r="J126" s="1">
        <v>2.0952070239472178E-2</v>
      </c>
      <c r="K126" s="1">
        <v>2.5355228563642439E-2</v>
      </c>
      <c r="L126" s="1">
        <v>9.5650590722886078E-2</v>
      </c>
      <c r="M126" s="25">
        <v>5346.4592453380883</v>
      </c>
      <c r="N126" s="112">
        <f t="shared" si="31"/>
        <v>285.89910144339427</v>
      </c>
      <c r="O126" s="20">
        <f t="shared" si="32"/>
        <v>135.56069617174649</v>
      </c>
      <c r="P126" s="20">
        <f t="shared" si="33"/>
        <v>511.39198509242385</v>
      </c>
      <c r="Q126" s="16">
        <v>16.899999999999999</v>
      </c>
      <c r="R126" s="46">
        <f t="shared" si="34"/>
        <v>4831.6948143933632</v>
      </c>
      <c r="S126" s="45">
        <f t="shared" si="20"/>
        <v>2290.9757653025154</v>
      </c>
      <c r="T126" s="45">
        <f t="shared" si="21"/>
        <v>8642.5245480619615</v>
      </c>
      <c r="U126" s="16">
        <v>9</v>
      </c>
      <c r="AC126" s="16"/>
      <c r="AD126" s="16"/>
      <c r="AE126" s="16"/>
      <c r="AF126" s="16"/>
      <c r="AG126" s="16"/>
      <c r="AH126" s="16"/>
      <c r="AI126" s="16"/>
    </row>
    <row r="127" spans="1:35" x14ac:dyDescent="0.25">
      <c r="A127">
        <v>125</v>
      </c>
      <c r="B127" s="33" t="s">
        <v>93</v>
      </c>
      <c r="C127" s="48">
        <v>2008</v>
      </c>
      <c r="D127" s="42" t="s">
        <v>45</v>
      </c>
      <c r="E127" s="33">
        <v>5</v>
      </c>
      <c r="F127" s="43" t="s">
        <v>11</v>
      </c>
      <c r="G127" s="33">
        <v>1000</v>
      </c>
      <c r="H127" s="1">
        <v>9.5983448500616519E-2</v>
      </c>
      <c r="I127" s="1">
        <v>9.2086651683794929E-2</v>
      </c>
      <c r="J127" s="1">
        <v>2.1333564329890479E-2</v>
      </c>
      <c r="K127" s="1">
        <v>6.921413766147308E-2</v>
      </c>
      <c r="L127" s="1">
        <v>0.1367799535605338</v>
      </c>
      <c r="M127" s="25">
        <v>13991.101427824766</v>
      </c>
      <c r="N127" s="112">
        <f t="shared" si="31"/>
        <v>1288.3936838567452</v>
      </c>
      <c r="O127" s="20">
        <f t="shared" si="32"/>
        <v>968.38202026109593</v>
      </c>
      <c r="P127" s="20">
        <f t="shared" si="33"/>
        <v>1913.7022035585896</v>
      </c>
      <c r="Q127" s="16">
        <v>17.899999999999999</v>
      </c>
      <c r="R127" s="46">
        <f t="shared" si="34"/>
        <v>23062.246941035737</v>
      </c>
      <c r="S127" s="45">
        <f t="shared" si="20"/>
        <v>17334.038162673616</v>
      </c>
      <c r="T127" s="45">
        <f t="shared" si="21"/>
        <v>34255.269443698751</v>
      </c>
      <c r="U127" s="16">
        <v>4</v>
      </c>
      <c r="AC127" s="16"/>
      <c r="AD127" s="16"/>
      <c r="AE127" s="16"/>
      <c r="AF127" s="16"/>
      <c r="AG127" s="16"/>
      <c r="AH127" s="16"/>
      <c r="AI127" s="16"/>
    </row>
    <row r="128" spans="1:35" x14ac:dyDescent="0.25">
      <c r="A128">
        <v>126</v>
      </c>
      <c r="B128" s="33" t="s">
        <v>93</v>
      </c>
      <c r="C128" s="48">
        <v>2008</v>
      </c>
      <c r="D128" s="42" t="s">
        <v>45</v>
      </c>
      <c r="E128" s="33">
        <v>6</v>
      </c>
      <c r="F128" s="43" t="s">
        <v>12</v>
      </c>
      <c r="G128" s="33">
        <v>1000</v>
      </c>
      <c r="H128" s="1">
        <v>7.1066347696270543E-2</v>
      </c>
      <c r="I128" s="1">
        <v>6.9407952801289668E-2</v>
      </c>
      <c r="J128" s="1">
        <v>1.7602632018096274E-2</v>
      </c>
      <c r="K128" s="1">
        <v>4.6124491362227481E-2</v>
      </c>
      <c r="L128" s="1">
        <v>0.10385672041427169</v>
      </c>
      <c r="M128" s="25">
        <v>6966.102651973556</v>
      </c>
      <c r="N128" s="112">
        <f t="shared" si="31"/>
        <v>483.50292407711936</v>
      </c>
      <c r="O128" s="20">
        <f t="shared" si="32"/>
        <v>321.30794159934425</v>
      </c>
      <c r="P128" s="20">
        <f t="shared" si="33"/>
        <v>723.4765755031342</v>
      </c>
      <c r="Q128" s="16">
        <v>21.1</v>
      </c>
      <c r="R128" s="46">
        <f t="shared" si="34"/>
        <v>10201.911698027219</v>
      </c>
      <c r="S128" s="45">
        <f t="shared" si="20"/>
        <v>6779.5975677461638</v>
      </c>
      <c r="T128" s="45">
        <f t="shared" si="21"/>
        <v>15265.355743116133</v>
      </c>
      <c r="U128" s="16">
        <v>8</v>
      </c>
      <c r="AC128" s="16"/>
      <c r="AD128" s="16"/>
      <c r="AE128" s="16"/>
      <c r="AF128" s="16"/>
      <c r="AG128" s="16"/>
      <c r="AH128" s="16"/>
      <c r="AI128" s="16"/>
    </row>
    <row r="129" spans="1:35" x14ac:dyDescent="0.25">
      <c r="A129">
        <v>127</v>
      </c>
      <c r="B129" s="33" t="s">
        <v>93</v>
      </c>
      <c r="C129" s="48">
        <v>2008</v>
      </c>
      <c r="D129" s="42" t="s">
        <v>45</v>
      </c>
      <c r="E129" s="33">
        <v>7</v>
      </c>
      <c r="F129" s="43" t="s">
        <v>13</v>
      </c>
      <c r="G129" s="33">
        <v>1000</v>
      </c>
      <c r="H129" s="1">
        <v>2.0386575018138838E-2</v>
      </c>
      <c r="I129" s="1">
        <v>1.103126197095125E-2</v>
      </c>
      <c r="J129" s="1">
        <v>2.0684147885088225E-2</v>
      </c>
      <c r="K129" s="1">
        <v>6.4061257951752663E-3</v>
      </c>
      <c r="L129" s="1">
        <v>6.6571748585614612E-2</v>
      </c>
      <c r="M129" s="25">
        <v>2532.5333267390947</v>
      </c>
      <c r="N129" s="112">
        <f t="shared" si="31"/>
        <v>27.937038577423632</v>
      </c>
      <c r="O129" s="20">
        <f t="shared" si="32"/>
        <v>16.223727071564344</v>
      </c>
      <c r="P129" s="20">
        <f t="shared" si="33"/>
        <v>168.5951719123652</v>
      </c>
      <c r="Q129" s="16">
        <v>21.1</v>
      </c>
      <c r="R129" s="46">
        <f t="shared" si="34"/>
        <v>589.47151398363872</v>
      </c>
      <c r="S129" s="45">
        <f t="shared" si="20"/>
        <v>342.32064121000769</v>
      </c>
      <c r="T129" s="45">
        <f t="shared" si="21"/>
        <v>3557.3581273509062</v>
      </c>
      <c r="U129" s="16">
        <v>13</v>
      </c>
      <c r="AC129" s="16"/>
      <c r="AD129" s="16"/>
      <c r="AE129" s="16"/>
      <c r="AF129" s="16"/>
      <c r="AG129" s="16"/>
      <c r="AH129" s="16"/>
      <c r="AI129" s="16"/>
    </row>
    <row r="130" spans="1:35" x14ac:dyDescent="0.25">
      <c r="A130">
        <v>128</v>
      </c>
      <c r="B130" s="33" t="s">
        <v>93</v>
      </c>
      <c r="C130" s="48">
        <v>2008</v>
      </c>
      <c r="D130" s="42" t="s">
        <v>45</v>
      </c>
      <c r="E130" s="33">
        <v>8</v>
      </c>
      <c r="F130" s="43" t="s">
        <v>14</v>
      </c>
      <c r="G130" s="33">
        <v>1000</v>
      </c>
      <c r="H130" s="1">
        <v>0.52115089626055811</v>
      </c>
      <c r="I130" s="1">
        <v>0.51616549165616099</v>
      </c>
      <c r="J130" s="1">
        <v>5.3336562667907032E-2</v>
      </c>
      <c r="K130" s="1">
        <v>0.43966551685559407</v>
      </c>
      <c r="L130" s="1">
        <v>0.61534913076891962</v>
      </c>
      <c r="M130" s="25">
        <v>13775.148973606703</v>
      </c>
      <c r="N130" s="112">
        <f t="shared" si="31"/>
        <v>7110.2565425985658</v>
      </c>
      <c r="O130" s="20">
        <f t="shared" si="32"/>
        <v>6056.4579932435972</v>
      </c>
      <c r="P130" s="20">
        <f t="shared" si="33"/>
        <v>8476.5259471212594</v>
      </c>
      <c r="Q130" s="16">
        <v>9.4</v>
      </c>
      <c r="R130" s="46">
        <f t="shared" si="34"/>
        <v>66836.411500426519</v>
      </c>
      <c r="S130" s="45">
        <f t="shared" si="20"/>
        <v>56930.705136489814</v>
      </c>
      <c r="T130" s="45">
        <f t="shared" si="21"/>
        <v>79679.343902939843</v>
      </c>
      <c r="U130" s="16">
        <v>1</v>
      </c>
      <c r="AC130" s="16"/>
      <c r="AD130" s="16"/>
      <c r="AE130" s="16"/>
      <c r="AF130" s="16"/>
      <c r="AG130" s="16"/>
      <c r="AH130" s="16"/>
      <c r="AI130" s="16"/>
    </row>
    <row r="131" spans="1:35" x14ac:dyDescent="0.25">
      <c r="A131">
        <v>129</v>
      </c>
      <c r="B131" s="33" t="s">
        <v>93</v>
      </c>
      <c r="C131" s="48">
        <v>2008</v>
      </c>
      <c r="D131" s="42" t="s">
        <v>45</v>
      </c>
      <c r="E131" s="33">
        <v>9</v>
      </c>
      <c r="F131" s="43" t="s">
        <v>15</v>
      </c>
      <c r="G131" s="33">
        <v>1000</v>
      </c>
      <c r="H131" s="1">
        <v>4.6204018653746258E-2</v>
      </c>
      <c r="I131" s="1">
        <v>3.9920147701256029E-2</v>
      </c>
      <c r="J131" s="1">
        <v>1.6589977025389252E-2</v>
      </c>
      <c r="K131" s="1">
        <v>3.0333490969965536E-2</v>
      </c>
      <c r="L131" s="1">
        <v>7.9095819971722769E-2</v>
      </c>
      <c r="M131" s="25">
        <v>5560.7756961151053</v>
      </c>
      <c r="N131" s="112">
        <f t="shared" si="31"/>
        <v>221.98698712246983</v>
      </c>
      <c r="O131" s="20">
        <f t="shared" si="32"/>
        <v>168.67773936411137</v>
      </c>
      <c r="P131" s="20">
        <f t="shared" si="33"/>
        <v>439.83411336305176</v>
      </c>
      <c r="Q131" s="16">
        <v>9.9</v>
      </c>
      <c r="R131" s="46">
        <f t="shared" si="34"/>
        <v>2197.6711725124514</v>
      </c>
      <c r="S131" s="45">
        <f t="shared" si="20"/>
        <v>1669.9096197047027</v>
      </c>
      <c r="T131" s="45">
        <f t="shared" si="21"/>
        <v>4354.3577222942122</v>
      </c>
      <c r="U131" s="16">
        <v>11</v>
      </c>
      <c r="AC131" s="16"/>
      <c r="AD131" s="16"/>
      <c r="AE131" s="16"/>
      <c r="AF131" s="16"/>
      <c r="AG131" s="16"/>
      <c r="AH131" s="16"/>
      <c r="AI131" s="16"/>
    </row>
    <row r="132" spans="1:35" x14ac:dyDescent="0.25">
      <c r="A132">
        <v>130</v>
      </c>
      <c r="B132" s="33" t="s">
        <v>93</v>
      </c>
      <c r="C132" s="48">
        <v>2008</v>
      </c>
      <c r="D132" s="42" t="s">
        <v>45</v>
      </c>
      <c r="E132" s="33">
        <v>10</v>
      </c>
      <c r="F132" s="43" t="s">
        <v>16</v>
      </c>
      <c r="G132" s="33">
        <v>1000</v>
      </c>
      <c r="H132" s="1">
        <v>0.2963053452912679</v>
      </c>
      <c r="I132" s="1">
        <v>0.29183233750508686</v>
      </c>
      <c r="J132" s="1">
        <v>3.896808981280532E-2</v>
      </c>
      <c r="K132" s="1">
        <v>0.23825845255893124</v>
      </c>
      <c r="L132" s="1">
        <v>0.36688562279252568</v>
      </c>
      <c r="M132" s="25">
        <v>10828.706776282988</v>
      </c>
      <c r="N132" s="112">
        <f t="shared" si="31"/>
        <v>3160.1668106798384</v>
      </c>
      <c r="O132" s="20">
        <f t="shared" si="32"/>
        <v>2580.0309197315978</v>
      </c>
      <c r="P132" s="20">
        <f t="shared" si="33"/>
        <v>3972.8968296542271</v>
      </c>
      <c r="Q132" s="16">
        <v>10.8</v>
      </c>
      <c r="R132" s="46">
        <f t="shared" si="34"/>
        <v>34129.801555342259</v>
      </c>
      <c r="S132" s="45">
        <f t="shared" si="20"/>
        <v>27864.333933101258</v>
      </c>
      <c r="T132" s="45">
        <f t="shared" si="21"/>
        <v>42907.285760265659</v>
      </c>
      <c r="U132" s="16">
        <v>3</v>
      </c>
      <c r="AC132" s="16"/>
      <c r="AD132" s="16"/>
      <c r="AE132" s="16"/>
      <c r="AF132" s="16"/>
      <c r="AG132" s="16"/>
      <c r="AH132" s="16"/>
      <c r="AI132" s="16"/>
    </row>
    <row r="133" spans="1:35" x14ac:dyDescent="0.25">
      <c r="A133">
        <v>131</v>
      </c>
      <c r="B133" s="33" t="s">
        <v>93</v>
      </c>
      <c r="C133" s="48">
        <v>2008</v>
      </c>
      <c r="D133" s="42" t="s">
        <v>45</v>
      </c>
      <c r="E133" s="33">
        <v>11</v>
      </c>
      <c r="F133" s="43" t="s">
        <v>17</v>
      </c>
      <c r="G133" s="33">
        <v>1000</v>
      </c>
      <c r="H133" s="1">
        <v>1.008527878254678E-2</v>
      </c>
      <c r="I133" s="1">
        <v>5.5128391217213399E-3</v>
      </c>
      <c r="J133" s="1">
        <v>1.5643163543285619E-2</v>
      </c>
      <c r="K133" s="1">
        <v>3.7126961963427209E-3</v>
      </c>
      <c r="L133" s="1">
        <v>3.0142541779590987E-2</v>
      </c>
      <c r="M133" s="25">
        <v>11753.048720473937</v>
      </c>
      <c r="N133" s="112">
        <f t="shared" si="31"/>
        <v>64.792666785725658</v>
      </c>
      <c r="O133" s="20">
        <f t="shared" si="32"/>
        <v>43.635499279934265</v>
      </c>
      <c r="P133" s="20">
        <f t="shared" si="33"/>
        <v>354.26676209445401</v>
      </c>
      <c r="Q133" s="16">
        <v>11.9</v>
      </c>
      <c r="R133" s="46">
        <f t="shared" si="34"/>
        <v>771.03273475013532</v>
      </c>
      <c r="S133" s="45">
        <f t="shared" si="20"/>
        <v>519.26244143121778</v>
      </c>
      <c r="T133" s="45">
        <f t="shared" si="21"/>
        <v>4215.7744689240026</v>
      </c>
      <c r="U133" s="16">
        <v>12</v>
      </c>
      <c r="AC133" s="16"/>
      <c r="AD133" s="16"/>
      <c r="AE133" s="16"/>
      <c r="AF133" s="16"/>
      <c r="AG133" s="16"/>
      <c r="AH133" s="16"/>
      <c r="AI133" s="16"/>
    </row>
    <row r="134" spans="1:35" x14ac:dyDescent="0.25">
      <c r="A134">
        <v>132</v>
      </c>
      <c r="B134" s="33" t="s">
        <v>93</v>
      </c>
      <c r="C134" s="48">
        <v>2008</v>
      </c>
      <c r="D134" s="42" t="s">
        <v>45</v>
      </c>
      <c r="E134" s="33">
        <v>12</v>
      </c>
      <c r="F134" s="43" t="s">
        <v>18</v>
      </c>
      <c r="G134" s="33">
        <v>1000</v>
      </c>
      <c r="H134" s="1">
        <v>4.8696956339408522E-2</v>
      </c>
      <c r="I134" s="1">
        <v>1.7073354314131435E-2</v>
      </c>
      <c r="J134" s="1">
        <v>0.10310506495449334</v>
      </c>
      <c r="K134" s="1">
        <v>5.8433403317908576E-3</v>
      </c>
      <c r="L134" s="1">
        <v>0.32998372960706834</v>
      </c>
      <c r="M134" s="25">
        <v>30959.729118353116</v>
      </c>
      <c r="N134" s="112">
        <f t="shared" si="31"/>
        <v>528.58642470717473</v>
      </c>
      <c r="O134" s="20">
        <f t="shared" si="32"/>
        <v>180.90823381859258</v>
      </c>
      <c r="P134" s="20">
        <f t="shared" si="33"/>
        <v>10216.206882098715</v>
      </c>
      <c r="Q134" s="16">
        <v>6.1</v>
      </c>
      <c r="R134" s="46">
        <f t="shared" si="34"/>
        <v>3224.3771907137657</v>
      </c>
      <c r="S134" s="45">
        <f t="shared" si="20"/>
        <v>1103.5402262934147</v>
      </c>
      <c r="T134" s="45">
        <f t="shared" si="21"/>
        <v>62318.861980802161</v>
      </c>
      <c r="U134" s="16">
        <v>10</v>
      </c>
      <c r="AC134" s="16"/>
      <c r="AD134" s="16"/>
      <c r="AE134" s="16"/>
      <c r="AF134" s="16"/>
      <c r="AG134" s="16"/>
      <c r="AH134" s="16"/>
      <c r="AI134" s="16"/>
    </row>
    <row r="135" spans="1:35" x14ac:dyDescent="0.25">
      <c r="A135">
        <v>133</v>
      </c>
      <c r="B135" s="33" t="s">
        <v>93</v>
      </c>
      <c r="C135" s="48">
        <v>2008</v>
      </c>
      <c r="D135" s="42" t="s">
        <v>45</v>
      </c>
      <c r="E135" s="33">
        <v>13</v>
      </c>
      <c r="F135" s="43" t="s">
        <v>19</v>
      </c>
      <c r="G135" s="33">
        <v>1000</v>
      </c>
      <c r="H135" s="1">
        <v>0.13170394614741132</v>
      </c>
      <c r="I135" s="1">
        <v>0.12600284076290486</v>
      </c>
      <c r="J135" s="1">
        <v>2.5869306436000973E-2</v>
      </c>
      <c r="K135" s="1">
        <v>9.851794199440278E-2</v>
      </c>
      <c r="L135" s="1">
        <v>0.18267836887245731</v>
      </c>
      <c r="M135" s="25">
        <v>5410.2633795388801</v>
      </c>
      <c r="N135" s="112">
        <f t="shared" si="31"/>
        <v>681.70855509741295</v>
      </c>
      <c r="O135" s="20">
        <f t="shared" si="32"/>
        <v>533.00801379985296</v>
      </c>
      <c r="P135" s="20">
        <f t="shared" si="33"/>
        <v>988.33808934455101</v>
      </c>
      <c r="Q135" s="16">
        <v>16.5</v>
      </c>
      <c r="R135" s="46">
        <f t="shared" si="34"/>
        <v>11248.191159107313</v>
      </c>
      <c r="S135" s="45">
        <f t="shared" si="20"/>
        <v>8794.6322276975734</v>
      </c>
      <c r="T135" s="45">
        <f t="shared" si="21"/>
        <v>16307.578474185091</v>
      </c>
      <c r="U135" s="16">
        <v>7</v>
      </c>
      <c r="AC135" s="16"/>
      <c r="AD135" s="16"/>
      <c r="AE135" s="16"/>
      <c r="AF135" s="16"/>
      <c r="AG135" s="16"/>
      <c r="AH135" s="16"/>
      <c r="AI135" s="16"/>
    </row>
    <row r="136" spans="1:35" x14ac:dyDescent="0.25">
      <c r="A136">
        <v>134</v>
      </c>
      <c r="B136" s="48" t="s">
        <v>124</v>
      </c>
      <c r="C136" s="48">
        <v>2009</v>
      </c>
      <c r="D136" s="42" t="s">
        <v>45</v>
      </c>
      <c r="E136" s="1">
        <v>1</v>
      </c>
      <c r="F136" s="43" t="s">
        <v>7</v>
      </c>
      <c r="G136" s="33">
        <v>1000</v>
      </c>
      <c r="H136" s="1">
        <v>8.0712263756367475E-2</v>
      </c>
      <c r="I136" s="1">
        <v>7.7266122201321147E-2</v>
      </c>
      <c r="J136" s="1">
        <v>1.4930801756688155E-2</v>
      </c>
      <c r="K136" s="1">
        <v>6.26105268519834E-2</v>
      </c>
      <c r="L136" s="1">
        <v>0.11032648196022596</v>
      </c>
      <c r="M136" s="25">
        <v>20710.167560200389</v>
      </c>
      <c r="N136" s="112">
        <f t="shared" si="31"/>
        <v>1600.1943375162803</v>
      </c>
      <c r="O136" s="20">
        <f t="shared" si="32"/>
        <v>1296.674502137002</v>
      </c>
      <c r="P136" s="20">
        <f t="shared" si="33"/>
        <v>2284.8799277237049</v>
      </c>
      <c r="Q136" s="92">
        <v>8.6999999999999993</v>
      </c>
      <c r="R136" s="46">
        <f t="shared" si="34"/>
        <v>13921.690736391638</v>
      </c>
      <c r="S136" s="45">
        <f t="shared" si="20"/>
        <v>11281.068168591917</v>
      </c>
      <c r="T136" s="45">
        <f t="shared" si="21"/>
        <v>19878.455371196233</v>
      </c>
      <c r="U136" s="16">
        <v>6</v>
      </c>
      <c r="AC136" s="16"/>
      <c r="AD136" s="16"/>
      <c r="AE136" s="16"/>
      <c r="AF136" s="16"/>
      <c r="AG136" s="16"/>
      <c r="AH136" s="16"/>
      <c r="AI136" s="16"/>
    </row>
    <row r="137" spans="1:35" x14ac:dyDescent="0.25">
      <c r="A137">
        <v>135</v>
      </c>
      <c r="B137" s="48" t="s">
        <v>124</v>
      </c>
      <c r="C137" s="48">
        <v>2009</v>
      </c>
      <c r="D137" s="42" t="s">
        <v>45</v>
      </c>
      <c r="E137" s="1">
        <v>2</v>
      </c>
      <c r="F137" s="43" t="s">
        <v>8</v>
      </c>
      <c r="G137" s="33">
        <v>1000</v>
      </c>
      <c r="H137" s="1">
        <v>0.44107083456456525</v>
      </c>
      <c r="I137" s="1">
        <v>0.42165396776453457</v>
      </c>
      <c r="J137" s="1">
        <v>6.0374027049629929E-2</v>
      </c>
      <c r="K137" s="1">
        <v>0.38079335564299088</v>
      </c>
      <c r="L137" s="1">
        <v>0.56549681074769853</v>
      </c>
      <c r="M137" s="25">
        <v>12937.515211791189</v>
      </c>
      <c r="N137" s="112">
        <f t="shared" si="31"/>
        <v>5455.1546220657774</v>
      </c>
      <c r="O137" s="20">
        <f t="shared" si="32"/>
        <v>4926.5198311802069</v>
      </c>
      <c r="P137" s="20">
        <f t="shared" si="33"/>
        <v>7316.123591267753</v>
      </c>
      <c r="Q137" s="92">
        <v>8.5226369047619048</v>
      </c>
      <c r="R137" s="46">
        <f t="shared" si="34"/>
        <v>46492.302103200273</v>
      </c>
      <c r="S137" s="45">
        <f t="shared" si="20"/>
        <v>41986.93972525782</v>
      </c>
      <c r="T137" s="45">
        <f t="shared" si="21"/>
        <v>62352.664918737755</v>
      </c>
      <c r="U137" s="16">
        <v>2</v>
      </c>
      <c r="AC137" s="16"/>
      <c r="AD137" s="16"/>
      <c r="AE137" s="16"/>
      <c r="AF137" s="16"/>
      <c r="AG137" s="16"/>
      <c r="AH137" s="16"/>
      <c r="AI137" s="16"/>
    </row>
    <row r="138" spans="1:35" x14ac:dyDescent="0.25">
      <c r="A138">
        <v>136</v>
      </c>
      <c r="B138" s="48" t="s">
        <v>124</v>
      </c>
      <c r="C138" s="48">
        <v>2009</v>
      </c>
      <c r="D138" s="42" t="s">
        <v>45</v>
      </c>
      <c r="E138" s="1">
        <v>3</v>
      </c>
      <c r="F138" s="43" t="s">
        <v>9</v>
      </c>
      <c r="G138" s="33">
        <v>1000</v>
      </c>
      <c r="H138" s="1">
        <v>0.54207355326819628</v>
      </c>
      <c r="I138" s="1">
        <v>0.53934087582124368</v>
      </c>
      <c r="J138" s="1">
        <v>4.0390540580175494E-2</v>
      </c>
      <c r="K138" s="1">
        <v>0.48228724468656425</v>
      </c>
      <c r="L138" s="1">
        <v>0.61559011574175204</v>
      </c>
      <c r="M138" s="25">
        <v>10953.043037802479</v>
      </c>
      <c r="N138" s="112">
        <f t="shared" si="31"/>
        <v>5907.4238249161644</v>
      </c>
      <c r="O138" s="20">
        <f t="shared" si="32"/>
        <v>5282.5129476351131</v>
      </c>
      <c r="P138" s="20">
        <f t="shared" si="33"/>
        <v>6742.5850313652199</v>
      </c>
      <c r="Q138" s="92">
        <v>6.4</v>
      </c>
      <c r="R138" s="46">
        <f t="shared" si="34"/>
        <v>37807.512479463454</v>
      </c>
      <c r="S138" s="45">
        <f t="shared" si="20"/>
        <v>33808.082864864722</v>
      </c>
      <c r="T138" s="45">
        <f t="shared" si="21"/>
        <v>43152.544200737408</v>
      </c>
      <c r="U138" s="16">
        <v>4</v>
      </c>
      <c r="AC138" s="16"/>
      <c r="AD138" s="16"/>
      <c r="AE138" s="16"/>
      <c r="AF138" s="16"/>
      <c r="AG138" s="16"/>
      <c r="AH138" s="16"/>
      <c r="AI138" s="16"/>
    </row>
    <row r="139" spans="1:35" x14ac:dyDescent="0.25">
      <c r="A139">
        <v>137</v>
      </c>
      <c r="B139" s="48" t="s">
        <v>124</v>
      </c>
      <c r="C139" s="48">
        <v>2009</v>
      </c>
      <c r="D139" s="42" t="s">
        <v>45</v>
      </c>
      <c r="E139" s="1">
        <v>5</v>
      </c>
      <c r="F139" s="43" t="s">
        <v>11</v>
      </c>
      <c r="G139" s="33">
        <v>1000</v>
      </c>
      <c r="H139" s="1">
        <v>0.23606874925233595</v>
      </c>
      <c r="I139" s="1">
        <v>0.22926583952002749</v>
      </c>
      <c r="J139" s="1">
        <v>3.425828054014865E-2</v>
      </c>
      <c r="K139" s="1">
        <v>0.19611564034491841</v>
      </c>
      <c r="L139" s="1">
        <v>0.300911835246507</v>
      </c>
      <c r="M139" s="25">
        <v>13991.101427824766</v>
      </c>
      <c r="N139" s="112">
        <f t="shared" si="31"/>
        <v>3207.6816146601004</v>
      </c>
      <c r="O139" s="20">
        <f t="shared" si="32"/>
        <v>2743.873815648556</v>
      </c>
      <c r="P139" s="20">
        <f t="shared" si="33"/>
        <v>4210.0880077667744</v>
      </c>
      <c r="Q139" s="92">
        <v>13.3</v>
      </c>
      <c r="R139" s="46">
        <f t="shared" si="34"/>
        <v>42662.165474979338</v>
      </c>
      <c r="S139" s="45">
        <f t="shared" si="20"/>
        <v>36493.521748125801</v>
      </c>
      <c r="T139" s="45">
        <f t="shared" si="21"/>
        <v>55994.170503298104</v>
      </c>
      <c r="U139" s="16">
        <v>3</v>
      </c>
      <c r="AC139" s="16"/>
      <c r="AD139" s="16"/>
      <c r="AE139" s="16"/>
      <c r="AF139" s="16"/>
      <c r="AG139" s="16"/>
      <c r="AH139" s="16"/>
      <c r="AI139" s="16"/>
    </row>
    <row r="140" spans="1:35" x14ac:dyDescent="0.25">
      <c r="A140">
        <v>138</v>
      </c>
      <c r="B140" s="48" t="s">
        <v>124</v>
      </c>
      <c r="C140" s="48">
        <v>2009</v>
      </c>
      <c r="D140" s="42" t="s">
        <v>45</v>
      </c>
      <c r="E140" s="1">
        <v>6</v>
      </c>
      <c r="F140" s="43" t="s">
        <v>12</v>
      </c>
      <c r="G140" s="33">
        <v>1000</v>
      </c>
      <c r="H140" s="1">
        <v>0.23818835292553184</v>
      </c>
      <c r="I140" s="1">
        <v>0.20647252205651356</v>
      </c>
      <c r="J140" s="1">
        <v>0.14021273696494077</v>
      </c>
      <c r="K140" s="1">
        <v>0.18251581732274358</v>
      </c>
      <c r="L140" s="1">
        <v>0.28351644936645681</v>
      </c>
      <c r="M140" s="25">
        <v>6966.102651973556</v>
      </c>
      <c r="N140" s="112">
        <f t="shared" si="31"/>
        <v>1438.3087834575476</v>
      </c>
      <c r="O140" s="20">
        <f t="shared" si="32"/>
        <v>1271.4239190790852</v>
      </c>
      <c r="P140" s="20">
        <f t="shared" si="33"/>
        <v>1975.0046898098012</v>
      </c>
      <c r="Q140" s="92">
        <v>7.9</v>
      </c>
      <c r="R140" s="46">
        <f t="shared" si="34"/>
        <v>11362.639389314627</v>
      </c>
      <c r="S140" s="45">
        <f t="shared" si="20"/>
        <v>10044.248960724773</v>
      </c>
      <c r="T140" s="45">
        <f t="shared" si="21"/>
        <v>15602.53704949743</v>
      </c>
      <c r="U140" s="16">
        <v>8</v>
      </c>
      <c r="AC140" s="16"/>
      <c r="AD140" s="16"/>
      <c r="AE140" s="16"/>
      <c r="AF140" s="16"/>
      <c r="AG140" s="16"/>
      <c r="AH140" s="16"/>
      <c r="AI140" s="16"/>
    </row>
    <row r="141" spans="1:35" x14ac:dyDescent="0.25">
      <c r="A141">
        <v>139</v>
      </c>
      <c r="B141" s="48" t="s">
        <v>124</v>
      </c>
      <c r="C141" s="48">
        <v>2009</v>
      </c>
      <c r="D141" s="42" t="s">
        <v>45</v>
      </c>
      <c r="E141" s="1">
        <v>7</v>
      </c>
      <c r="F141" s="43" t="s">
        <v>13</v>
      </c>
      <c r="G141" s="33">
        <v>1000</v>
      </c>
      <c r="H141" s="1">
        <v>8.4762254293597447E-2</v>
      </c>
      <c r="I141" s="1">
        <v>6.791164357601151E-2</v>
      </c>
      <c r="J141" s="1">
        <v>4.2316414101981295E-2</v>
      </c>
      <c r="K141" s="1">
        <v>4.4574338030455449E-2</v>
      </c>
      <c r="L141" s="1">
        <v>0.17430470173859286</v>
      </c>
      <c r="M141" s="25">
        <v>2532.5333267390947</v>
      </c>
      <c r="N141" s="112">
        <f t="shared" si="31"/>
        <v>171.98850062987611</v>
      </c>
      <c r="O141" s="20">
        <f t="shared" si="32"/>
        <v>112.88599657946229</v>
      </c>
      <c r="P141" s="20">
        <f t="shared" si="33"/>
        <v>441.43246616030422</v>
      </c>
      <c r="Q141" s="92">
        <v>7.2119391025641022</v>
      </c>
      <c r="R141" s="46">
        <f t="shared" si="34"/>
        <v>1240.3705928839743</v>
      </c>
      <c r="S141" s="45">
        <f t="shared" ref="S141:S159" si="35">O141*$Q141</f>
        <v>814.12693286334161</v>
      </c>
      <c r="T141" s="45">
        <f t="shared" ref="T141:T159" si="36">P141*$Q141</f>
        <v>3183.5840638428026</v>
      </c>
      <c r="U141" s="16">
        <v>11</v>
      </c>
      <c r="AC141" s="16"/>
      <c r="AD141" s="16"/>
      <c r="AE141" s="16"/>
      <c r="AF141" s="16"/>
      <c r="AG141" s="16"/>
      <c r="AH141" s="16"/>
      <c r="AI141" s="16"/>
    </row>
    <row r="142" spans="1:35" x14ac:dyDescent="0.25">
      <c r="A142">
        <v>140</v>
      </c>
      <c r="B142" s="48" t="s">
        <v>124</v>
      </c>
      <c r="C142" s="48">
        <v>2009</v>
      </c>
      <c r="D142" s="42" t="s">
        <v>45</v>
      </c>
      <c r="E142" s="1">
        <v>8</v>
      </c>
      <c r="F142" s="43" t="s">
        <v>14</v>
      </c>
      <c r="G142" s="33">
        <v>1000</v>
      </c>
      <c r="H142" s="1">
        <v>0.27907323242506665</v>
      </c>
      <c r="I142" s="1">
        <v>0.20644269980569491</v>
      </c>
      <c r="J142" s="1">
        <v>0.29409793770997739</v>
      </c>
      <c r="K142" s="1">
        <v>0.17988535185578663</v>
      </c>
      <c r="L142" s="1">
        <v>0.35621407831750107</v>
      </c>
      <c r="M142" s="25">
        <v>13775.148973606703</v>
      </c>
      <c r="N142" s="112">
        <f t="shared" si="31"/>
        <v>2843.7789443370148</v>
      </c>
      <c r="O142" s="20">
        <f t="shared" si="32"/>
        <v>2477.9475199831199</v>
      </c>
      <c r="P142" s="20">
        <f t="shared" si="33"/>
        <v>4906.901995319583</v>
      </c>
      <c r="Q142" s="92">
        <v>9.3000000000000007</v>
      </c>
      <c r="R142" s="46">
        <f t="shared" si="34"/>
        <v>26447.144182334239</v>
      </c>
      <c r="S142" s="45">
        <f t="shared" si="35"/>
        <v>23044.911935843018</v>
      </c>
      <c r="T142" s="45">
        <f t="shared" si="36"/>
        <v>45634.188556472123</v>
      </c>
      <c r="U142" s="16">
        <v>5</v>
      </c>
      <c r="AC142" s="16"/>
      <c r="AD142" s="16"/>
      <c r="AE142" s="16"/>
      <c r="AF142" s="16"/>
      <c r="AG142" s="16"/>
      <c r="AH142" s="16"/>
      <c r="AI142" s="16"/>
    </row>
    <row r="143" spans="1:35" x14ac:dyDescent="0.25">
      <c r="A143">
        <v>141</v>
      </c>
      <c r="B143" s="48" t="s">
        <v>124</v>
      </c>
      <c r="C143" s="48">
        <v>2009</v>
      </c>
      <c r="D143" s="42" t="s">
        <v>45</v>
      </c>
      <c r="E143" s="1">
        <v>9</v>
      </c>
      <c r="F143" s="43" t="s">
        <v>15</v>
      </c>
      <c r="G143" s="33">
        <v>1000</v>
      </c>
      <c r="H143" s="1">
        <v>0.23973330793528069</v>
      </c>
      <c r="I143" s="1">
        <v>0.22470672772532113</v>
      </c>
      <c r="J143" s="1">
        <v>5.1095646830777657E-2</v>
      </c>
      <c r="K143" s="1">
        <v>0.17854565195354424</v>
      </c>
      <c r="L143" s="1">
        <v>0.33695223067280289</v>
      </c>
      <c r="M143" s="25">
        <v>5560.7756961151053</v>
      </c>
      <c r="N143" s="112">
        <f t="shared" si="31"/>
        <v>1249.5437102885201</v>
      </c>
      <c r="O143" s="20">
        <f t="shared" si="32"/>
        <v>992.85232203029534</v>
      </c>
      <c r="P143" s="20">
        <f t="shared" si="33"/>
        <v>1873.715775077093</v>
      </c>
      <c r="Q143" s="92">
        <v>8.1</v>
      </c>
      <c r="R143" s="46">
        <f t="shared" si="34"/>
        <v>10121.304053337011</v>
      </c>
      <c r="S143" s="45">
        <f t="shared" si="35"/>
        <v>8042.1038084453921</v>
      </c>
      <c r="T143" s="45">
        <f t="shared" si="36"/>
        <v>15177.097778124453</v>
      </c>
      <c r="U143" s="16">
        <v>9</v>
      </c>
      <c r="AC143" s="16"/>
      <c r="AD143" s="16"/>
      <c r="AE143" s="16"/>
      <c r="AF143" s="16"/>
      <c r="AG143" s="16"/>
      <c r="AH143" s="16"/>
      <c r="AI143" s="16"/>
    </row>
    <row r="144" spans="1:35" x14ac:dyDescent="0.25">
      <c r="A144">
        <v>142</v>
      </c>
      <c r="B144" s="48" t="s">
        <v>124</v>
      </c>
      <c r="C144" s="48">
        <v>2009</v>
      </c>
      <c r="D144" s="42" t="s">
        <v>45</v>
      </c>
      <c r="E144" s="1">
        <v>10</v>
      </c>
      <c r="F144" s="43" t="s">
        <v>16</v>
      </c>
      <c r="G144" s="33">
        <v>1000</v>
      </c>
      <c r="H144" s="1">
        <v>0.59523256198494268</v>
      </c>
      <c r="I144" s="1">
        <v>0.59175701610170206</v>
      </c>
      <c r="J144" s="1">
        <v>4.5235743184627704E-2</v>
      </c>
      <c r="K144" s="1">
        <v>0.52938021654409217</v>
      </c>
      <c r="L144" s="1">
        <v>0.6783087059958427</v>
      </c>
      <c r="M144" s="25">
        <v>10828.706776282988</v>
      </c>
      <c r="N144" s="112">
        <f t="shared" si="31"/>
        <v>6407.9632101735024</v>
      </c>
      <c r="O144" s="20">
        <f t="shared" si="32"/>
        <v>5732.5031381211666</v>
      </c>
      <c r="P144" s="20">
        <f t="shared" si="33"/>
        <v>7345.2060810289267</v>
      </c>
      <c r="Q144" s="92">
        <v>9</v>
      </c>
      <c r="R144" s="46">
        <f t="shared" si="34"/>
        <v>57671.668891561523</v>
      </c>
      <c r="S144" s="45">
        <f t="shared" si="35"/>
        <v>51592.528243090499</v>
      </c>
      <c r="T144" s="45">
        <f t="shared" si="36"/>
        <v>66106.854729260347</v>
      </c>
      <c r="U144" s="16">
        <v>1</v>
      </c>
      <c r="AC144" s="16"/>
      <c r="AD144" s="16"/>
      <c r="AE144" s="16"/>
      <c r="AF144" s="16"/>
      <c r="AG144" s="16"/>
      <c r="AH144" s="16"/>
      <c r="AI144" s="16"/>
    </row>
    <row r="145" spans="1:35" x14ac:dyDescent="0.25">
      <c r="A145">
        <v>143</v>
      </c>
      <c r="B145" s="48" t="s">
        <v>124</v>
      </c>
      <c r="C145" s="48">
        <v>2009</v>
      </c>
      <c r="D145" s="42" t="s">
        <v>45</v>
      </c>
      <c r="E145" s="1">
        <v>11</v>
      </c>
      <c r="F145" s="43" t="s">
        <v>17</v>
      </c>
      <c r="G145" s="33">
        <v>1000</v>
      </c>
      <c r="H145" s="1">
        <v>8.9026891637604688E-2</v>
      </c>
      <c r="I145" s="1">
        <v>8.4232761227651776E-2</v>
      </c>
      <c r="J145" s="1">
        <v>2.4445988872302593E-2</v>
      </c>
      <c r="K145" s="1">
        <v>5.8534936637368612E-2</v>
      </c>
      <c r="L145" s="1">
        <v>0.13447770784181112</v>
      </c>
      <c r="M145" s="25">
        <v>11753.048720473937</v>
      </c>
      <c r="N145" s="112">
        <f t="shared" si="31"/>
        <v>989.99174656863931</v>
      </c>
      <c r="O145" s="20">
        <f t="shared" si="32"/>
        <v>687.96396214884817</v>
      </c>
      <c r="P145" s="20">
        <f t="shared" si="33"/>
        <v>1580.5230520824662</v>
      </c>
      <c r="Q145" s="92">
        <v>12.8</v>
      </c>
      <c r="R145" s="46">
        <f t="shared" si="34"/>
        <v>12671.894356078585</v>
      </c>
      <c r="S145" s="45">
        <f t="shared" si="35"/>
        <v>8805.9387155052573</v>
      </c>
      <c r="T145" s="45">
        <f t="shared" si="36"/>
        <v>20230.695066655568</v>
      </c>
      <c r="U145" s="16">
        <v>7</v>
      </c>
      <c r="AC145" s="16"/>
      <c r="AD145" s="16"/>
      <c r="AE145" s="16"/>
      <c r="AF145" s="16"/>
      <c r="AG145" s="16"/>
      <c r="AH145" s="16"/>
      <c r="AI145" s="16"/>
    </row>
    <row r="146" spans="1:35" x14ac:dyDescent="0.25">
      <c r="A146">
        <v>144</v>
      </c>
      <c r="B146" s="48" t="s">
        <v>124</v>
      </c>
      <c r="C146" s="48">
        <v>2009</v>
      </c>
      <c r="D146" s="42" t="s">
        <v>45</v>
      </c>
      <c r="E146" s="1">
        <v>12</v>
      </c>
      <c r="F146" s="43" t="s">
        <v>18</v>
      </c>
      <c r="G146" s="33">
        <v>1000</v>
      </c>
      <c r="H146" s="1">
        <v>2.7095916463256543E-4</v>
      </c>
      <c r="I146" s="1">
        <v>8.8484923298333773E-5</v>
      </c>
      <c r="J146" s="1">
        <v>4.6123988464158184E-4</v>
      </c>
      <c r="K146" s="1">
        <v>3.5625423228108699E-5</v>
      </c>
      <c r="L146" s="1">
        <v>1.4679883789042599E-3</v>
      </c>
      <c r="M146" s="25">
        <v>30959.729118353116</v>
      </c>
      <c r="N146" s="112">
        <f t="shared" si="31"/>
        <v>2.7394692563746661</v>
      </c>
      <c r="O146" s="20">
        <f t="shared" si="32"/>
        <v>1.1029534528689304</v>
      </c>
      <c r="P146" s="20">
        <f t="shared" si="33"/>
        <v>45.448522559766204</v>
      </c>
      <c r="Q146" s="92">
        <v>10.7</v>
      </c>
      <c r="R146" s="46">
        <f t="shared" si="34"/>
        <v>29.312321043208925</v>
      </c>
      <c r="S146" s="45">
        <f t="shared" si="35"/>
        <v>11.801601945697556</v>
      </c>
      <c r="T146" s="45">
        <f t="shared" si="36"/>
        <v>486.29919138949833</v>
      </c>
      <c r="U146" s="16">
        <v>12</v>
      </c>
      <c r="AC146" s="16"/>
      <c r="AD146" s="16"/>
      <c r="AE146" s="16"/>
      <c r="AF146" s="16"/>
      <c r="AG146" s="16"/>
      <c r="AH146" s="16"/>
      <c r="AI146" s="16"/>
    </row>
    <row r="147" spans="1:35" x14ac:dyDescent="0.25">
      <c r="A147">
        <v>145</v>
      </c>
      <c r="B147" s="48" t="s">
        <v>124</v>
      </c>
      <c r="C147" s="48">
        <v>2009</v>
      </c>
      <c r="D147" s="42" t="s">
        <v>45</v>
      </c>
      <c r="E147" s="1">
        <v>13</v>
      </c>
      <c r="F147" s="43" t="s">
        <v>19</v>
      </c>
      <c r="G147" s="33">
        <v>1000</v>
      </c>
      <c r="H147" s="1">
        <v>2.7096771843589149E-2</v>
      </c>
      <c r="I147" s="1">
        <v>2.3453432306726849E-2</v>
      </c>
      <c r="J147" s="1">
        <v>1.202385171467665E-2</v>
      </c>
      <c r="K147" s="1">
        <v>1.5756156007543209E-2</v>
      </c>
      <c r="L147" s="1">
        <v>5.0404207267938324E-2</v>
      </c>
      <c r="M147" s="25">
        <v>5410.2633795388801</v>
      </c>
      <c r="N147" s="112">
        <f t="shared" si="31"/>
        <v>126.88924593357835</v>
      </c>
      <c r="O147" s="20">
        <f t="shared" si="32"/>
        <v>85.244953849912548</v>
      </c>
      <c r="P147" s="20">
        <f t="shared" si="33"/>
        <v>272.70003675641419</v>
      </c>
      <c r="Q147" s="92">
        <v>13.7</v>
      </c>
      <c r="R147" s="46">
        <f t="shared" ref="R147:R171" si="37">Q147*N147</f>
        <v>1738.3826692900234</v>
      </c>
      <c r="S147" s="45">
        <f t="shared" si="35"/>
        <v>1167.8558677438018</v>
      </c>
      <c r="T147" s="45">
        <f t="shared" si="36"/>
        <v>3735.9905035628744</v>
      </c>
      <c r="U147" s="16">
        <v>10</v>
      </c>
      <c r="AC147" s="16"/>
      <c r="AD147" s="16"/>
      <c r="AE147" s="16"/>
      <c r="AF147" s="16"/>
      <c r="AG147" s="16"/>
      <c r="AH147" s="16"/>
      <c r="AI147" s="16"/>
    </row>
    <row r="148" spans="1:35" x14ac:dyDescent="0.25">
      <c r="A148">
        <v>146</v>
      </c>
      <c r="B148" s="1" t="s">
        <v>125</v>
      </c>
      <c r="C148" s="1">
        <v>2010</v>
      </c>
      <c r="D148" s="42" t="s">
        <v>45</v>
      </c>
      <c r="E148" s="1">
        <v>1</v>
      </c>
      <c r="F148" s="43" t="s">
        <v>7</v>
      </c>
      <c r="G148" s="33">
        <v>1000</v>
      </c>
      <c r="H148" s="1">
        <v>6.2013716553751862E-3</v>
      </c>
      <c r="I148" s="1">
        <v>4.7677963964617301E-3</v>
      </c>
      <c r="J148" s="1">
        <v>4.1338262254734144E-3</v>
      </c>
      <c r="K148" s="1">
        <v>3.0446877943615283E-3</v>
      </c>
      <c r="L148" s="1">
        <v>1.57805615671677E-2</v>
      </c>
      <c r="M148" s="25">
        <v>20710.167560200389</v>
      </c>
      <c r="N148" s="112">
        <f t="shared" si="31"/>
        <v>98.741862263642034</v>
      </c>
      <c r="O148" s="20">
        <f t="shared" si="32"/>
        <v>63.055994389724198</v>
      </c>
      <c r="P148" s="20">
        <f t="shared" si="33"/>
        <v>326.81807425010152</v>
      </c>
      <c r="Q148" s="91">
        <v>11.7</v>
      </c>
      <c r="R148" s="46">
        <f t="shared" si="37"/>
        <v>1155.2797884846118</v>
      </c>
      <c r="S148" s="45">
        <f t="shared" si="35"/>
        <v>737.75513435977302</v>
      </c>
      <c r="T148" s="45">
        <f t="shared" si="36"/>
        <v>3823.7714687261873</v>
      </c>
      <c r="U148" s="16">
        <v>6</v>
      </c>
      <c r="AC148" s="16"/>
      <c r="AD148" s="16"/>
      <c r="AE148" s="16"/>
      <c r="AF148" s="16"/>
      <c r="AG148" s="16"/>
      <c r="AH148" s="16"/>
      <c r="AI148" s="16"/>
    </row>
    <row r="149" spans="1:35" x14ac:dyDescent="0.25">
      <c r="A149">
        <v>147</v>
      </c>
      <c r="B149" s="1" t="s">
        <v>125</v>
      </c>
      <c r="C149" s="1">
        <v>2010</v>
      </c>
      <c r="D149" s="42" t="s">
        <v>45</v>
      </c>
      <c r="E149" s="1">
        <v>2</v>
      </c>
      <c r="F149" s="43" t="s">
        <v>8</v>
      </c>
      <c r="G149" s="33">
        <v>1000</v>
      </c>
      <c r="H149" s="1">
        <v>7.0508745564551237E-2</v>
      </c>
      <c r="I149" s="1">
        <v>6.3939524798633129E-2</v>
      </c>
      <c r="J149" s="1">
        <v>3.5848697139545679E-2</v>
      </c>
      <c r="K149" s="1">
        <v>3.2279848629493998E-2</v>
      </c>
      <c r="L149" s="1">
        <v>0.13580695173212778</v>
      </c>
      <c r="M149" s="25">
        <v>12937.515211791189</v>
      </c>
      <c r="N149" s="112">
        <f t="shared" si="31"/>
        <v>827.21857471701605</v>
      </c>
      <c r="O149" s="20">
        <f t="shared" si="32"/>
        <v>417.62103267839558</v>
      </c>
      <c r="P149" s="20">
        <f t="shared" si="33"/>
        <v>1757.0045039013951</v>
      </c>
      <c r="Q149" s="91">
        <v>9</v>
      </c>
      <c r="R149" s="46">
        <f t="shared" si="37"/>
        <v>7444.9671724531445</v>
      </c>
      <c r="S149" s="45">
        <f t="shared" si="35"/>
        <v>3758.5892941055604</v>
      </c>
      <c r="T149" s="45">
        <f t="shared" si="36"/>
        <v>15813.040535112556</v>
      </c>
      <c r="U149">
        <v>1</v>
      </c>
      <c r="AC149" s="16"/>
      <c r="AD149" s="16"/>
      <c r="AE149" s="16"/>
      <c r="AF149" s="16"/>
      <c r="AG149" s="16"/>
      <c r="AH149" s="16"/>
      <c r="AI149" s="16"/>
    </row>
    <row r="150" spans="1:35" x14ac:dyDescent="0.25">
      <c r="A150">
        <v>148</v>
      </c>
      <c r="B150" s="1" t="s">
        <v>125</v>
      </c>
      <c r="C150" s="1">
        <v>2010</v>
      </c>
      <c r="D150" s="42" t="s">
        <v>45</v>
      </c>
      <c r="E150" s="1">
        <v>3</v>
      </c>
      <c r="F150" s="43" t="s">
        <v>9</v>
      </c>
      <c r="G150" s="33">
        <v>1000</v>
      </c>
      <c r="H150" s="1">
        <v>1.2190427341400361E-3</v>
      </c>
      <c r="I150" s="1">
        <v>1.0601868884178001E-3</v>
      </c>
      <c r="J150" s="1">
        <v>5.7502366518210539E-4</v>
      </c>
      <c r="K150" s="1">
        <v>5.773902846916175E-4</v>
      </c>
      <c r="L150" s="1">
        <v>2.3422860362305562E-3</v>
      </c>
      <c r="M150" s="25">
        <v>10953.043037802479</v>
      </c>
      <c r="N150" s="112">
        <f t="shared" si="31"/>
        <v>11.61227261695406</v>
      </c>
      <c r="O150" s="20">
        <f t="shared" si="32"/>
        <v>6.3241806378363128</v>
      </c>
      <c r="P150" s="20">
        <f t="shared" si="33"/>
        <v>25.655159761677059</v>
      </c>
      <c r="Q150" s="91">
        <v>11.6</v>
      </c>
      <c r="R150" s="46">
        <f t="shared" si="37"/>
        <v>134.70236235666709</v>
      </c>
      <c r="S150" s="45">
        <f t="shared" si="35"/>
        <v>73.360495398901222</v>
      </c>
      <c r="T150" s="45">
        <f t="shared" si="36"/>
        <v>297.59985323545385</v>
      </c>
      <c r="U150">
        <v>10</v>
      </c>
      <c r="AC150" s="16"/>
      <c r="AD150" s="16"/>
      <c r="AE150" s="16"/>
      <c r="AF150" s="16"/>
      <c r="AG150" s="16"/>
      <c r="AH150" s="16"/>
      <c r="AI150" s="16"/>
    </row>
    <row r="151" spans="1:35" x14ac:dyDescent="0.25">
      <c r="A151">
        <v>149</v>
      </c>
      <c r="B151" s="1" t="s">
        <v>125</v>
      </c>
      <c r="C151" s="1">
        <v>2010</v>
      </c>
      <c r="D151" s="42" t="s">
        <v>45</v>
      </c>
      <c r="E151" s="1">
        <v>5</v>
      </c>
      <c r="F151" s="43" t="s">
        <v>11</v>
      </c>
      <c r="G151" s="33">
        <v>1000</v>
      </c>
      <c r="H151" s="1">
        <v>2.4994797386674626E-2</v>
      </c>
      <c r="I151" s="1">
        <v>1.8919473817002205E-2</v>
      </c>
      <c r="J151" s="1">
        <v>1.9290333514906197E-2</v>
      </c>
      <c r="K151" s="1">
        <v>1.1861980653102113E-2</v>
      </c>
      <c r="L151" s="1">
        <v>6.9589886983465479E-2</v>
      </c>
      <c r="M151" s="25">
        <v>13991.101427824766</v>
      </c>
      <c r="N151" s="112">
        <f t="shared" si="31"/>
        <v>264.70427713475283</v>
      </c>
      <c r="O151" s="20">
        <f t="shared" si="32"/>
        <v>165.96217445244673</v>
      </c>
      <c r="P151" s="20">
        <f t="shared" si="33"/>
        <v>973.63916713652793</v>
      </c>
      <c r="Q151" s="91">
        <v>15.4</v>
      </c>
      <c r="R151" s="46">
        <f t="shared" si="37"/>
        <v>4076.4458678751935</v>
      </c>
      <c r="S151" s="45">
        <f t="shared" si="35"/>
        <v>2555.8174865676797</v>
      </c>
      <c r="T151" s="45">
        <f t="shared" si="36"/>
        <v>14994.04317390253</v>
      </c>
      <c r="U151">
        <v>3</v>
      </c>
      <c r="AC151" s="16"/>
      <c r="AD151" s="16"/>
      <c r="AE151" s="16"/>
      <c r="AF151" s="16"/>
      <c r="AG151" s="16"/>
      <c r="AH151" s="16"/>
      <c r="AI151" s="16"/>
    </row>
    <row r="152" spans="1:35" x14ac:dyDescent="0.25">
      <c r="A152">
        <v>150</v>
      </c>
      <c r="B152" s="1" t="s">
        <v>125</v>
      </c>
      <c r="C152" s="1">
        <v>2010</v>
      </c>
      <c r="D152" s="42" t="s">
        <v>45</v>
      </c>
      <c r="E152" s="1">
        <v>6</v>
      </c>
      <c r="F152" s="43" t="s">
        <v>12</v>
      </c>
      <c r="G152" s="33">
        <v>1000</v>
      </c>
      <c r="H152" s="1">
        <v>2.9133612996892329E-2</v>
      </c>
      <c r="I152" s="1">
        <v>2.3435554357661689E-2</v>
      </c>
      <c r="J152" s="1">
        <v>1.9084264371745891E-2</v>
      </c>
      <c r="K152" s="1">
        <v>1.6990096365550583E-2</v>
      </c>
      <c r="L152" s="1">
        <v>8.5622522533229356E-2</v>
      </c>
      <c r="M152" s="25">
        <v>6966.102651973556</v>
      </c>
      <c r="N152" s="112">
        <f t="shared" si="31"/>
        <v>163.25447736137752</v>
      </c>
      <c r="O152" s="20">
        <f t="shared" si="32"/>
        <v>118.3547553493482</v>
      </c>
      <c r="P152" s="20">
        <f t="shared" si="33"/>
        <v>596.45528128739454</v>
      </c>
      <c r="Q152" s="91">
        <v>11.5</v>
      </c>
      <c r="R152" s="46">
        <f t="shared" si="37"/>
        <v>1877.4264896558416</v>
      </c>
      <c r="S152" s="45">
        <f t="shared" si="35"/>
        <v>1361.0796865175043</v>
      </c>
      <c r="T152" s="45">
        <f t="shared" si="36"/>
        <v>6859.2357348050373</v>
      </c>
      <c r="U152">
        <v>5</v>
      </c>
      <c r="AC152" s="16"/>
      <c r="AD152" s="16"/>
      <c r="AE152" s="16"/>
      <c r="AF152" s="16"/>
      <c r="AG152" s="16"/>
      <c r="AH152" s="16"/>
      <c r="AI152" s="16"/>
    </row>
    <row r="153" spans="1:35" x14ac:dyDescent="0.25">
      <c r="A153">
        <v>151</v>
      </c>
      <c r="B153" s="1" t="s">
        <v>125</v>
      </c>
      <c r="C153" s="1">
        <v>2010</v>
      </c>
      <c r="D153" s="42" t="s">
        <v>45</v>
      </c>
      <c r="E153" s="1">
        <v>7</v>
      </c>
      <c r="F153" s="43" t="s">
        <v>13</v>
      </c>
      <c r="G153" s="33">
        <v>1000</v>
      </c>
      <c r="H153" s="1">
        <v>9.517743698655487E-2</v>
      </c>
      <c r="I153" s="1">
        <v>7.4891248110850919E-2</v>
      </c>
      <c r="J153" s="1">
        <v>7.8910283551862762E-2</v>
      </c>
      <c r="K153" s="1">
        <v>1.9408926597585478E-2</v>
      </c>
      <c r="L153" s="1">
        <v>0.25267300107112056</v>
      </c>
      <c r="M153" s="25">
        <v>2532.5333267390947</v>
      </c>
      <c r="N153" s="112">
        <f t="shared" si="31"/>
        <v>189.66458172181623</v>
      </c>
      <c r="O153" s="20">
        <f t="shared" si="32"/>
        <v>49.153753444618047</v>
      </c>
      <c r="P153" s="20">
        <f t="shared" si="33"/>
        <v>639.90279597979577</v>
      </c>
      <c r="Q153" s="91">
        <v>14</v>
      </c>
      <c r="R153" s="46">
        <f t="shared" si="37"/>
        <v>2655.3041441054274</v>
      </c>
      <c r="S153" s="45">
        <f t="shared" si="35"/>
        <v>688.15254822465272</v>
      </c>
      <c r="T153" s="45">
        <f t="shared" si="36"/>
        <v>8958.6391437171405</v>
      </c>
      <c r="U153">
        <v>4</v>
      </c>
      <c r="AC153" s="16"/>
      <c r="AD153" s="16"/>
      <c r="AE153" s="16"/>
      <c r="AF153" s="16"/>
      <c r="AG153" s="16"/>
      <c r="AH153" s="16"/>
      <c r="AI153" s="16"/>
    </row>
    <row r="154" spans="1:35" x14ac:dyDescent="0.25">
      <c r="A154">
        <v>152</v>
      </c>
      <c r="B154" s="1" t="s">
        <v>125</v>
      </c>
      <c r="C154" s="1">
        <v>2010</v>
      </c>
      <c r="D154" s="42" t="s">
        <v>45</v>
      </c>
      <c r="E154" s="1">
        <v>8</v>
      </c>
      <c r="F154" s="43" t="s">
        <v>14</v>
      </c>
      <c r="G154" s="33">
        <v>1000</v>
      </c>
      <c r="H154" s="1">
        <v>5.0863580364841647E-3</v>
      </c>
      <c r="I154" s="1">
        <v>4.2472263879635447E-3</v>
      </c>
      <c r="J154" s="1">
        <v>2.4569966930470376E-3</v>
      </c>
      <c r="K154" s="1">
        <v>2.575132998739365E-3</v>
      </c>
      <c r="L154" s="1">
        <v>1.0096757383846282E-2</v>
      </c>
      <c r="M154" s="25">
        <v>13775.148973606703</v>
      </c>
      <c r="N154" s="112">
        <f t="shared" si="31"/>
        <v>58.506176218831328</v>
      </c>
      <c r="O154" s="20">
        <f t="shared" si="32"/>
        <v>35.472840684485313</v>
      </c>
      <c r="P154" s="20">
        <f t="shared" si="33"/>
        <v>139.08433711284601</v>
      </c>
      <c r="Q154" s="91">
        <v>11.5</v>
      </c>
      <c r="R154" s="46">
        <f t="shared" si="37"/>
        <v>672.82102651656032</v>
      </c>
      <c r="S154" s="45">
        <f t="shared" si="35"/>
        <v>407.93766787158108</v>
      </c>
      <c r="T154" s="45">
        <f t="shared" si="36"/>
        <v>1599.4698767977293</v>
      </c>
      <c r="U154">
        <v>8</v>
      </c>
      <c r="AC154" s="16"/>
      <c r="AD154" s="16"/>
      <c r="AE154" s="16"/>
      <c r="AF154" s="16"/>
      <c r="AG154" s="16"/>
      <c r="AH154" s="16"/>
      <c r="AI154" s="16"/>
    </row>
    <row r="155" spans="1:35" x14ac:dyDescent="0.25">
      <c r="A155">
        <v>153</v>
      </c>
      <c r="B155" s="1" t="s">
        <v>125</v>
      </c>
      <c r="C155" s="1">
        <v>2010</v>
      </c>
      <c r="D155" s="42" t="s">
        <v>45</v>
      </c>
      <c r="E155" s="1">
        <v>9</v>
      </c>
      <c r="F155" s="43" t="s">
        <v>15</v>
      </c>
      <c r="G155" s="33">
        <v>1000</v>
      </c>
      <c r="H155" s="1">
        <v>6.5238531183317655E-2</v>
      </c>
      <c r="I155" s="1">
        <v>6.2781063556778358E-2</v>
      </c>
      <c r="J155" s="1">
        <v>1.1091939426796529E-2</v>
      </c>
      <c r="K155" s="1">
        <v>5.1393600785127995E-2</v>
      </c>
      <c r="L155" s="1">
        <v>8.731445107720115E-2</v>
      </c>
      <c r="M155" s="25">
        <v>5560.7756961151053</v>
      </c>
      <c r="N155" s="112">
        <f t="shared" si="31"/>
        <v>349.11141240279085</v>
      </c>
      <c r="O155" s="20">
        <f t="shared" si="32"/>
        <v>285.78828618178193</v>
      </c>
      <c r="P155" s="20">
        <f t="shared" si="33"/>
        <v>485.53607746973154</v>
      </c>
      <c r="Q155" s="91">
        <v>12.3</v>
      </c>
      <c r="R155" s="46">
        <f t="shared" si="37"/>
        <v>4294.0703725543281</v>
      </c>
      <c r="S155" s="45">
        <f t="shared" si="35"/>
        <v>3515.1959200359179</v>
      </c>
      <c r="T155" s="45">
        <f t="shared" si="36"/>
        <v>5972.0937528776985</v>
      </c>
      <c r="U155">
        <v>2</v>
      </c>
      <c r="AC155" s="16"/>
      <c r="AD155" s="16"/>
      <c r="AE155" s="16"/>
      <c r="AF155" s="16"/>
      <c r="AG155" s="16"/>
      <c r="AH155" s="16"/>
      <c r="AI155" s="16"/>
    </row>
    <row r="156" spans="1:35" x14ac:dyDescent="0.25">
      <c r="A156">
        <v>154</v>
      </c>
      <c r="B156" s="1" t="s">
        <v>125</v>
      </c>
      <c r="C156" s="1">
        <v>2010</v>
      </c>
      <c r="D156" s="42" t="s">
        <v>45</v>
      </c>
      <c r="E156" s="1">
        <v>10</v>
      </c>
      <c r="F156" s="43" t="s">
        <v>16</v>
      </c>
      <c r="G156" s="33">
        <v>1000</v>
      </c>
      <c r="H156" s="1">
        <v>2.4811723614394978E-4</v>
      </c>
      <c r="I156" s="1">
        <v>2.2299320151056312E-4</v>
      </c>
      <c r="J156" s="1">
        <v>1.1099558968472942E-4</v>
      </c>
      <c r="K156" s="1">
        <v>1.9018651544880542E-4</v>
      </c>
      <c r="L156" s="1">
        <v>5.9343644839396511E-4</v>
      </c>
      <c r="M156" s="25">
        <v>10828.706776282988</v>
      </c>
      <c r="N156" s="112">
        <f t="shared" si="31"/>
        <v>2.4147279922624727</v>
      </c>
      <c r="O156" s="20">
        <f t="shared" si="32"/>
        <v>2.0594740085981287</v>
      </c>
      <c r="P156" s="20">
        <f t="shared" si="33"/>
        <v>6.4261492900170403</v>
      </c>
      <c r="Q156" s="91">
        <v>13.1</v>
      </c>
      <c r="R156" s="46">
        <f t="shared" si="37"/>
        <v>31.632936698638392</v>
      </c>
      <c r="S156" s="45">
        <f t="shared" si="35"/>
        <v>26.979109512635485</v>
      </c>
      <c r="T156" s="45">
        <f t="shared" si="36"/>
        <v>84.182555699223229</v>
      </c>
      <c r="U156">
        <v>11</v>
      </c>
      <c r="AC156" s="16"/>
      <c r="AD156" s="16"/>
      <c r="AE156" s="16"/>
      <c r="AF156" s="16"/>
      <c r="AG156" s="16"/>
      <c r="AH156" s="16"/>
      <c r="AI156" s="16"/>
    </row>
    <row r="157" spans="1:35" x14ac:dyDescent="0.25">
      <c r="A157">
        <v>155</v>
      </c>
      <c r="B157" s="1" t="s">
        <v>125</v>
      </c>
      <c r="C157" s="1">
        <v>2010</v>
      </c>
      <c r="D157" s="42" t="s">
        <v>45</v>
      </c>
      <c r="E157" s="1">
        <v>11</v>
      </c>
      <c r="F157" s="43" t="s">
        <v>17</v>
      </c>
      <c r="G157" s="33">
        <v>1000</v>
      </c>
      <c r="H157" s="1">
        <v>5.3334011667527277E-3</v>
      </c>
      <c r="I157" s="1">
        <v>4.5965552737374862E-3</v>
      </c>
      <c r="J157" s="1">
        <v>2.3339736498522502E-3</v>
      </c>
      <c r="K157" s="1">
        <v>2.7484314562645669E-3</v>
      </c>
      <c r="L157" s="1">
        <v>1.0318613262608927E-2</v>
      </c>
      <c r="M157" s="25">
        <v>11753.048720473937</v>
      </c>
      <c r="N157" s="112">
        <f t="shared" si="31"/>
        <v>54.023538078588089</v>
      </c>
      <c r="O157" s="20">
        <f t="shared" si="32"/>
        <v>32.302448810360588</v>
      </c>
      <c r="P157" s="20">
        <f t="shared" si="33"/>
        <v>121.27516440317123</v>
      </c>
      <c r="Q157" s="91">
        <v>13.1</v>
      </c>
      <c r="R157" s="46">
        <f t="shared" si="37"/>
        <v>707.70834882950396</v>
      </c>
      <c r="S157" s="45">
        <f t="shared" si="35"/>
        <v>423.16207941572367</v>
      </c>
      <c r="T157" s="45">
        <f t="shared" si="36"/>
        <v>1588.704653681543</v>
      </c>
      <c r="U157">
        <v>7</v>
      </c>
      <c r="AC157" s="16"/>
      <c r="AD157" s="16"/>
      <c r="AE157" s="16"/>
      <c r="AF157" s="16"/>
      <c r="AG157" s="16"/>
      <c r="AH157" s="16"/>
      <c r="AI157" s="16"/>
    </row>
    <row r="158" spans="1:35" x14ac:dyDescent="0.25">
      <c r="A158">
        <v>156</v>
      </c>
      <c r="B158" s="1" t="s">
        <v>125</v>
      </c>
      <c r="C158" s="1">
        <v>2010</v>
      </c>
      <c r="D158" s="42" t="s">
        <v>45</v>
      </c>
      <c r="E158" s="1">
        <v>12</v>
      </c>
      <c r="F158" s="43" t="s">
        <v>18</v>
      </c>
      <c r="G158" s="33">
        <v>1000</v>
      </c>
      <c r="H158" s="1">
        <v>2.5934626500886593E-5</v>
      </c>
      <c r="I158" s="1">
        <v>2.366662561892236E-5</v>
      </c>
      <c r="J158" s="1">
        <v>1.2466495758797699E-5</v>
      </c>
      <c r="K158" s="1">
        <v>9.2672779535517557E-6</v>
      </c>
      <c r="L158" s="1">
        <v>4.9442010942556166E-5</v>
      </c>
      <c r="M158" s="25">
        <v>30959.729118353116</v>
      </c>
      <c r="N158" s="112">
        <f t="shared" si="31"/>
        <v>0.73271231830731243</v>
      </c>
      <c r="O158" s="20">
        <f t="shared" si="32"/>
        <v>0.28691241510644816</v>
      </c>
      <c r="P158" s="20">
        <f t="shared" si="33"/>
        <v>1.5307112658481896</v>
      </c>
      <c r="Q158" s="91">
        <v>19.2</v>
      </c>
      <c r="R158" s="46">
        <f t="shared" si="37"/>
        <v>14.068076511500399</v>
      </c>
      <c r="S158" s="45">
        <f t="shared" si="35"/>
        <v>5.5087183700438045</v>
      </c>
      <c r="T158" s="45">
        <f t="shared" si="36"/>
        <v>29.389656304285239</v>
      </c>
      <c r="U158">
        <v>12</v>
      </c>
      <c r="AC158" s="16"/>
      <c r="AD158" s="16"/>
      <c r="AE158" s="16"/>
      <c r="AF158" s="16"/>
      <c r="AG158" s="16"/>
      <c r="AH158" s="16"/>
      <c r="AI158" s="16"/>
    </row>
    <row r="159" spans="1:35" x14ac:dyDescent="0.25">
      <c r="A159">
        <v>157</v>
      </c>
      <c r="B159" s="1" t="s">
        <v>125</v>
      </c>
      <c r="C159" s="1">
        <v>2010</v>
      </c>
      <c r="D159" s="42" t="s">
        <v>45</v>
      </c>
      <c r="E159" s="1">
        <v>13</v>
      </c>
      <c r="F159" s="43" t="s">
        <v>19</v>
      </c>
      <c r="G159" s="33">
        <v>1000</v>
      </c>
      <c r="H159" s="1">
        <v>3.6048119412144903E-3</v>
      </c>
      <c r="I159" s="1">
        <v>2.1837283185450005E-3</v>
      </c>
      <c r="J159" s="1">
        <v>4.8823473196731608E-3</v>
      </c>
      <c r="K159" s="1">
        <v>8.9117196820479516E-4</v>
      </c>
      <c r="L159" s="1">
        <v>9.431847849761317E-3</v>
      </c>
      <c r="M159" s="25">
        <v>5410.2633795388801</v>
      </c>
      <c r="N159" s="112">
        <f t="shared" si="31"/>
        <v>11.81454535268603</v>
      </c>
      <c r="O159" s="20">
        <f t="shared" si="32"/>
        <v>4.8214750644499906</v>
      </c>
      <c r="P159" s="20">
        <f t="shared" si="33"/>
        <v>51.028781022946184</v>
      </c>
      <c r="Q159" s="91">
        <v>14</v>
      </c>
      <c r="R159" s="46">
        <f t="shared" si="37"/>
        <v>165.40363493760444</v>
      </c>
      <c r="S159" s="45">
        <f t="shared" si="35"/>
        <v>67.500650902299867</v>
      </c>
      <c r="T159" s="45">
        <f t="shared" si="36"/>
        <v>714.40293432124656</v>
      </c>
      <c r="U159">
        <v>9</v>
      </c>
      <c r="AC159" s="16"/>
      <c r="AD159" s="16"/>
      <c r="AE159" s="16"/>
      <c r="AF159" s="16"/>
      <c r="AG159" s="16"/>
      <c r="AH159" s="16"/>
      <c r="AI159" s="16"/>
    </row>
    <row r="160" spans="1:35" x14ac:dyDescent="0.25">
      <c r="B160" s="1"/>
      <c r="C160" s="1"/>
      <c r="D160" s="42"/>
      <c r="E160" s="1"/>
      <c r="F160" s="43"/>
      <c r="G160" s="33"/>
      <c r="H160" s="1"/>
      <c r="I160" s="1"/>
      <c r="J160" s="1"/>
      <c r="K160" s="1"/>
      <c r="L160" s="1"/>
      <c r="M160" s="25"/>
      <c r="N160" s="112"/>
      <c r="O160" s="20"/>
      <c r="P160" s="20"/>
      <c r="Q160" s="91"/>
      <c r="R160" s="46"/>
      <c r="AC160" s="16"/>
      <c r="AD160" s="16"/>
      <c r="AE160" s="16"/>
      <c r="AF160" s="16"/>
      <c r="AG160" s="16"/>
      <c r="AH160" s="16"/>
      <c r="AI160" s="16"/>
    </row>
    <row r="161" spans="1:35" x14ac:dyDescent="0.25">
      <c r="A161">
        <v>158</v>
      </c>
      <c r="B161" s="1" t="s">
        <v>133</v>
      </c>
      <c r="C161" s="1">
        <v>2011</v>
      </c>
      <c r="D161" s="42" t="s">
        <v>45</v>
      </c>
      <c r="E161" s="1">
        <v>1</v>
      </c>
      <c r="F161" s="3" t="s">
        <v>7</v>
      </c>
      <c r="G161" s="33">
        <v>1000</v>
      </c>
      <c r="H161" s="1">
        <v>0.34016128073877006</v>
      </c>
      <c r="I161" s="1">
        <v>0.34008136362857155</v>
      </c>
      <c r="J161" s="1">
        <v>7.702552758476354E-2</v>
      </c>
      <c r="K161" s="1">
        <v>0.21789890916634858</v>
      </c>
      <c r="L161" s="1">
        <v>0.47000228290160295</v>
      </c>
      <c r="M161" s="25">
        <v>20710.167560200389</v>
      </c>
      <c r="N161" s="112">
        <f t="shared" ref="N161:N204" si="38">$M161*I161</f>
        <v>7043.142024849155</v>
      </c>
      <c r="O161" s="20">
        <f t="shared" ref="O161:O204" si="39">$M161*K161</f>
        <v>4512.7229200199636</v>
      </c>
      <c r="P161" s="20">
        <f t="shared" ref="P161:P204" si="40">$M161*L161</f>
        <v>9733.8260325689025</v>
      </c>
      <c r="Q161" s="91">
        <v>7.6</v>
      </c>
      <c r="R161" s="46">
        <f t="shared" si="37"/>
        <v>53527.879388853573</v>
      </c>
      <c r="S161" s="46">
        <f t="shared" ref="S161:S171" si="41">O161*$Q161</f>
        <v>34296.694192151721</v>
      </c>
      <c r="T161" s="46">
        <f t="shared" ref="T161:T171" si="42">P161*$Q161</f>
        <v>73977.077847523658</v>
      </c>
      <c r="U161" s="16">
        <v>2</v>
      </c>
      <c r="AC161" s="16"/>
      <c r="AD161" s="16"/>
      <c r="AE161" s="16"/>
      <c r="AF161" s="16"/>
      <c r="AG161" s="16"/>
      <c r="AH161" s="16"/>
      <c r="AI161" s="16"/>
    </row>
    <row r="162" spans="1:35" x14ac:dyDescent="0.25">
      <c r="A162">
        <v>159</v>
      </c>
      <c r="B162" s="1" t="s">
        <v>133</v>
      </c>
      <c r="C162" s="1">
        <v>2011</v>
      </c>
      <c r="D162" s="42" t="s">
        <v>45</v>
      </c>
      <c r="E162" s="1">
        <v>2</v>
      </c>
      <c r="F162" s="3" t="s">
        <v>8</v>
      </c>
      <c r="G162" s="33">
        <v>1000</v>
      </c>
      <c r="H162" s="1">
        <v>0.4110036352245432</v>
      </c>
      <c r="I162" s="1">
        <v>0.38252963389108074</v>
      </c>
      <c r="J162" s="1">
        <v>0.10493951054533167</v>
      </c>
      <c r="K162" s="1">
        <v>0.29432409795506831</v>
      </c>
      <c r="L162" s="1">
        <v>0.64058410740921612</v>
      </c>
      <c r="M162" s="25">
        <v>12937.515211791189</v>
      </c>
      <c r="N162" s="112">
        <f t="shared" si="38"/>
        <v>4948.9829574267715</v>
      </c>
      <c r="O162" s="20">
        <f t="shared" si="39"/>
        <v>3807.8224944904164</v>
      </c>
      <c r="P162" s="20">
        <f t="shared" si="40"/>
        <v>8287.5666340384141</v>
      </c>
      <c r="Q162" s="91">
        <v>12.2</v>
      </c>
      <c r="R162" s="46">
        <f t="shared" si="37"/>
        <v>60377.592080606606</v>
      </c>
      <c r="S162" s="46">
        <f t="shared" si="41"/>
        <v>46455.434432783077</v>
      </c>
      <c r="T162" s="46">
        <f t="shared" si="42"/>
        <v>101108.31293526865</v>
      </c>
      <c r="U162" s="16">
        <v>1</v>
      </c>
      <c r="AC162" s="16"/>
      <c r="AD162" s="16"/>
      <c r="AE162" s="16"/>
      <c r="AF162" s="16"/>
      <c r="AG162" s="16"/>
      <c r="AH162" s="16"/>
      <c r="AI162" s="16"/>
    </row>
    <row r="163" spans="1:35" x14ac:dyDescent="0.25">
      <c r="A163">
        <v>160</v>
      </c>
      <c r="B163" s="1" t="s">
        <v>133</v>
      </c>
      <c r="C163" s="1">
        <v>2011</v>
      </c>
      <c r="D163" s="42" t="s">
        <v>45</v>
      </c>
      <c r="E163" s="1">
        <v>3</v>
      </c>
      <c r="F163" s="3" t="s">
        <v>9</v>
      </c>
      <c r="G163" s="33">
        <v>1000</v>
      </c>
      <c r="H163" s="1">
        <v>0.24420757387674649</v>
      </c>
      <c r="I163" s="1">
        <v>0.22507444978579111</v>
      </c>
      <c r="J163" s="1">
        <v>6.2117516802318716E-2</v>
      </c>
      <c r="K163" s="1">
        <v>0.17847643579971942</v>
      </c>
      <c r="L163" s="1">
        <v>0.37203189537829118</v>
      </c>
      <c r="M163" s="25">
        <v>10953.043037802479</v>
      </c>
      <c r="N163" s="112">
        <f t="shared" si="38"/>
        <v>2465.2501352134832</v>
      </c>
      <c r="O163" s="20">
        <f t="shared" si="39"/>
        <v>1954.860082547918</v>
      </c>
      <c r="P163" s="20">
        <f t="shared" si="40"/>
        <v>4074.8813615136528</v>
      </c>
      <c r="Q163" s="91">
        <v>12.5</v>
      </c>
      <c r="R163" s="46">
        <f t="shared" si="37"/>
        <v>30815.626690168541</v>
      </c>
      <c r="S163" s="46">
        <f t="shared" si="41"/>
        <v>24435.751031848973</v>
      </c>
      <c r="T163" s="46">
        <f t="shared" si="42"/>
        <v>50936.017018920662</v>
      </c>
      <c r="U163" s="16">
        <v>4</v>
      </c>
      <c r="AC163" s="16"/>
      <c r="AD163" s="16"/>
      <c r="AE163" s="16"/>
      <c r="AF163" s="16"/>
      <c r="AG163" s="16"/>
      <c r="AH163" s="16"/>
      <c r="AI163" s="16"/>
    </row>
    <row r="164" spans="1:35" x14ac:dyDescent="0.25">
      <c r="A164">
        <v>161</v>
      </c>
      <c r="B164" s="1" t="s">
        <v>133</v>
      </c>
      <c r="C164" s="1">
        <v>2011</v>
      </c>
      <c r="D164" s="42" t="s">
        <v>45</v>
      </c>
      <c r="E164" s="1">
        <v>5</v>
      </c>
      <c r="F164" s="3" t="s">
        <v>11</v>
      </c>
      <c r="G164" s="33">
        <v>1000</v>
      </c>
      <c r="H164" s="1">
        <v>1.7992901419842076E-2</v>
      </c>
      <c r="I164" s="1">
        <v>5.4820829439543063E-3</v>
      </c>
      <c r="J164" s="1">
        <v>3.8735117103407893E-2</v>
      </c>
      <c r="K164" s="1">
        <v>3.5541916817714882E-3</v>
      </c>
      <c r="L164" s="1">
        <v>0.11979688952483794</v>
      </c>
      <c r="M164" s="25">
        <v>13991.101427824766</v>
      </c>
      <c r="N164" s="112">
        <f t="shared" si="38"/>
        <v>76.700378504612885</v>
      </c>
      <c r="O164" s="20">
        <f t="shared" si="39"/>
        <v>49.727056313595973</v>
      </c>
      <c r="P164" s="20">
        <f t="shared" si="40"/>
        <v>1676.0904320799259</v>
      </c>
      <c r="Q164" s="91">
        <v>6</v>
      </c>
      <c r="R164" s="46">
        <f t="shared" si="37"/>
        <v>460.20227102767728</v>
      </c>
      <c r="S164" s="46">
        <f t="shared" si="41"/>
        <v>298.36233788157585</v>
      </c>
      <c r="T164" s="46">
        <f t="shared" si="42"/>
        <v>10056.542592479556</v>
      </c>
      <c r="U164" s="16">
        <v>8</v>
      </c>
      <c r="AC164" s="16"/>
      <c r="AD164" s="16"/>
      <c r="AE164" s="16"/>
      <c r="AF164" s="16"/>
      <c r="AG164" s="16"/>
      <c r="AH164" s="16"/>
      <c r="AI164" s="16"/>
    </row>
    <row r="165" spans="1:35" x14ac:dyDescent="0.25">
      <c r="A165">
        <v>162</v>
      </c>
      <c r="B165" s="1" t="s">
        <v>133</v>
      </c>
      <c r="C165" s="1">
        <v>2011</v>
      </c>
      <c r="D165" s="42" t="s">
        <v>45</v>
      </c>
      <c r="E165" s="1">
        <v>6</v>
      </c>
      <c r="F165" s="3" t="s">
        <v>12</v>
      </c>
      <c r="G165" s="33">
        <v>1000</v>
      </c>
      <c r="H165" s="1">
        <v>0.16042386048758894</v>
      </c>
      <c r="I165" s="1">
        <v>0.15066276876196982</v>
      </c>
      <c r="J165" s="1">
        <v>3.6800162649119554E-2</v>
      </c>
      <c r="K165" s="1">
        <v>0.12121456919999798</v>
      </c>
      <c r="L165" s="1">
        <v>0.24316112807045617</v>
      </c>
      <c r="M165" s="25">
        <v>6966.102651973556</v>
      </c>
      <c r="N165" s="112">
        <f t="shared" si="38"/>
        <v>1049.5323130264367</v>
      </c>
      <c r="O165" s="20">
        <f t="shared" si="39"/>
        <v>844.39313196193814</v>
      </c>
      <c r="P165" s="20">
        <f t="shared" si="40"/>
        <v>1693.8853791084862</v>
      </c>
      <c r="Q165" s="91">
        <v>14.3</v>
      </c>
      <c r="R165" s="46">
        <f t="shared" si="37"/>
        <v>15008.312076278045</v>
      </c>
      <c r="S165" s="46">
        <f t="shared" si="41"/>
        <v>12074.821787055716</v>
      </c>
      <c r="T165" s="46">
        <f t="shared" si="42"/>
        <v>24222.560921251352</v>
      </c>
      <c r="U165" s="16">
        <v>5</v>
      </c>
      <c r="AC165" s="16"/>
      <c r="AD165" s="16"/>
      <c r="AE165" s="16"/>
      <c r="AF165" s="16"/>
      <c r="AG165" s="16"/>
      <c r="AH165" s="16"/>
      <c r="AI165" s="16"/>
    </row>
    <row r="166" spans="1:35" x14ac:dyDescent="0.25">
      <c r="A166">
        <v>163</v>
      </c>
      <c r="B166" s="1" t="s">
        <v>133</v>
      </c>
      <c r="C166" s="1">
        <v>2011</v>
      </c>
      <c r="D166" s="42" t="s">
        <v>45</v>
      </c>
      <c r="E166" s="1">
        <v>7</v>
      </c>
      <c r="F166" s="3" t="s">
        <v>13</v>
      </c>
      <c r="G166" s="33">
        <v>1000</v>
      </c>
      <c r="H166" s="1">
        <v>6.5004353040116914E-3</v>
      </c>
      <c r="I166" s="1">
        <v>6.1529587185756279E-3</v>
      </c>
      <c r="J166" s="1">
        <v>2.8855167947869063E-3</v>
      </c>
      <c r="K166" s="1">
        <v>2.0765888039405763E-3</v>
      </c>
      <c r="L166" s="1">
        <v>1.1862696189793048E-2</v>
      </c>
      <c r="M166" s="25">
        <v>2532.5333267390947</v>
      </c>
      <c r="N166" s="112">
        <f t="shared" si="38"/>
        <v>15.582573012842651</v>
      </c>
      <c r="O166" s="20">
        <f t="shared" si="39"/>
        <v>5.2590303519127852</v>
      </c>
      <c r="P166" s="20">
        <f t="shared" si="40"/>
        <v>30.04267344563177</v>
      </c>
      <c r="Q166" s="91">
        <v>14.3</v>
      </c>
      <c r="R166" s="46">
        <f t="shared" si="37"/>
        <v>222.83079408364992</v>
      </c>
      <c r="S166" s="46">
        <f t="shared" si="41"/>
        <v>75.204134032352826</v>
      </c>
      <c r="T166" s="46">
        <f t="shared" si="42"/>
        <v>429.61023027253435</v>
      </c>
      <c r="U166" s="16">
        <v>9</v>
      </c>
      <c r="AC166" s="16"/>
      <c r="AD166" s="16"/>
      <c r="AE166" s="16"/>
      <c r="AF166" s="16"/>
      <c r="AG166" s="16"/>
      <c r="AH166" s="16"/>
      <c r="AI166" s="16"/>
    </row>
    <row r="167" spans="1:35" x14ac:dyDescent="0.25">
      <c r="A167">
        <v>164</v>
      </c>
      <c r="B167" s="1" t="s">
        <v>133</v>
      </c>
      <c r="C167" s="1">
        <v>2011</v>
      </c>
      <c r="D167" s="42" t="s">
        <v>45</v>
      </c>
      <c r="E167" s="1">
        <v>8</v>
      </c>
      <c r="F167" s="3" t="s">
        <v>14</v>
      </c>
      <c r="G167" s="33">
        <v>1000</v>
      </c>
      <c r="H167" s="1">
        <v>6.2490408370241973E-2</v>
      </c>
      <c r="I167" s="1">
        <v>6.1277867651886267E-2</v>
      </c>
      <c r="J167" s="1">
        <v>7.974533326250588E-3</v>
      </c>
      <c r="K167" s="1">
        <v>5.2283262413146139E-2</v>
      </c>
      <c r="L167" s="1">
        <v>7.826136927634296E-2</v>
      </c>
      <c r="M167" s="25">
        <v>13775.148973606703</v>
      </c>
      <c r="N167" s="112">
        <f t="shared" si="38"/>
        <v>844.11175568968849</v>
      </c>
      <c r="O167" s="20">
        <f t="shared" si="39"/>
        <v>720.20972856725996</v>
      </c>
      <c r="P167" s="20">
        <f t="shared" si="40"/>
        <v>1078.0620206600709</v>
      </c>
      <c r="Q167" s="91">
        <v>13.1</v>
      </c>
      <c r="R167" s="46">
        <f t="shared" si="37"/>
        <v>11057.863999534919</v>
      </c>
      <c r="S167" s="46">
        <f t="shared" si="41"/>
        <v>9434.747444231105</v>
      </c>
      <c r="T167" s="46">
        <f t="shared" si="42"/>
        <v>14122.612470646927</v>
      </c>
      <c r="U167" s="16">
        <v>6</v>
      </c>
      <c r="AC167" s="16"/>
      <c r="AD167" s="16"/>
      <c r="AE167" s="16"/>
      <c r="AF167" s="16"/>
      <c r="AG167" s="16"/>
      <c r="AH167" s="16"/>
      <c r="AI167" s="16"/>
    </row>
    <row r="168" spans="1:35" x14ac:dyDescent="0.25">
      <c r="A168">
        <v>165</v>
      </c>
      <c r="B168" s="1" t="s">
        <v>133</v>
      </c>
      <c r="C168" s="1">
        <v>2011</v>
      </c>
      <c r="D168" s="42" t="s">
        <v>45</v>
      </c>
      <c r="E168" s="1">
        <v>9</v>
      </c>
      <c r="F168" s="3" t="s">
        <v>15</v>
      </c>
      <c r="G168" s="33">
        <v>1000</v>
      </c>
      <c r="H168" s="1">
        <v>9.6865287110698695E-3</v>
      </c>
      <c r="I168" s="1">
        <v>8.4196936569694864E-3</v>
      </c>
      <c r="J168" s="1">
        <v>4.3579326607662266E-3</v>
      </c>
      <c r="K168" s="1">
        <v>6.5256100824614372E-3</v>
      </c>
      <c r="L168" s="1">
        <v>1.9305349884333273E-2</v>
      </c>
      <c r="M168" s="25">
        <v>5560.7756961151053</v>
      </c>
      <c r="N168" s="112">
        <f t="shared" si="38"/>
        <v>46.820027856410434</v>
      </c>
      <c r="O168" s="20">
        <f t="shared" si="39"/>
        <v>36.287453948875246</v>
      </c>
      <c r="P168" s="20">
        <f t="shared" si="40"/>
        <v>107.35272044179902</v>
      </c>
      <c r="Q168" s="91">
        <v>13.3</v>
      </c>
      <c r="R168" s="46">
        <f t="shared" si="37"/>
        <v>622.70637049025879</v>
      </c>
      <c r="S168" s="46">
        <f t="shared" si="41"/>
        <v>482.62313752004081</v>
      </c>
      <c r="T168" s="46">
        <f t="shared" si="42"/>
        <v>1427.7911818759271</v>
      </c>
      <c r="U168" s="16">
        <v>7</v>
      </c>
      <c r="AC168" s="16"/>
      <c r="AD168" s="16"/>
      <c r="AE168" s="16"/>
      <c r="AF168" s="16"/>
      <c r="AG168" s="16"/>
      <c r="AH168" s="16"/>
      <c r="AI168" s="16"/>
    </row>
    <row r="169" spans="1:35" x14ac:dyDescent="0.25">
      <c r="A169">
        <v>166</v>
      </c>
      <c r="B169" s="1" t="s">
        <v>133</v>
      </c>
      <c r="C169" s="1">
        <v>2011</v>
      </c>
      <c r="D169" s="42" t="s">
        <v>45</v>
      </c>
      <c r="E169" s="1">
        <v>10</v>
      </c>
      <c r="F169" s="3" t="s">
        <v>16</v>
      </c>
      <c r="G169" s="33">
        <v>1000</v>
      </c>
      <c r="H169" s="1">
        <v>0.26080438348506996</v>
      </c>
      <c r="I169" s="1">
        <v>0.25945633795618855</v>
      </c>
      <c r="J169" s="1">
        <v>1.6829511027281287E-2</v>
      </c>
      <c r="K169" s="1">
        <v>0.23537136648272941</v>
      </c>
      <c r="L169" s="1">
        <v>0.28999300445573256</v>
      </c>
      <c r="M169" s="25">
        <v>10828.706776282988</v>
      </c>
      <c r="N169" s="112">
        <f t="shared" si="38"/>
        <v>2809.5766049757481</v>
      </c>
      <c r="O169" s="20">
        <f t="shared" si="39"/>
        <v>2548.7675111745184</v>
      </c>
      <c r="P169" s="20">
        <f t="shared" si="40"/>
        <v>3140.2492124244541</v>
      </c>
      <c r="Q169" s="91">
        <v>13.3</v>
      </c>
      <c r="R169" s="46">
        <f t="shared" si="37"/>
        <v>37367.368846177451</v>
      </c>
      <c r="S169" s="46">
        <f t="shared" si="41"/>
        <v>33898.6078986211</v>
      </c>
      <c r="T169" s="46">
        <f t="shared" si="42"/>
        <v>41765.314525245245</v>
      </c>
      <c r="U169" s="16">
        <v>3</v>
      </c>
      <c r="AC169" s="16"/>
      <c r="AD169" s="16"/>
      <c r="AE169" s="16"/>
      <c r="AF169" s="16"/>
      <c r="AG169" s="16"/>
      <c r="AH169" s="16"/>
      <c r="AI169" s="16"/>
    </row>
    <row r="170" spans="1:35" x14ac:dyDescent="0.25">
      <c r="A170">
        <v>167</v>
      </c>
      <c r="B170" s="1" t="s">
        <v>133</v>
      </c>
      <c r="C170" s="1">
        <v>2011</v>
      </c>
      <c r="D170" s="42" t="s">
        <v>45</v>
      </c>
      <c r="E170" s="1">
        <v>11</v>
      </c>
      <c r="F170" s="3" t="s">
        <v>17</v>
      </c>
      <c r="G170" s="33">
        <v>1000</v>
      </c>
      <c r="H170" s="1">
        <v>9.5784866801201969E-3</v>
      </c>
      <c r="I170" s="1">
        <v>4.3799418097355824E-3</v>
      </c>
      <c r="J170" s="1">
        <v>1.8858770911703196E-2</v>
      </c>
      <c r="K170" s="1">
        <v>2.5344283268670864E-3</v>
      </c>
      <c r="L170" s="1">
        <v>2.1184048881675119E-2</v>
      </c>
      <c r="M170" s="25">
        <v>11753.048720473937</v>
      </c>
      <c r="N170" s="112">
        <f t="shared" si="38"/>
        <v>51.477669482663089</v>
      </c>
      <c r="O170" s="20">
        <f t="shared" si="39"/>
        <v>29.787259604218111</v>
      </c>
      <c r="P170" s="20">
        <f t="shared" si="40"/>
        <v>248.97715860322907</v>
      </c>
      <c r="Q170" s="91">
        <v>3.6</v>
      </c>
      <c r="R170" s="46">
        <f t="shared" si="37"/>
        <v>185.31961013758712</v>
      </c>
      <c r="S170" s="46">
        <f t="shared" si="41"/>
        <v>107.23413457518519</v>
      </c>
      <c r="T170" s="46">
        <f t="shared" si="42"/>
        <v>896.31777097162467</v>
      </c>
      <c r="U170" s="16">
        <v>10</v>
      </c>
      <c r="AC170" s="16"/>
      <c r="AD170" s="16"/>
      <c r="AE170" s="16"/>
      <c r="AF170" s="16"/>
      <c r="AG170" s="16"/>
      <c r="AH170" s="16"/>
      <c r="AI170" s="16"/>
    </row>
    <row r="171" spans="1:35" x14ac:dyDescent="0.25">
      <c r="A171">
        <v>167</v>
      </c>
      <c r="B171" s="1" t="s">
        <v>133</v>
      </c>
      <c r="C171" s="1">
        <v>2011</v>
      </c>
      <c r="D171" s="42" t="s">
        <v>45</v>
      </c>
      <c r="E171" s="1">
        <v>13</v>
      </c>
      <c r="F171" s="3" t="s">
        <v>19</v>
      </c>
      <c r="G171" s="33">
        <v>1000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25">
        <v>5410.2633795388801</v>
      </c>
      <c r="N171" s="44">
        <f t="shared" si="38"/>
        <v>0</v>
      </c>
      <c r="O171" s="20">
        <f t="shared" si="39"/>
        <v>0</v>
      </c>
      <c r="P171" s="20">
        <f t="shared" si="40"/>
        <v>0</v>
      </c>
      <c r="Q171" s="91">
        <v>0</v>
      </c>
      <c r="R171" s="46">
        <f t="shared" si="37"/>
        <v>0</v>
      </c>
      <c r="S171" s="46">
        <f t="shared" si="41"/>
        <v>0</v>
      </c>
      <c r="T171" s="46">
        <f t="shared" si="42"/>
        <v>0</v>
      </c>
      <c r="U171" s="16">
        <v>11</v>
      </c>
      <c r="AC171" s="16"/>
      <c r="AD171" s="16"/>
      <c r="AE171" s="16"/>
      <c r="AF171" s="16"/>
      <c r="AG171" s="16"/>
      <c r="AH171" s="16"/>
      <c r="AI171" s="16"/>
    </row>
    <row r="172" spans="1:35" x14ac:dyDescent="0.25">
      <c r="A172" s="119">
        <v>169</v>
      </c>
      <c r="B172" s="130" t="s">
        <v>135</v>
      </c>
      <c r="C172" s="130">
        <v>2012</v>
      </c>
      <c r="D172" s="122" t="s">
        <v>45</v>
      </c>
      <c r="E172" s="130">
        <v>1</v>
      </c>
      <c r="F172" s="123" t="s">
        <v>7</v>
      </c>
      <c r="G172" s="130">
        <v>1000</v>
      </c>
      <c r="H172" s="121">
        <v>0.29829727025794361</v>
      </c>
      <c r="I172" s="121">
        <v>0.29712027277301412</v>
      </c>
      <c r="J172" s="121">
        <v>2.7553423326290249E-2</v>
      </c>
      <c r="K172" s="121">
        <v>0.2561085980833242</v>
      </c>
      <c r="L172" s="121">
        <v>0.34571787967260814</v>
      </c>
      <c r="M172" s="124">
        <v>20710.167560200389</v>
      </c>
      <c r="N172" s="125">
        <f t="shared" si="38"/>
        <v>6153.4106346615681</v>
      </c>
      <c r="O172" s="126">
        <f t="shared" si="39"/>
        <v>5304.05197991366</v>
      </c>
      <c r="P172" s="126">
        <f t="shared" si="40"/>
        <v>7159.8752165769101</v>
      </c>
      <c r="Q172" s="131">
        <v>11.1</v>
      </c>
      <c r="R172" s="127">
        <f t="shared" ref="R172:R195" si="43">Q172*N172</f>
        <v>68302.858044743407</v>
      </c>
      <c r="S172" s="127">
        <f t="shared" ref="S172:S195" si="44">O172*$Q172</f>
        <v>58874.976977041624</v>
      </c>
      <c r="T172" s="127">
        <f t="shared" ref="T172:T195" si="45">P172*$Q172</f>
        <v>79474.614904003698</v>
      </c>
      <c r="U172" s="119">
        <v>1</v>
      </c>
      <c r="V172" s="119"/>
      <c r="W172" s="119">
        <v>0.73421300659754951</v>
      </c>
      <c r="X172" s="133">
        <f t="shared" ref="X172:X183" si="46">W172*R172</f>
        <v>50148.846764236681</v>
      </c>
      <c r="AC172" s="16"/>
      <c r="AD172" s="16"/>
      <c r="AE172" s="16"/>
      <c r="AF172" s="16"/>
      <c r="AG172" s="16"/>
      <c r="AH172" s="16"/>
    </row>
    <row r="173" spans="1:35" x14ac:dyDescent="0.25">
      <c r="A173" s="119">
        <v>170</v>
      </c>
      <c r="B173" s="130" t="s">
        <v>135</v>
      </c>
      <c r="C173" s="130">
        <v>2012</v>
      </c>
      <c r="D173" s="122" t="s">
        <v>45</v>
      </c>
      <c r="E173" s="130">
        <v>2</v>
      </c>
      <c r="F173" s="128" t="s">
        <v>8</v>
      </c>
      <c r="G173" s="130">
        <v>1000</v>
      </c>
      <c r="H173" s="121">
        <v>0.27137408107119171</v>
      </c>
      <c r="I173" s="121">
        <v>0.26298535112523991</v>
      </c>
      <c r="J173" s="121">
        <v>4.5038934163079657E-2</v>
      </c>
      <c r="K173" s="121">
        <v>0.20822947954890539</v>
      </c>
      <c r="L173" s="121">
        <v>0.3553348625150633</v>
      </c>
      <c r="M173" s="124">
        <v>12937.515211791189</v>
      </c>
      <c r="N173" s="125">
        <f t="shared" si="38"/>
        <v>3402.3769806610385</v>
      </c>
      <c r="O173" s="126">
        <f t="shared" si="39"/>
        <v>2693.9720592073259</v>
      </c>
      <c r="P173" s="126">
        <f t="shared" si="40"/>
        <v>4597.1501890683621</v>
      </c>
      <c r="Q173" s="131">
        <v>8.1</v>
      </c>
      <c r="R173" s="127">
        <f t="shared" si="43"/>
        <v>27559.253543354411</v>
      </c>
      <c r="S173" s="127">
        <f t="shared" si="44"/>
        <v>21821.173679579337</v>
      </c>
      <c r="T173" s="127">
        <f t="shared" si="45"/>
        <v>37236.916531453731</v>
      </c>
      <c r="U173" s="119">
        <v>2</v>
      </c>
      <c r="V173" s="119"/>
      <c r="W173" s="119">
        <v>0.42749999999999999</v>
      </c>
      <c r="X173" s="133">
        <f t="shared" si="46"/>
        <v>11781.580889784011</v>
      </c>
      <c r="AC173" s="16"/>
      <c r="AD173" s="16"/>
      <c r="AE173" s="16"/>
      <c r="AF173" s="16"/>
      <c r="AG173" s="16"/>
      <c r="AH173" s="16"/>
    </row>
    <row r="174" spans="1:35" x14ac:dyDescent="0.25">
      <c r="A174" s="119">
        <v>171</v>
      </c>
      <c r="B174" s="130" t="s">
        <v>135</v>
      </c>
      <c r="C174" s="130">
        <v>2012</v>
      </c>
      <c r="D174" s="122" t="s">
        <v>45</v>
      </c>
      <c r="E174" s="130">
        <v>3</v>
      </c>
      <c r="F174" s="128" t="s">
        <v>9</v>
      </c>
      <c r="G174" s="130">
        <v>1000</v>
      </c>
      <c r="H174" s="121">
        <v>0.29518264110779785</v>
      </c>
      <c r="I174" s="121">
        <v>0.2920933501382732</v>
      </c>
      <c r="J174" s="121">
        <v>3.5419186753435826E-2</v>
      </c>
      <c r="K174" s="121">
        <v>0.24307068468470214</v>
      </c>
      <c r="L174" s="121">
        <v>0.35950013556498839</v>
      </c>
      <c r="M174" s="124">
        <v>10953.043037802479</v>
      </c>
      <c r="N174" s="125">
        <f t="shared" si="38"/>
        <v>3199.311035120415</v>
      </c>
      <c r="O174" s="126">
        <f t="shared" si="39"/>
        <v>2662.3636705796584</v>
      </c>
      <c r="P174" s="126">
        <f t="shared" si="40"/>
        <v>3937.6204569391434</v>
      </c>
      <c r="Q174" s="131">
        <v>7.9</v>
      </c>
      <c r="R174" s="127">
        <f t="shared" si="43"/>
        <v>25274.557177451279</v>
      </c>
      <c r="S174" s="127">
        <f t="shared" si="44"/>
        <v>21032.672997579302</v>
      </c>
      <c r="T174" s="127">
        <f t="shared" si="45"/>
        <v>31107.201609819236</v>
      </c>
      <c r="U174" s="119">
        <v>3</v>
      </c>
      <c r="V174" s="119"/>
      <c r="W174" s="119">
        <v>0.23020527859237536</v>
      </c>
      <c r="X174" s="133">
        <f t="shared" si="46"/>
        <v>5818.3364763340915</v>
      </c>
      <c r="AC174" s="16"/>
      <c r="AD174" s="16"/>
      <c r="AE174" s="16"/>
      <c r="AF174" s="16"/>
      <c r="AG174" s="16"/>
      <c r="AH174" s="16"/>
    </row>
    <row r="175" spans="1:35" x14ac:dyDescent="0.25">
      <c r="A175" s="119">
        <v>172</v>
      </c>
      <c r="B175" s="130" t="s">
        <v>135</v>
      </c>
      <c r="C175" s="130">
        <v>2012</v>
      </c>
      <c r="D175" s="122" t="s">
        <v>45</v>
      </c>
      <c r="E175" s="130">
        <v>5</v>
      </c>
      <c r="F175" s="128" t="s">
        <v>11</v>
      </c>
      <c r="G175" s="130">
        <v>1000</v>
      </c>
      <c r="H175" s="121">
        <v>5.0474799204814645E-2</v>
      </c>
      <c r="I175" s="121">
        <v>4.9053578477982432E-2</v>
      </c>
      <c r="J175" s="121">
        <v>1.1515219161210183E-2</v>
      </c>
      <c r="K175" s="121">
        <v>3.4575804787428867E-2</v>
      </c>
      <c r="L175" s="121">
        <v>7.1724959900602001E-2</v>
      </c>
      <c r="M175" s="124">
        <v>13991.101427824766</v>
      </c>
      <c r="N175" s="125">
        <f t="shared" si="38"/>
        <v>686.31359188321426</v>
      </c>
      <c r="O175" s="126">
        <f t="shared" si="39"/>
        <v>483.75359172958639</v>
      </c>
      <c r="P175" s="126">
        <f t="shared" si="40"/>
        <v>1003.5111888759867</v>
      </c>
      <c r="Q175" s="131">
        <v>12.4</v>
      </c>
      <c r="R175" s="127">
        <f t="shared" si="43"/>
        <v>8510.2885393518573</v>
      </c>
      <c r="S175" s="127">
        <f t="shared" si="44"/>
        <v>5998.5445374468718</v>
      </c>
      <c r="T175" s="127">
        <f t="shared" si="45"/>
        <v>12443.538742062236</v>
      </c>
      <c r="U175" s="119">
        <v>7</v>
      </c>
      <c r="V175" s="119"/>
      <c r="W175" s="119">
        <v>0.67728237791932056</v>
      </c>
      <c r="X175" s="133">
        <f t="shared" si="46"/>
        <v>5763.8684587117668</v>
      </c>
      <c r="AC175" s="16"/>
      <c r="AD175" s="16"/>
      <c r="AE175" s="16"/>
      <c r="AF175" s="16"/>
      <c r="AG175" s="16"/>
      <c r="AH175" s="16"/>
    </row>
    <row r="176" spans="1:35" x14ac:dyDescent="0.25">
      <c r="A176" s="119">
        <v>173</v>
      </c>
      <c r="B176" s="130" t="s">
        <v>135</v>
      </c>
      <c r="C176" s="130">
        <v>2012</v>
      </c>
      <c r="D176" s="122" t="s">
        <v>45</v>
      </c>
      <c r="E176" s="130">
        <v>6</v>
      </c>
      <c r="F176" s="128" t="s">
        <v>12</v>
      </c>
      <c r="G176" s="130">
        <v>1000</v>
      </c>
      <c r="H176" s="121">
        <v>0.26676005284381482</v>
      </c>
      <c r="I176" s="121">
        <v>0.26545848614676515</v>
      </c>
      <c r="J176" s="121">
        <v>2.9600767643267231E-2</v>
      </c>
      <c r="K176" s="121">
        <v>0.22212206251583086</v>
      </c>
      <c r="L176" s="121">
        <v>0.32011132363366895</v>
      </c>
      <c r="M176" s="124">
        <v>6966.102651973556</v>
      </c>
      <c r="N176" s="125">
        <f t="shared" si="38"/>
        <v>1849.2110643358662</v>
      </c>
      <c r="O176" s="126">
        <f t="shared" si="39"/>
        <v>1547.3250887533654</v>
      </c>
      <c r="P176" s="126">
        <f t="shared" si="40"/>
        <v>2229.9283404912667</v>
      </c>
      <c r="Q176" s="131">
        <v>8</v>
      </c>
      <c r="R176" s="127">
        <f t="shared" si="43"/>
        <v>14793.68851468693</v>
      </c>
      <c r="S176" s="127">
        <f t="shared" si="44"/>
        <v>12378.600710026923</v>
      </c>
      <c r="T176" s="127">
        <f t="shared" si="45"/>
        <v>17839.426723930133</v>
      </c>
      <c r="U176" s="119">
        <v>6</v>
      </c>
      <c r="V176" s="119"/>
      <c r="W176" s="119">
        <v>0.29702970297029702</v>
      </c>
      <c r="X176" s="133">
        <f t="shared" si="46"/>
        <v>4394.1649053525534</v>
      </c>
      <c r="AC176" s="16"/>
      <c r="AD176" s="16"/>
      <c r="AE176" s="16"/>
      <c r="AF176" s="16"/>
      <c r="AG176" s="16"/>
      <c r="AH176" s="16"/>
    </row>
    <row r="177" spans="1:34" x14ac:dyDescent="0.25">
      <c r="A177" s="119">
        <v>174</v>
      </c>
      <c r="B177" s="130" t="s">
        <v>135</v>
      </c>
      <c r="C177" s="130">
        <v>2012</v>
      </c>
      <c r="D177" s="122" t="s">
        <v>45</v>
      </c>
      <c r="E177" s="130">
        <v>7</v>
      </c>
      <c r="F177" s="128" t="s">
        <v>13</v>
      </c>
      <c r="G177" s="130">
        <v>1000</v>
      </c>
      <c r="H177" s="121">
        <v>3.2256611805788491E-3</v>
      </c>
      <c r="I177" s="121">
        <v>2.9802079957806146E-3</v>
      </c>
      <c r="J177" s="121">
        <v>1.2533929210277292E-3</v>
      </c>
      <c r="K177" s="121">
        <v>1.6173650530181328E-3</v>
      </c>
      <c r="L177" s="121">
        <v>5.6619430710205818E-3</v>
      </c>
      <c r="M177" s="124">
        <v>2532.5333267390947</v>
      </c>
      <c r="N177" s="125">
        <f t="shared" si="38"/>
        <v>7.54747606992873</v>
      </c>
      <c r="O177" s="126">
        <f t="shared" si="39"/>
        <v>4.0960308982715645</v>
      </c>
      <c r="P177" s="126">
        <f t="shared" si="40"/>
        <v>14.33905952145912</v>
      </c>
      <c r="Q177" s="131">
        <v>8</v>
      </c>
      <c r="R177" s="127">
        <f t="shared" si="43"/>
        <v>60.37980855942984</v>
      </c>
      <c r="S177" s="127">
        <f t="shared" si="44"/>
        <v>32.768247186172516</v>
      </c>
      <c r="T177" s="127">
        <f t="shared" si="45"/>
        <v>114.71247617167296</v>
      </c>
      <c r="U177" s="119">
        <v>12</v>
      </c>
      <c r="V177" s="119"/>
      <c r="W177" s="119">
        <v>0.29702970297029702</v>
      </c>
      <c r="X177" s="133">
        <f t="shared" si="46"/>
        <v>17.934596601810842</v>
      </c>
      <c r="AC177" s="16"/>
      <c r="AD177" s="16"/>
      <c r="AE177" s="16"/>
      <c r="AF177" s="16"/>
      <c r="AG177" s="16"/>
      <c r="AH177" s="16"/>
    </row>
    <row r="178" spans="1:34" x14ac:dyDescent="0.25">
      <c r="A178" s="119">
        <v>175</v>
      </c>
      <c r="B178" s="130" t="s">
        <v>135</v>
      </c>
      <c r="C178" s="130">
        <v>2012</v>
      </c>
      <c r="D178" s="122" t="s">
        <v>45</v>
      </c>
      <c r="E178" s="130">
        <v>8</v>
      </c>
      <c r="F178" s="128" t="s">
        <v>14</v>
      </c>
      <c r="G178" s="130">
        <v>1000</v>
      </c>
      <c r="H178" s="121">
        <v>0.3688267690878706</v>
      </c>
      <c r="I178" s="121">
        <v>0.20431453398903995</v>
      </c>
      <c r="J178" s="121">
        <v>0.54291243523611976</v>
      </c>
      <c r="K178" s="121">
        <v>0.13831975519148609</v>
      </c>
      <c r="L178" s="121">
        <v>1.8979887319425943</v>
      </c>
      <c r="M178" s="124">
        <v>13775.148973606703</v>
      </c>
      <c r="N178" s="125">
        <f t="shared" si="38"/>
        <v>2814.4631431720554</v>
      </c>
      <c r="O178" s="126">
        <f t="shared" si="39"/>
        <v>1905.3752337555302</v>
      </c>
      <c r="P178" s="126">
        <f t="shared" si="40"/>
        <v>26145.077532736115</v>
      </c>
      <c r="Q178" s="131">
        <v>7.6</v>
      </c>
      <c r="R178" s="127">
        <f t="shared" si="43"/>
        <v>21389.919888107619</v>
      </c>
      <c r="S178" s="127">
        <f t="shared" si="44"/>
        <v>14480.851776542029</v>
      </c>
      <c r="T178" s="127">
        <f t="shared" si="45"/>
        <v>198702.58924879448</v>
      </c>
      <c r="U178" s="119">
        <v>5</v>
      </c>
      <c r="V178" s="119"/>
      <c r="W178" s="119">
        <v>0.29499999999999998</v>
      </c>
      <c r="X178" s="133">
        <f t="shared" si="46"/>
        <v>6310.0263669917476</v>
      </c>
      <c r="AC178" s="16"/>
      <c r="AD178" s="16"/>
      <c r="AE178" s="16"/>
      <c r="AF178" s="16"/>
      <c r="AG178" s="16"/>
      <c r="AH178" s="16"/>
    </row>
    <row r="179" spans="1:34" x14ac:dyDescent="0.25">
      <c r="A179" s="119">
        <v>176</v>
      </c>
      <c r="B179" s="130" t="s">
        <v>135</v>
      </c>
      <c r="C179" s="130">
        <v>2012</v>
      </c>
      <c r="D179" s="122" t="s">
        <v>45</v>
      </c>
      <c r="E179" s="130">
        <v>9</v>
      </c>
      <c r="F179" s="128" t="s">
        <v>15</v>
      </c>
      <c r="G179" s="130">
        <v>1000</v>
      </c>
      <c r="H179" s="121">
        <v>4.957390784042949E-2</v>
      </c>
      <c r="I179" s="121">
        <v>4.4670724764016789E-2</v>
      </c>
      <c r="J179" s="121">
        <v>1.9782953372887498E-2</v>
      </c>
      <c r="K179" s="121">
        <v>2.531549100485276E-2</v>
      </c>
      <c r="L179" s="121">
        <v>8.9136130159139348E-2</v>
      </c>
      <c r="M179" s="124">
        <v>5560.7756961151099</v>
      </c>
      <c r="N179" s="125">
        <f t="shared" si="38"/>
        <v>248.40388059559194</v>
      </c>
      <c r="O179" s="126">
        <f t="shared" si="39"/>
        <v>140.77376711500591</v>
      </c>
      <c r="P179" s="126">
        <f t="shared" si="40"/>
        <v>495.66602623469515</v>
      </c>
      <c r="Q179" s="131">
        <v>11.4</v>
      </c>
      <c r="R179" s="127">
        <f t="shared" si="43"/>
        <v>2831.8042387897481</v>
      </c>
      <c r="S179" s="127">
        <f t="shared" si="44"/>
        <v>1604.8209451110674</v>
      </c>
      <c r="T179" s="127">
        <f t="shared" si="45"/>
        <v>5650.5926990755252</v>
      </c>
      <c r="U179" s="119">
        <v>9</v>
      </c>
      <c r="V179" s="119"/>
      <c r="W179" s="119">
        <v>0.82499999999999996</v>
      </c>
      <c r="X179" s="133">
        <f t="shared" si="46"/>
        <v>2336.2384970015419</v>
      </c>
      <c r="AC179" s="16"/>
      <c r="AD179" s="16"/>
      <c r="AE179" s="16"/>
      <c r="AF179" s="16"/>
      <c r="AG179" s="16"/>
      <c r="AH179" s="16"/>
    </row>
    <row r="180" spans="1:34" x14ac:dyDescent="0.25">
      <c r="A180" s="119">
        <v>177</v>
      </c>
      <c r="B180" s="130" t="s">
        <v>135</v>
      </c>
      <c r="C180" s="130">
        <v>2012</v>
      </c>
      <c r="D180" s="122" t="s">
        <v>45</v>
      </c>
      <c r="E180" s="130">
        <v>10</v>
      </c>
      <c r="F180" s="128" t="s">
        <v>16</v>
      </c>
      <c r="G180" s="130">
        <v>1000</v>
      </c>
      <c r="H180" s="121">
        <v>5.5158973080740893E-2</v>
      </c>
      <c r="I180" s="121">
        <v>5.2150739820215092E-2</v>
      </c>
      <c r="J180" s="121">
        <v>1.4826104282202619E-2</v>
      </c>
      <c r="K180" s="121">
        <v>4.2476066129311402E-2</v>
      </c>
      <c r="L180" s="121">
        <v>7.7009222300203517E-2</v>
      </c>
      <c r="M180" s="124">
        <v>10828.706776282988</v>
      </c>
      <c r="N180" s="125">
        <f t="shared" si="38"/>
        <v>564.72506967933418</v>
      </c>
      <c r="O180" s="126">
        <f t="shared" si="39"/>
        <v>459.96086512431867</v>
      </c>
      <c r="P180" s="126">
        <f t="shared" si="40"/>
        <v>833.91028735849682</v>
      </c>
      <c r="Q180" s="131">
        <v>10.199999999999999</v>
      </c>
      <c r="R180" s="127">
        <f t="shared" si="43"/>
        <v>5760.1957107292083</v>
      </c>
      <c r="S180" s="127">
        <f t="shared" si="44"/>
        <v>4691.60082426805</v>
      </c>
      <c r="T180" s="127">
        <f t="shared" si="45"/>
        <v>8505.8849310566675</v>
      </c>
      <c r="U180" s="119">
        <v>8</v>
      </c>
      <c r="V180" s="119"/>
      <c r="W180" s="119">
        <v>0.36249999999999999</v>
      </c>
      <c r="X180" s="133">
        <f t="shared" si="46"/>
        <v>2088.0709451393377</v>
      </c>
      <c r="AC180" s="16"/>
      <c r="AD180" s="16"/>
      <c r="AE180" s="16"/>
      <c r="AF180" s="16"/>
      <c r="AG180" s="16"/>
      <c r="AH180" s="16"/>
    </row>
    <row r="181" spans="1:34" x14ac:dyDescent="0.25">
      <c r="A181" s="119">
        <v>178</v>
      </c>
      <c r="B181" s="130" t="s">
        <v>135</v>
      </c>
      <c r="C181" s="130">
        <v>2012</v>
      </c>
      <c r="D181" s="122" t="s">
        <v>45</v>
      </c>
      <c r="E181" s="132">
        <v>11</v>
      </c>
      <c r="F181" s="128" t="s">
        <v>17</v>
      </c>
      <c r="G181" s="130">
        <v>1000</v>
      </c>
      <c r="H181" s="121">
        <v>4.8597757789620834E-3</v>
      </c>
      <c r="I181" s="121">
        <v>4.6472779899609414E-3</v>
      </c>
      <c r="J181" s="121">
        <v>1.1016274933230629E-3</v>
      </c>
      <c r="K181" s="121">
        <v>3.4861360452019124E-3</v>
      </c>
      <c r="L181" s="121">
        <v>7.1976516179492536E-3</v>
      </c>
      <c r="M181" s="124">
        <v>11753.048720473937</v>
      </c>
      <c r="N181" s="125">
        <f t="shared" si="38"/>
        <v>54.619684633597132</v>
      </c>
      <c r="O181" s="126">
        <f t="shared" si="39"/>
        <v>40.972726785458406</v>
      </c>
      <c r="P181" s="126">
        <f t="shared" si="40"/>
        <v>84.59435013875563</v>
      </c>
      <c r="Q181" s="131">
        <v>7.1</v>
      </c>
      <c r="R181" s="127">
        <f t="shared" si="43"/>
        <v>387.7997608985396</v>
      </c>
      <c r="S181" s="127">
        <f t="shared" si="44"/>
        <v>290.90636017675467</v>
      </c>
      <c r="T181" s="127">
        <f t="shared" si="45"/>
        <v>600.61988598516496</v>
      </c>
      <c r="U181" s="119">
        <v>11</v>
      </c>
      <c r="V181" s="119"/>
      <c r="W181" s="119">
        <v>0.23880597014925373</v>
      </c>
      <c r="X181" s="133">
        <f t="shared" si="46"/>
        <v>92.608898125024382</v>
      </c>
      <c r="AC181" s="16"/>
      <c r="AD181" s="16"/>
      <c r="AE181" s="16"/>
      <c r="AF181" s="16"/>
      <c r="AG181" s="16"/>
      <c r="AH181" s="16"/>
    </row>
    <row r="182" spans="1:34" x14ac:dyDescent="0.25">
      <c r="A182" s="119">
        <v>179</v>
      </c>
      <c r="B182" s="130" t="s">
        <v>135</v>
      </c>
      <c r="C182" s="130">
        <v>2012</v>
      </c>
      <c r="D182" s="122" t="s">
        <v>45</v>
      </c>
      <c r="E182" s="130">
        <v>12</v>
      </c>
      <c r="F182" s="128" t="s">
        <v>18</v>
      </c>
      <c r="G182" s="130">
        <v>1000</v>
      </c>
      <c r="H182" s="121">
        <v>0.15067619862412757</v>
      </c>
      <c r="I182" s="121">
        <v>0.14921972423313809</v>
      </c>
      <c r="J182" s="121">
        <v>1.84026843014947E-2</v>
      </c>
      <c r="K182" s="121">
        <v>0.12359490487492092</v>
      </c>
      <c r="L182" s="121">
        <v>0.18403642734013348</v>
      </c>
      <c r="M182" s="124">
        <v>30959.729118353116</v>
      </c>
      <c r="N182" s="125">
        <f t="shared" si="38"/>
        <v>4619.8022413733079</v>
      </c>
      <c r="O182" s="126">
        <f t="shared" si="39"/>
        <v>3826.4647753361728</v>
      </c>
      <c r="P182" s="126">
        <f t="shared" si="40"/>
        <v>5697.7179383600078</v>
      </c>
      <c r="Q182" s="131">
        <v>7.4</v>
      </c>
      <c r="R182" s="127">
        <f t="shared" si="43"/>
        <v>34186.536586162481</v>
      </c>
      <c r="S182" s="127">
        <f t="shared" si="44"/>
        <v>28315.83933748768</v>
      </c>
      <c r="T182" s="127">
        <f t="shared" si="45"/>
        <v>42163.112743864061</v>
      </c>
      <c r="U182" s="119">
        <v>4</v>
      </c>
      <c r="V182" s="119"/>
      <c r="W182" s="119">
        <v>0.66949152542372881</v>
      </c>
      <c r="X182" s="133">
        <f t="shared" si="46"/>
        <v>22887.596528024034</v>
      </c>
      <c r="AC182" s="16"/>
      <c r="AD182" s="16"/>
      <c r="AE182" s="16"/>
      <c r="AF182" s="16"/>
      <c r="AG182" s="16"/>
      <c r="AH182" s="16"/>
    </row>
    <row r="183" spans="1:34" x14ac:dyDescent="0.25">
      <c r="A183" s="119">
        <v>180</v>
      </c>
      <c r="B183" s="130" t="s">
        <v>135</v>
      </c>
      <c r="C183" s="130">
        <v>2012</v>
      </c>
      <c r="D183" s="122" t="s">
        <v>45</v>
      </c>
      <c r="E183" s="130">
        <v>13</v>
      </c>
      <c r="F183" s="128" t="s">
        <v>19</v>
      </c>
      <c r="G183" s="130">
        <v>1000</v>
      </c>
      <c r="H183" s="121">
        <v>8.6587391672276037E-3</v>
      </c>
      <c r="I183" s="121">
        <v>8.187945507878493E-3</v>
      </c>
      <c r="J183" s="121">
        <v>3.4019781099586307E-3</v>
      </c>
      <c r="K183" s="121">
        <v>4.0547157861445075E-3</v>
      </c>
      <c r="L183" s="121">
        <v>1.4711860085534189E-2</v>
      </c>
      <c r="M183" s="124">
        <v>5410.2633795388801</v>
      </c>
      <c r="N183" s="125">
        <f t="shared" si="38"/>
        <v>44.298941734934886</v>
      </c>
      <c r="O183" s="126">
        <f t="shared" si="39"/>
        <v>21.937080332215832</v>
      </c>
      <c r="P183" s="126">
        <f t="shared" si="40"/>
        <v>79.595037865665361</v>
      </c>
      <c r="Q183" s="131">
        <v>8.8000000000000007</v>
      </c>
      <c r="R183" s="127">
        <f t="shared" si="43"/>
        <v>389.83068726742704</v>
      </c>
      <c r="S183" s="127">
        <f t="shared" si="44"/>
        <v>193.04630692349934</v>
      </c>
      <c r="T183" s="127">
        <f t="shared" si="45"/>
        <v>700.43633321785524</v>
      </c>
      <c r="U183" s="119">
        <v>10</v>
      </c>
      <c r="V183" s="119"/>
      <c r="W183" s="119">
        <v>0.22500000000000001</v>
      </c>
      <c r="X183" s="133">
        <f t="shared" si="46"/>
        <v>87.711904635171081</v>
      </c>
      <c r="AC183" s="16"/>
      <c r="AD183" s="16"/>
      <c r="AE183" s="16"/>
      <c r="AF183" s="16"/>
      <c r="AG183" s="16"/>
      <c r="AH183" s="16"/>
    </row>
    <row r="184" spans="1:34" x14ac:dyDescent="0.25">
      <c r="A184">
        <v>181</v>
      </c>
      <c r="B184" s="108" t="s">
        <v>147</v>
      </c>
      <c r="C184" s="108">
        <v>2013</v>
      </c>
      <c r="D184" s="42" t="s">
        <v>45</v>
      </c>
      <c r="E184" s="108">
        <v>1</v>
      </c>
      <c r="F184" s="4" t="s">
        <v>7</v>
      </c>
      <c r="G184" s="108">
        <v>1000</v>
      </c>
      <c r="H184" s="108">
        <v>0.74438225808471659</v>
      </c>
      <c r="I184" s="108">
        <v>0.71318600797699827</v>
      </c>
      <c r="J184" s="108">
        <v>0.18881954241731538</v>
      </c>
      <c r="K184" s="108">
        <v>0.49668355928512531</v>
      </c>
      <c r="L184" s="108">
        <v>1.0873766874663238</v>
      </c>
      <c r="M184" s="25">
        <v>20710.167560200389</v>
      </c>
      <c r="N184" s="112">
        <f t="shared" si="38"/>
        <v>14770.201726794045</v>
      </c>
      <c r="O184" s="20">
        <f t="shared" si="39"/>
        <v>10286.399737191668</v>
      </c>
      <c r="P184" s="20">
        <f t="shared" si="40"/>
        <v>22519.753398483215</v>
      </c>
      <c r="Q184" s="104">
        <v>15.8</v>
      </c>
      <c r="R184" s="46">
        <f t="shared" si="43"/>
        <v>233369.18728334591</v>
      </c>
      <c r="S184" s="46">
        <f t="shared" si="44"/>
        <v>162525.11584762836</v>
      </c>
      <c r="T184" s="46">
        <f t="shared" si="45"/>
        <v>355812.10369603481</v>
      </c>
      <c r="U184" s="16">
        <v>1</v>
      </c>
      <c r="W184">
        <v>0.54</v>
      </c>
      <c r="X184" s="103">
        <f>W184*R184</f>
        <v>126019.36113300679</v>
      </c>
      <c r="AC184" s="16"/>
      <c r="AD184" s="16"/>
      <c r="AE184" s="16"/>
      <c r="AF184" s="16"/>
      <c r="AG184" s="16"/>
      <c r="AH184" s="16"/>
    </row>
    <row r="185" spans="1:34" x14ac:dyDescent="0.25">
      <c r="A185">
        <v>182</v>
      </c>
      <c r="B185" s="108" t="s">
        <v>147</v>
      </c>
      <c r="C185" s="108">
        <v>2013</v>
      </c>
      <c r="D185" s="42" t="s">
        <v>45</v>
      </c>
      <c r="E185" s="108">
        <v>2</v>
      </c>
      <c r="F185" s="43" t="s">
        <v>8</v>
      </c>
      <c r="G185" s="108">
        <v>1000</v>
      </c>
      <c r="H185" s="108">
        <v>1.1646877215854456</v>
      </c>
      <c r="I185" s="108">
        <v>1.1137870947994879</v>
      </c>
      <c r="J185" s="108">
        <v>0.41688843151575666</v>
      </c>
      <c r="K185" s="108">
        <v>0.55585417056269548</v>
      </c>
      <c r="L185" s="108">
        <v>1.9219799340860297</v>
      </c>
      <c r="M185" s="25">
        <v>12937.515211791189</v>
      </c>
      <c r="N185" s="112">
        <f t="shared" si="38"/>
        <v>14409.63748166509</v>
      </c>
      <c r="O185" s="20">
        <f t="shared" si="39"/>
        <v>7191.3717871924473</v>
      </c>
      <c r="P185" s="20">
        <f t="shared" si="40"/>
        <v>24865.644633995438</v>
      </c>
      <c r="Q185" s="104">
        <v>11</v>
      </c>
      <c r="R185" s="46">
        <f t="shared" si="43"/>
        <v>158506.012298316</v>
      </c>
      <c r="S185" s="46">
        <f t="shared" si="44"/>
        <v>79105.089659116915</v>
      </c>
      <c r="T185" s="46">
        <f t="shared" si="45"/>
        <v>273522.09097394982</v>
      </c>
      <c r="U185" s="16">
        <v>2</v>
      </c>
      <c r="W185">
        <v>0.40476190476190477</v>
      </c>
      <c r="X185" s="103">
        <f t="shared" ref="X185:X207" si="47">W185*R185</f>
        <v>64157.195454080284</v>
      </c>
      <c r="AC185" s="16"/>
      <c r="AD185" s="16"/>
      <c r="AE185" s="16"/>
      <c r="AF185" s="16"/>
      <c r="AG185" s="16"/>
      <c r="AH185" s="16"/>
    </row>
    <row r="186" spans="1:34" x14ac:dyDescent="0.25">
      <c r="A186">
        <v>183</v>
      </c>
      <c r="B186" s="108" t="s">
        <v>147</v>
      </c>
      <c r="C186" s="108">
        <v>2013</v>
      </c>
      <c r="D186" s="42" t="s">
        <v>45</v>
      </c>
      <c r="E186" s="108">
        <v>3</v>
      </c>
      <c r="F186" s="43" t="s">
        <v>9</v>
      </c>
      <c r="G186" s="108">
        <v>1000</v>
      </c>
      <c r="H186" s="108">
        <v>0.68879387961199923</v>
      </c>
      <c r="I186" s="108">
        <v>0.66197383510455521</v>
      </c>
      <c r="J186" s="108">
        <v>0.14206902924906459</v>
      </c>
      <c r="K186" s="108">
        <v>0.52126757861147976</v>
      </c>
      <c r="L186" s="108">
        <v>0.95640895117339597</v>
      </c>
      <c r="M186" s="25">
        <v>10953.043037802479</v>
      </c>
      <c r="N186" s="112">
        <f t="shared" si="38"/>
        <v>7250.6279057993552</v>
      </c>
      <c r="O186" s="20">
        <f t="shared" si="39"/>
        <v>5709.4662227426252</v>
      </c>
      <c r="P186" s="20">
        <f t="shared" si="40"/>
        <v>10475.588403941736</v>
      </c>
      <c r="Q186" s="104">
        <v>14.5</v>
      </c>
      <c r="R186" s="46">
        <f t="shared" si="43"/>
        <v>105134.10463409065</v>
      </c>
      <c r="S186" s="46">
        <f t="shared" si="44"/>
        <v>82787.260229768071</v>
      </c>
      <c r="T186" s="46">
        <f t="shared" si="45"/>
        <v>151896.03185715518</v>
      </c>
      <c r="U186" s="16">
        <v>3</v>
      </c>
      <c r="W186">
        <v>0.59333333333333338</v>
      </c>
      <c r="X186" s="103">
        <f t="shared" si="47"/>
        <v>62379.568749560458</v>
      </c>
      <c r="AC186" s="16"/>
      <c r="AD186" s="16"/>
      <c r="AE186" s="16"/>
      <c r="AF186" s="16"/>
      <c r="AG186" s="16"/>
      <c r="AH186" s="16"/>
    </row>
    <row r="187" spans="1:34" x14ac:dyDescent="0.25">
      <c r="A187">
        <v>184</v>
      </c>
      <c r="B187" s="108" t="s">
        <v>147</v>
      </c>
      <c r="C187" s="108">
        <v>2013</v>
      </c>
      <c r="D187" s="42" t="s">
        <v>45</v>
      </c>
      <c r="E187" s="108">
        <v>5</v>
      </c>
      <c r="F187" s="43" t="s">
        <v>11</v>
      </c>
      <c r="G187" s="108">
        <v>1000</v>
      </c>
      <c r="H187" s="108">
        <v>0.40781866896453212</v>
      </c>
      <c r="I187" s="108">
        <v>0.3955107878709061</v>
      </c>
      <c r="J187" s="108">
        <v>6.3345572943373896E-2</v>
      </c>
      <c r="K187" s="108">
        <v>0.32976214972560919</v>
      </c>
      <c r="L187" s="108">
        <v>0.53107250192886157</v>
      </c>
      <c r="M187" s="25">
        <v>13991.101427824766</v>
      </c>
      <c r="N187" s="112">
        <f t="shared" si="38"/>
        <v>5533.631548900732</v>
      </c>
      <c r="O187" s="20">
        <f t="shared" si="39"/>
        <v>4613.7356838685346</v>
      </c>
      <c r="P187" s="20">
        <f t="shared" si="40"/>
        <v>7430.289240015366</v>
      </c>
      <c r="Q187" s="104">
        <v>18.100000000000001</v>
      </c>
      <c r="R187" s="46">
        <f t="shared" si="43"/>
        <v>100158.73103510325</v>
      </c>
      <c r="S187" s="46">
        <f t="shared" si="44"/>
        <v>83508.615878020486</v>
      </c>
      <c r="T187" s="46">
        <f t="shared" si="45"/>
        <v>134488.23524427813</v>
      </c>
      <c r="U187" s="16">
        <v>4</v>
      </c>
      <c r="W187">
        <v>0.82028985507246377</v>
      </c>
      <c r="X187" s="103">
        <f t="shared" si="47"/>
        <v>82159.190965026719</v>
      </c>
      <c r="AC187" s="16"/>
      <c r="AD187" s="16"/>
      <c r="AE187" s="16"/>
      <c r="AF187" s="16"/>
      <c r="AG187" s="16"/>
      <c r="AH187" s="16"/>
    </row>
    <row r="188" spans="1:34" x14ac:dyDescent="0.25">
      <c r="A188">
        <v>185</v>
      </c>
      <c r="B188" s="108" t="s">
        <v>147</v>
      </c>
      <c r="C188" s="108">
        <v>2013</v>
      </c>
      <c r="D188" s="42" t="s">
        <v>45</v>
      </c>
      <c r="E188" s="108">
        <v>6</v>
      </c>
      <c r="F188" s="43" t="s">
        <v>12</v>
      </c>
      <c r="G188" s="108">
        <v>1000</v>
      </c>
      <c r="H188" s="108">
        <v>0.13174350976674512</v>
      </c>
      <c r="I188" s="108">
        <v>0.12959648640359156</v>
      </c>
      <c r="J188" s="108">
        <v>1.790372223662156E-2</v>
      </c>
      <c r="K188" s="108">
        <v>0.10542304274490752</v>
      </c>
      <c r="L188" s="108">
        <v>0.16306938570440854</v>
      </c>
      <c r="M188" s="25">
        <v>6966.102651973556</v>
      </c>
      <c r="N188" s="112">
        <f t="shared" si="38"/>
        <v>902.78242762251409</v>
      </c>
      <c r="O188" s="20">
        <f t="shared" si="39"/>
        <v>734.3877376444218</v>
      </c>
      <c r="P188" s="20">
        <f t="shared" si="40"/>
        <v>1135.9580802111791</v>
      </c>
      <c r="Q188" s="104">
        <v>16</v>
      </c>
      <c r="R188" s="46">
        <f t="shared" si="43"/>
        <v>14444.518841960225</v>
      </c>
      <c r="S188" s="46">
        <f t="shared" si="44"/>
        <v>11750.203802310749</v>
      </c>
      <c r="T188" s="46">
        <f t="shared" si="45"/>
        <v>18175.329283378866</v>
      </c>
      <c r="U188" s="16">
        <v>10</v>
      </c>
      <c r="W188">
        <v>0.87619047619047619</v>
      </c>
      <c r="X188" s="103">
        <f t="shared" si="47"/>
        <v>12656.149842479435</v>
      </c>
      <c r="AC188" s="16"/>
      <c r="AD188" s="16"/>
      <c r="AE188" s="16"/>
      <c r="AF188" s="16"/>
      <c r="AG188" s="16"/>
      <c r="AH188" s="16"/>
    </row>
    <row r="189" spans="1:34" x14ac:dyDescent="0.25">
      <c r="A189">
        <v>186</v>
      </c>
      <c r="B189" s="108" t="s">
        <v>147</v>
      </c>
      <c r="C189" s="108">
        <v>2013</v>
      </c>
      <c r="D189" s="42" t="s">
        <v>45</v>
      </c>
      <c r="E189" s="108">
        <v>7</v>
      </c>
      <c r="F189" s="43" t="s">
        <v>13</v>
      </c>
      <c r="G189" s="108">
        <v>1000</v>
      </c>
      <c r="H189" s="108">
        <v>0.14256605631521102</v>
      </c>
      <c r="I189" s="108">
        <v>0.13899250752361222</v>
      </c>
      <c r="J189" s="108">
        <v>2.0968987108763621E-2</v>
      </c>
      <c r="K189" s="108">
        <v>0.116057613784706</v>
      </c>
      <c r="L189" s="108">
        <v>0.18459393405663457</v>
      </c>
      <c r="M189" s="25">
        <v>2532.5333267390947</v>
      </c>
      <c r="N189" s="112">
        <f t="shared" si="38"/>
        <v>352.00315747058232</v>
      </c>
      <c r="O189" s="20">
        <f t="shared" si="39"/>
        <v>293.91977473158249</v>
      </c>
      <c r="P189" s="20">
        <f t="shared" si="40"/>
        <v>467.49028991230585</v>
      </c>
      <c r="Q189" s="104">
        <v>9.3000000000000007</v>
      </c>
      <c r="R189" s="46">
        <f t="shared" si="43"/>
        <v>3273.629364476416</v>
      </c>
      <c r="S189" s="46">
        <f t="shared" si="44"/>
        <v>2733.4539050037174</v>
      </c>
      <c r="T189" s="46">
        <f t="shared" si="45"/>
        <v>4347.6596961844443</v>
      </c>
      <c r="U189" s="16">
        <v>12</v>
      </c>
      <c r="W189">
        <v>0.14000000000000001</v>
      </c>
      <c r="X189" s="103">
        <f t="shared" si="47"/>
        <v>458.30811102669827</v>
      </c>
      <c r="AC189" s="16"/>
      <c r="AD189" s="16"/>
      <c r="AE189" s="16"/>
      <c r="AF189" s="16"/>
      <c r="AG189" s="16"/>
      <c r="AH189" s="16"/>
    </row>
    <row r="190" spans="1:34" x14ac:dyDescent="0.25">
      <c r="A190">
        <v>187</v>
      </c>
      <c r="B190" s="108" t="s">
        <v>147</v>
      </c>
      <c r="C190" s="108">
        <v>2013</v>
      </c>
      <c r="D190" s="42" t="s">
        <v>45</v>
      </c>
      <c r="E190" s="108">
        <v>8</v>
      </c>
      <c r="F190" s="43" t="s">
        <v>14</v>
      </c>
      <c r="G190" s="108">
        <v>1000</v>
      </c>
      <c r="H190" s="108">
        <v>0.12727179403655187</v>
      </c>
      <c r="I190" s="108">
        <v>0.11789601161112732</v>
      </c>
      <c r="J190" s="108">
        <v>3.1247653509828641E-2</v>
      </c>
      <c r="K190" s="108">
        <v>9.8553190936620225E-2</v>
      </c>
      <c r="L190" s="108">
        <v>0.20586110877476341</v>
      </c>
      <c r="M190" s="25">
        <v>13775.148973606703</v>
      </c>
      <c r="N190" s="112">
        <f t="shared" si="38"/>
        <v>1624.0351233373444</v>
      </c>
      <c r="O190" s="20">
        <f t="shared" si="39"/>
        <v>1357.5848869762494</v>
      </c>
      <c r="P190" s="20">
        <f t="shared" si="40"/>
        <v>2835.7674412442202</v>
      </c>
      <c r="Q190" s="104">
        <v>13.4</v>
      </c>
      <c r="R190" s="46">
        <f t="shared" si="43"/>
        <v>21762.070652720417</v>
      </c>
      <c r="S190" s="46">
        <f t="shared" si="44"/>
        <v>18191.637485481744</v>
      </c>
      <c r="T190" s="46">
        <f t="shared" si="45"/>
        <v>37999.28371267255</v>
      </c>
      <c r="U190" s="16">
        <v>7</v>
      </c>
      <c r="W190">
        <v>0.6216216216216216</v>
      </c>
      <c r="X190" s="103">
        <f t="shared" si="47"/>
        <v>13527.773648988366</v>
      </c>
      <c r="AC190" s="16"/>
      <c r="AD190" s="16"/>
      <c r="AE190" s="16"/>
      <c r="AF190" s="16"/>
      <c r="AG190" s="16"/>
      <c r="AH190" s="16"/>
    </row>
    <row r="191" spans="1:34" x14ac:dyDescent="0.25">
      <c r="A191">
        <v>188</v>
      </c>
      <c r="B191" s="108" t="s">
        <v>147</v>
      </c>
      <c r="C191" s="108">
        <v>2013</v>
      </c>
      <c r="D191" s="42" t="s">
        <v>45</v>
      </c>
      <c r="E191" s="108">
        <v>9</v>
      </c>
      <c r="F191" s="43" t="s">
        <v>15</v>
      </c>
      <c r="G191" s="108">
        <v>1000</v>
      </c>
      <c r="H191" s="108">
        <v>0.14097874457308004</v>
      </c>
      <c r="I191" s="108">
        <v>0.13881534603990561</v>
      </c>
      <c r="J191" s="108">
        <v>2.2104254787546435E-2</v>
      </c>
      <c r="K191" s="108">
        <v>0.10914659456064907</v>
      </c>
      <c r="L191" s="108">
        <v>0.18183374021585483</v>
      </c>
      <c r="M191" s="25">
        <v>5560.7756961151099</v>
      </c>
      <c r="N191" s="112">
        <f t="shared" si="38"/>
        <v>771.92100250651595</v>
      </c>
      <c r="O191" s="20">
        <f t="shared" si="39"/>
        <v>606.939730346587</v>
      </c>
      <c r="P191" s="20">
        <f t="shared" si="40"/>
        <v>1011.1366433260342</v>
      </c>
      <c r="Q191" s="104">
        <v>18.399999999999999</v>
      </c>
      <c r="R191" s="46">
        <f t="shared" si="43"/>
        <v>14203.346446119893</v>
      </c>
      <c r="S191" s="46">
        <f t="shared" si="44"/>
        <v>11167.691038377199</v>
      </c>
      <c r="T191" s="46">
        <f t="shared" si="45"/>
        <v>18604.914237199027</v>
      </c>
      <c r="U191" s="16">
        <v>11</v>
      </c>
      <c r="W191">
        <v>0.94493392070484583</v>
      </c>
      <c r="X191" s="103">
        <f t="shared" si="47"/>
        <v>13421.223844461309</v>
      </c>
      <c r="AC191" s="16"/>
      <c r="AD191" s="16"/>
      <c r="AE191" s="16"/>
      <c r="AF191" s="16"/>
      <c r="AG191" s="16"/>
      <c r="AH191" s="16"/>
    </row>
    <row r="192" spans="1:34" x14ac:dyDescent="0.25">
      <c r="A192">
        <v>189</v>
      </c>
      <c r="B192" s="108" t="s">
        <v>147</v>
      </c>
      <c r="C192" s="108">
        <v>2013</v>
      </c>
      <c r="D192" s="42" t="s">
        <v>45</v>
      </c>
      <c r="E192" s="108">
        <v>10</v>
      </c>
      <c r="F192" s="43" t="s">
        <v>16</v>
      </c>
      <c r="G192" s="108">
        <v>1000</v>
      </c>
      <c r="H192" s="108">
        <v>0.35549061561555084</v>
      </c>
      <c r="I192" s="108">
        <v>0.34624442849739767</v>
      </c>
      <c r="J192" s="108">
        <v>7.0895258137904399E-2</v>
      </c>
      <c r="K192" s="108">
        <v>0.24999729235482349</v>
      </c>
      <c r="L192" s="108">
        <v>0.48329606127933822</v>
      </c>
      <c r="M192" s="25">
        <v>10828.706776282988</v>
      </c>
      <c r="N192" s="112">
        <f t="shared" si="38"/>
        <v>3749.3793891200007</v>
      </c>
      <c r="O192" s="20">
        <f t="shared" si="39"/>
        <v>2707.1473737750762</v>
      </c>
      <c r="P192" s="20">
        <f t="shared" si="40"/>
        <v>5233.4713337264484</v>
      </c>
      <c r="Q192" s="104">
        <v>12.5</v>
      </c>
      <c r="R192" s="46">
        <f t="shared" si="43"/>
        <v>46867.242364000012</v>
      </c>
      <c r="S192" s="46">
        <f t="shared" si="44"/>
        <v>33839.342172188452</v>
      </c>
      <c r="T192" s="46">
        <f t="shared" si="45"/>
        <v>65418.391671580604</v>
      </c>
      <c r="U192" s="16">
        <v>5</v>
      </c>
      <c r="W192">
        <v>0.40749999999999997</v>
      </c>
      <c r="X192" s="103">
        <f t="shared" si="47"/>
        <v>19098.401263330004</v>
      </c>
      <c r="AC192" s="16"/>
      <c r="AD192" s="16"/>
      <c r="AE192" s="16"/>
      <c r="AF192" s="16"/>
      <c r="AG192" s="16"/>
      <c r="AH192" s="16"/>
    </row>
    <row r="193" spans="1:34" x14ac:dyDescent="0.25">
      <c r="A193">
        <v>190</v>
      </c>
      <c r="B193" s="108" t="s">
        <v>147</v>
      </c>
      <c r="C193" s="108">
        <v>2013</v>
      </c>
      <c r="D193" s="42" t="s">
        <v>45</v>
      </c>
      <c r="E193" s="108">
        <v>11</v>
      </c>
      <c r="F193" s="43" t="s">
        <v>17</v>
      </c>
      <c r="G193" s="108">
        <v>1000</v>
      </c>
      <c r="H193" s="108">
        <v>0.24320544033145894</v>
      </c>
      <c r="I193" s="108">
        <v>0.17132010065743608</v>
      </c>
      <c r="J193" s="108">
        <v>0.23116863490793799</v>
      </c>
      <c r="K193" s="108">
        <v>3.1176943891566854E-2</v>
      </c>
      <c r="L193" s="108">
        <v>0.74932974054513601</v>
      </c>
      <c r="M193" s="25">
        <v>11753.048720473937</v>
      </c>
      <c r="N193" s="112">
        <f t="shared" si="38"/>
        <v>2013.5334898233452</v>
      </c>
      <c r="O193" s="20">
        <f t="shared" si="39"/>
        <v>366.42414051306753</v>
      </c>
      <c r="P193" s="20">
        <f t="shared" si="40"/>
        <v>8806.9089483270782</v>
      </c>
      <c r="Q193" s="104">
        <v>10.4</v>
      </c>
      <c r="R193" s="46">
        <f t="shared" si="43"/>
        <v>20940.74829416279</v>
      </c>
      <c r="S193" s="46">
        <f t="shared" si="44"/>
        <v>3810.8110613359022</v>
      </c>
      <c r="T193" s="46">
        <f t="shared" si="45"/>
        <v>91591.853062601615</v>
      </c>
      <c r="U193" s="16">
        <v>8</v>
      </c>
      <c r="W193">
        <v>0.51666666666666672</v>
      </c>
      <c r="X193" s="103">
        <f t="shared" si="47"/>
        <v>10819.386618650775</v>
      </c>
      <c r="AC193" s="16"/>
      <c r="AD193" s="16"/>
      <c r="AE193" s="16"/>
      <c r="AF193" s="16"/>
      <c r="AG193" s="16"/>
      <c r="AH193" s="16"/>
    </row>
    <row r="194" spans="1:34" x14ac:dyDescent="0.25">
      <c r="A194">
        <v>191</v>
      </c>
      <c r="B194" s="108" t="s">
        <v>147</v>
      </c>
      <c r="C194" s="108">
        <v>2013</v>
      </c>
      <c r="D194" s="42" t="s">
        <v>45</v>
      </c>
      <c r="E194" s="108">
        <v>12</v>
      </c>
      <c r="F194" s="43" t="s">
        <v>18</v>
      </c>
      <c r="G194" s="108">
        <v>1000</v>
      </c>
      <c r="H194" s="108">
        <v>3.9295705904376102E-2</v>
      </c>
      <c r="I194" s="108">
        <v>3.0633885366140874E-2</v>
      </c>
      <c r="J194" s="108">
        <v>2.8084883899102565E-2</v>
      </c>
      <c r="K194" s="108">
        <v>1.8177894362462171E-2</v>
      </c>
      <c r="L194" s="108">
        <v>0.11241084742502339</v>
      </c>
      <c r="M194" s="25">
        <v>30959.729118353116</v>
      </c>
      <c r="N194" s="112">
        <f t="shared" si="38"/>
        <v>948.41679277840308</v>
      </c>
      <c r="O194" s="20">
        <f t="shared" si="39"/>
        <v>562.78268540386705</v>
      </c>
      <c r="P194" s="20">
        <f t="shared" si="40"/>
        <v>3480.2093862432457</v>
      </c>
      <c r="Q194" s="104">
        <v>20.2</v>
      </c>
      <c r="R194" s="46">
        <f t="shared" si="43"/>
        <v>19158.019214123742</v>
      </c>
      <c r="S194" s="46">
        <f t="shared" si="44"/>
        <v>11368.210245158114</v>
      </c>
      <c r="T194" s="46">
        <f t="shared" si="45"/>
        <v>70300.229602113555</v>
      </c>
      <c r="U194" s="16">
        <v>9</v>
      </c>
      <c r="W194">
        <v>0.98717948717948723</v>
      </c>
      <c r="X194" s="103">
        <f t="shared" si="47"/>
        <v>18912.40358317344</v>
      </c>
      <c r="AC194" s="16"/>
      <c r="AD194" s="16"/>
      <c r="AE194" s="16"/>
      <c r="AF194" s="16"/>
      <c r="AG194" s="16"/>
      <c r="AH194" s="16"/>
    </row>
    <row r="195" spans="1:34" x14ac:dyDescent="0.25">
      <c r="A195">
        <v>192</v>
      </c>
      <c r="B195" s="108" t="s">
        <v>147</v>
      </c>
      <c r="C195" s="108">
        <v>2013</v>
      </c>
      <c r="D195" s="42" t="s">
        <v>45</v>
      </c>
      <c r="E195" s="108">
        <v>13</v>
      </c>
      <c r="F195" s="43" t="s">
        <v>19</v>
      </c>
      <c r="G195" s="108">
        <v>1000</v>
      </c>
      <c r="H195" s="108">
        <v>0.25220789038115082</v>
      </c>
      <c r="I195" s="108">
        <v>0.24091649043297519</v>
      </c>
      <c r="J195" s="108">
        <v>5.3555942922243846E-2</v>
      </c>
      <c r="K195" s="108">
        <v>0.1841507573525267</v>
      </c>
      <c r="L195" s="108">
        <v>0.35517284929904797</v>
      </c>
      <c r="M195" s="25">
        <v>5410.2633795388801</v>
      </c>
      <c r="N195" s="112">
        <f t="shared" si="38"/>
        <v>1303.4216657165546</v>
      </c>
      <c r="O195" s="20">
        <f t="shared" si="39"/>
        <v>996.30409881872538</v>
      </c>
      <c r="P195" s="20">
        <f t="shared" si="40"/>
        <v>1921.5786599691207</v>
      </c>
      <c r="Q195" s="104">
        <v>19.2</v>
      </c>
      <c r="R195" s="46">
        <f t="shared" si="43"/>
        <v>25025.695981757846</v>
      </c>
      <c r="S195" s="46">
        <f t="shared" si="44"/>
        <v>19129.038697319527</v>
      </c>
      <c r="T195" s="46">
        <f t="shared" si="45"/>
        <v>36894.310271407114</v>
      </c>
      <c r="U195" s="16">
        <v>6</v>
      </c>
      <c r="W195">
        <v>0.8970588235294118</v>
      </c>
      <c r="X195" s="103">
        <f t="shared" si="47"/>
        <v>22449.521395400421</v>
      </c>
      <c r="AC195" s="16"/>
      <c r="AD195" s="16"/>
      <c r="AE195" s="16"/>
      <c r="AF195" s="16"/>
      <c r="AG195" s="16"/>
      <c r="AH195" s="16"/>
    </row>
    <row r="196" spans="1:34" x14ac:dyDescent="0.25">
      <c r="A196">
        <v>193</v>
      </c>
      <c r="B196" s="120" t="s">
        <v>148</v>
      </c>
      <c r="C196" s="121">
        <v>2014</v>
      </c>
      <c r="D196" s="122" t="s">
        <v>45</v>
      </c>
      <c r="E196" s="121">
        <v>1</v>
      </c>
      <c r="F196" s="123" t="s">
        <v>7</v>
      </c>
      <c r="G196" s="121">
        <v>1000</v>
      </c>
      <c r="H196" s="119">
        <v>1.8267757859750564</v>
      </c>
      <c r="I196" s="119">
        <v>1.7661714726365392</v>
      </c>
      <c r="J196" s="119">
        <v>0.30404555251285359</v>
      </c>
      <c r="K196" s="119">
        <v>1.4305647609878773</v>
      </c>
      <c r="L196" s="119">
        <v>2.4477900827042935</v>
      </c>
      <c r="M196" s="124">
        <v>20710.167560200389</v>
      </c>
      <c r="N196" s="125">
        <f t="shared" si="38"/>
        <v>36577.707138348604</v>
      </c>
      <c r="O196" s="126">
        <f t="shared" si="39"/>
        <v>29627.235905776961</v>
      </c>
      <c r="P196" s="126">
        <f t="shared" si="40"/>
        <v>50694.142765002689</v>
      </c>
      <c r="Q196" s="119">
        <v>7.5</v>
      </c>
      <c r="R196" s="127">
        <f t="shared" ref="R196:R204" si="48">Q196*N196</f>
        <v>274332.80353761453</v>
      </c>
      <c r="S196" s="127">
        <f t="shared" ref="S196:S205" si="49">O196*$Q196</f>
        <v>222204.2692933272</v>
      </c>
      <c r="T196" s="127">
        <f t="shared" ref="T196:T205" si="50">P196*$Q196</f>
        <v>380206.07073752017</v>
      </c>
      <c r="U196" s="119">
        <v>1</v>
      </c>
      <c r="V196" s="119" t="s">
        <v>7</v>
      </c>
      <c r="W196" s="119">
        <v>0.34</v>
      </c>
      <c r="X196" s="103">
        <f t="shared" si="47"/>
        <v>93273.153202788948</v>
      </c>
      <c r="AC196" s="16"/>
      <c r="AD196" s="16"/>
      <c r="AE196" s="16"/>
      <c r="AF196" s="16"/>
      <c r="AG196" s="16"/>
      <c r="AH196" s="16"/>
    </row>
    <row r="197" spans="1:34" x14ac:dyDescent="0.25">
      <c r="A197">
        <v>194</v>
      </c>
      <c r="B197" s="120" t="s">
        <v>148</v>
      </c>
      <c r="C197" s="121">
        <v>2014</v>
      </c>
      <c r="D197" s="122" t="s">
        <v>45</v>
      </c>
      <c r="E197" s="121">
        <v>2</v>
      </c>
      <c r="F197" s="128" t="s">
        <v>8</v>
      </c>
      <c r="G197" s="121">
        <v>1000</v>
      </c>
      <c r="H197">
        <v>1.5632358413938527</v>
      </c>
      <c r="I197">
        <v>1.5398496500630308</v>
      </c>
      <c r="J197">
        <v>0.20879858068206875</v>
      </c>
      <c r="K197">
        <v>1.2494808938896984</v>
      </c>
      <c r="L197">
        <v>1.950061733550839</v>
      </c>
      <c r="M197" s="124">
        <v>12937.515211791189</v>
      </c>
      <c r="N197" s="125">
        <f t="shared" si="38"/>
        <v>19921.828271561801</v>
      </c>
      <c r="O197" s="126">
        <f t="shared" si="39"/>
        <v>16165.178071540426</v>
      </c>
      <c r="P197" s="126">
        <f t="shared" si="40"/>
        <v>25228.953341745877</v>
      </c>
      <c r="Q197" s="119">
        <v>4.9000000000000004</v>
      </c>
      <c r="R197" s="127">
        <f t="shared" si="48"/>
        <v>97616.958530652832</v>
      </c>
      <c r="S197" s="127">
        <f t="shared" si="49"/>
        <v>79209.372550548098</v>
      </c>
      <c r="T197" s="127">
        <f t="shared" si="50"/>
        <v>123621.8713745548</v>
      </c>
      <c r="U197" s="119">
        <v>4</v>
      </c>
      <c r="V197" s="119" t="s">
        <v>8</v>
      </c>
      <c r="W197" s="119">
        <v>5.4716981132075473E-2</v>
      </c>
      <c r="X197" s="103">
        <f t="shared" si="47"/>
        <v>5341.3052780923254</v>
      </c>
      <c r="AC197" s="16"/>
      <c r="AD197" s="16"/>
      <c r="AE197" s="16"/>
      <c r="AF197" s="16"/>
      <c r="AG197" s="16"/>
      <c r="AH197" s="16"/>
    </row>
    <row r="198" spans="1:34" x14ac:dyDescent="0.25">
      <c r="A198">
        <v>195</v>
      </c>
      <c r="B198" s="120" t="s">
        <v>148</v>
      </c>
      <c r="C198" s="121">
        <v>2014</v>
      </c>
      <c r="D198" s="122" t="s">
        <v>45</v>
      </c>
      <c r="E198" s="121">
        <v>3</v>
      </c>
      <c r="F198" s="128" t="s">
        <v>9</v>
      </c>
      <c r="G198" s="121">
        <v>1000</v>
      </c>
      <c r="H198">
        <v>2.9540531348286798</v>
      </c>
      <c r="I198">
        <v>2.9442674070996997</v>
      </c>
      <c r="J198">
        <v>0.22012310160889986</v>
      </c>
      <c r="K198">
        <v>2.6108695878307504</v>
      </c>
      <c r="L198">
        <v>3.3364479075638451</v>
      </c>
      <c r="M198" s="124">
        <v>10953.043037802479</v>
      </c>
      <c r="N198" s="125">
        <f t="shared" si="38"/>
        <v>32248.687624762126</v>
      </c>
      <c r="O198" s="126">
        <f t="shared" si="39"/>
        <v>28596.966961599828</v>
      </c>
      <c r="P198" s="126">
        <f t="shared" si="40"/>
        <v>36544.257524932822</v>
      </c>
      <c r="Q198" s="119">
        <v>7.2</v>
      </c>
      <c r="R198" s="127">
        <f t="shared" si="48"/>
        <v>232190.5508982873</v>
      </c>
      <c r="S198" s="127">
        <f t="shared" si="49"/>
        <v>205898.16212351876</v>
      </c>
      <c r="T198" s="127">
        <f t="shared" si="50"/>
        <v>263118.65417951631</v>
      </c>
      <c r="U198" s="119">
        <v>3</v>
      </c>
      <c r="V198" s="119" t="s">
        <v>9</v>
      </c>
      <c r="W198" s="119">
        <v>0.21</v>
      </c>
      <c r="X198" s="103">
        <f t="shared" si="47"/>
        <v>48760.015688640335</v>
      </c>
      <c r="AC198" s="16"/>
      <c r="AD198" s="16"/>
      <c r="AE198" s="16"/>
      <c r="AF198" s="16"/>
      <c r="AG198" s="16"/>
      <c r="AH198" s="16"/>
    </row>
    <row r="199" spans="1:34" x14ac:dyDescent="0.25">
      <c r="A199">
        <v>196</v>
      </c>
      <c r="B199" s="120" t="s">
        <v>148</v>
      </c>
      <c r="C199" s="121">
        <v>2014</v>
      </c>
      <c r="D199" s="122" t="s">
        <v>45</v>
      </c>
      <c r="E199" s="121">
        <v>5</v>
      </c>
      <c r="F199" s="128" t="s">
        <v>11</v>
      </c>
      <c r="G199" s="121">
        <v>1000</v>
      </c>
      <c r="H199">
        <v>1.8449629460698365</v>
      </c>
      <c r="I199">
        <v>1.8429699250551828</v>
      </c>
      <c r="J199">
        <v>9.3881734768359343E-2</v>
      </c>
      <c r="K199">
        <v>1.6896650306995022</v>
      </c>
      <c r="L199">
        <v>2.004205610616494</v>
      </c>
      <c r="M199" s="124">
        <v>13991.101427824766</v>
      </c>
      <c r="N199" s="125">
        <f t="shared" si="38"/>
        <v>25785.179149877669</v>
      </c>
      <c r="O199" s="126">
        <f t="shared" si="39"/>
        <v>23640.274823565382</v>
      </c>
      <c r="P199" s="126">
        <f t="shared" si="40"/>
        <v>28041.043980350838</v>
      </c>
      <c r="Q199" s="119">
        <v>10.5</v>
      </c>
      <c r="R199" s="127">
        <f t="shared" si="48"/>
        <v>270744.38107371551</v>
      </c>
      <c r="S199" s="127">
        <f t="shared" si="49"/>
        <v>248222.88564743652</v>
      </c>
      <c r="T199" s="127">
        <f t="shared" si="50"/>
        <v>294430.96179368382</v>
      </c>
      <c r="U199" s="119">
        <v>2</v>
      </c>
      <c r="V199" s="119" t="s">
        <v>11</v>
      </c>
      <c r="W199" s="119">
        <v>0.29499999999999998</v>
      </c>
      <c r="X199" s="103">
        <f t="shared" si="47"/>
        <v>79869.592416746076</v>
      </c>
      <c r="AC199" s="16"/>
      <c r="AD199" s="16"/>
      <c r="AE199" s="16"/>
      <c r="AF199" s="16"/>
      <c r="AG199" s="16"/>
      <c r="AH199" s="16"/>
    </row>
    <row r="200" spans="1:34" x14ac:dyDescent="0.25">
      <c r="A200">
        <v>197</v>
      </c>
      <c r="B200" s="120" t="s">
        <v>148</v>
      </c>
      <c r="C200" s="121">
        <v>2014</v>
      </c>
      <c r="D200" s="122" t="s">
        <v>45</v>
      </c>
      <c r="E200" s="121">
        <v>6</v>
      </c>
      <c r="F200" s="128" t="s">
        <v>12</v>
      </c>
      <c r="G200" s="121">
        <v>1000</v>
      </c>
      <c r="H200">
        <v>0.35859344793515879</v>
      </c>
      <c r="I200">
        <v>0.34637451520857543</v>
      </c>
      <c r="J200">
        <v>6.9288966832660268E-2</v>
      </c>
      <c r="K200">
        <v>0.26961251811247527</v>
      </c>
      <c r="L200">
        <v>0.48790596170328382</v>
      </c>
      <c r="M200" s="124">
        <v>6966.102651973556</v>
      </c>
      <c r="N200" s="125">
        <f t="shared" si="38"/>
        <v>2412.8804289705122</v>
      </c>
      <c r="O200" s="126">
        <f t="shared" si="39"/>
        <v>1878.1484774285825</v>
      </c>
      <c r="P200" s="126">
        <f t="shared" si="40"/>
        <v>3398.8030137349538</v>
      </c>
      <c r="Q200" s="119">
        <v>18.3</v>
      </c>
      <c r="R200" s="127">
        <f t="shared" si="48"/>
        <v>44155.711850160376</v>
      </c>
      <c r="S200" s="127">
        <f t="shared" si="49"/>
        <v>34370.117136943059</v>
      </c>
      <c r="T200" s="127">
        <f t="shared" si="50"/>
        <v>62198.095151349655</v>
      </c>
      <c r="U200" s="119">
        <v>5</v>
      </c>
      <c r="V200" s="119" t="s">
        <v>12</v>
      </c>
      <c r="W200" s="119">
        <v>0.14155251141552511</v>
      </c>
      <c r="X200" s="103">
        <f t="shared" si="47"/>
        <v>6250.3519057304638</v>
      </c>
      <c r="AC200" s="16"/>
      <c r="AD200" s="16"/>
      <c r="AE200" s="16"/>
      <c r="AF200" s="16"/>
      <c r="AG200" s="16"/>
      <c r="AH200" s="16"/>
    </row>
    <row r="201" spans="1:34" x14ac:dyDescent="0.25">
      <c r="A201">
        <v>198</v>
      </c>
      <c r="B201" s="120" t="s">
        <v>148</v>
      </c>
      <c r="C201" s="121">
        <v>2014</v>
      </c>
      <c r="D201" s="122" t="s">
        <v>45</v>
      </c>
      <c r="E201" s="121">
        <v>7</v>
      </c>
      <c r="F201" s="128" t="s">
        <v>13</v>
      </c>
      <c r="G201" s="121">
        <v>1000</v>
      </c>
      <c r="H201">
        <v>0.12786761380374317</v>
      </c>
      <c r="I201">
        <v>0.12468815919238348</v>
      </c>
      <c r="J201">
        <v>1.6408939588604017E-2</v>
      </c>
      <c r="K201">
        <v>0.10751152297174588</v>
      </c>
      <c r="L201">
        <v>0.16052620117227878</v>
      </c>
      <c r="M201" s="124">
        <v>2532.5333267390947</v>
      </c>
      <c r="N201" s="125">
        <f t="shared" si="38"/>
        <v>315.77691860446077</v>
      </c>
      <c r="O201" s="126">
        <f t="shared" si="39"/>
        <v>272.27651493442221</v>
      </c>
      <c r="P201" s="126">
        <f t="shared" si="40"/>
        <v>406.53795428362037</v>
      </c>
      <c r="Q201" s="119">
        <v>5.0999999999999996</v>
      </c>
      <c r="R201" s="127">
        <f t="shared" si="48"/>
        <v>1610.4622848827498</v>
      </c>
      <c r="S201" s="127">
        <f t="shared" si="49"/>
        <v>1388.6102261655531</v>
      </c>
      <c r="T201" s="127">
        <f t="shared" si="50"/>
        <v>2073.3435668464635</v>
      </c>
      <c r="U201" s="119">
        <v>8</v>
      </c>
      <c r="V201" s="119"/>
      <c r="W201" s="119">
        <v>0</v>
      </c>
      <c r="X201" s="103">
        <f t="shared" si="47"/>
        <v>0</v>
      </c>
      <c r="AC201" s="16"/>
      <c r="AD201" s="16"/>
      <c r="AE201" s="16"/>
      <c r="AF201" s="16"/>
      <c r="AG201" s="16"/>
      <c r="AH201" s="16"/>
    </row>
    <row r="202" spans="1:34" x14ac:dyDescent="0.25">
      <c r="A202">
        <v>199</v>
      </c>
      <c r="B202" s="120" t="s">
        <v>148</v>
      </c>
      <c r="C202" s="121">
        <v>2014</v>
      </c>
      <c r="D202" s="122" t="s">
        <v>45</v>
      </c>
      <c r="E202" s="121">
        <v>8</v>
      </c>
      <c r="F202" s="128" t="s">
        <v>14</v>
      </c>
      <c r="G202" s="121">
        <v>1000</v>
      </c>
      <c r="H202">
        <v>0</v>
      </c>
      <c r="I202">
        <v>0</v>
      </c>
      <c r="J202">
        <v>0</v>
      </c>
      <c r="K202">
        <v>0</v>
      </c>
      <c r="L202">
        <v>0</v>
      </c>
      <c r="M202" s="124">
        <v>13775.148973606703</v>
      </c>
      <c r="N202" s="125">
        <f t="shared" si="38"/>
        <v>0</v>
      </c>
      <c r="O202" s="126">
        <f t="shared" si="39"/>
        <v>0</v>
      </c>
      <c r="P202" s="126">
        <f t="shared" si="40"/>
        <v>0</v>
      </c>
      <c r="Q202" s="119">
        <v>5.0999999999999996</v>
      </c>
      <c r="R202" s="127">
        <f t="shared" si="48"/>
        <v>0</v>
      </c>
      <c r="S202" s="127">
        <f t="shared" si="49"/>
        <v>0</v>
      </c>
      <c r="T202" s="127">
        <f t="shared" si="50"/>
        <v>0</v>
      </c>
      <c r="U202" s="119"/>
      <c r="V202" s="119" t="s">
        <v>14</v>
      </c>
      <c r="W202" s="119">
        <v>0.14249999999999999</v>
      </c>
      <c r="X202" s="103">
        <f t="shared" si="47"/>
        <v>0</v>
      </c>
      <c r="AC202" s="16"/>
      <c r="AD202" s="16"/>
      <c r="AE202" s="16"/>
      <c r="AF202" s="16"/>
      <c r="AG202" s="16"/>
      <c r="AH202" s="16"/>
    </row>
    <row r="203" spans="1:34" x14ac:dyDescent="0.25">
      <c r="A203">
        <v>200</v>
      </c>
      <c r="B203" s="120" t="s">
        <v>148</v>
      </c>
      <c r="C203" s="121">
        <v>2014</v>
      </c>
      <c r="D203" s="122" t="s">
        <v>45</v>
      </c>
      <c r="E203" s="121">
        <v>9</v>
      </c>
      <c r="F203" s="128" t="s">
        <v>15</v>
      </c>
      <c r="G203" s="121">
        <v>1000</v>
      </c>
      <c r="H203">
        <v>0.63709019465368832</v>
      </c>
      <c r="I203">
        <v>0.63401552114087723</v>
      </c>
      <c r="J203">
        <v>7.3350437840586494E-2</v>
      </c>
      <c r="K203">
        <v>0.52664750318401421</v>
      </c>
      <c r="L203">
        <v>0.76040220353173837</v>
      </c>
      <c r="M203" s="124">
        <v>5560.7756961151099</v>
      </c>
      <c r="N203" s="125">
        <f t="shared" si="38"/>
        <v>3525.6181009199458</v>
      </c>
      <c r="O203" s="126">
        <f t="shared" si="39"/>
        <v>2928.5686361253711</v>
      </c>
      <c r="P203" s="126">
        <f t="shared" si="40"/>
        <v>4228.4260926716661</v>
      </c>
      <c r="Q203" s="119">
        <v>12.4</v>
      </c>
      <c r="R203" s="127">
        <f t="shared" si="48"/>
        <v>43717.664451407327</v>
      </c>
      <c r="S203" s="127">
        <f t="shared" si="49"/>
        <v>36314.251087954603</v>
      </c>
      <c r="T203" s="127">
        <f t="shared" si="50"/>
        <v>52432.483549128658</v>
      </c>
      <c r="U203" s="119">
        <v>6</v>
      </c>
      <c r="V203" s="119" t="s">
        <v>15</v>
      </c>
      <c r="W203" s="119">
        <v>0.63636363636363635</v>
      </c>
      <c r="X203" s="103">
        <f t="shared" si="47"/>
        <v>27820.331923622845</v>
      </c>
      <c r="AC203" s="16"/>
      <c r="AD203" s="16"/>
      <c r="AE203" s="16"/>
      <c r="AF203" s="16"/>
      <c r="AG203" s="16"/>
      <c r="AH203" s="16"/>
    </row>
    <row r="204" spans="1:34" x14ac:dyDescent="0.25">
      <c r="A204">
        <v>201</v>
      </c>
      <c r="B204" s="120" t="s">
        <v>148</v>
      </c>
      <c r="C204" s="121">
        <v>2014</v>
      </c>
      <c r="D204" s="122" t="s">
        <v>45</v>
      </c>
      <c r="E204" s="121">
        <v>10</v>
      </c>
      <c r="F204" s="128" t="s">
        <v>16</v>
      </c>
      <c r="G204" s="121">
        <v>1000</v>
      </c>
      <c r="H204">
        <v>9.5012566498267597E-3</v>
      </c>
      <c r="I204">
        <v>9.4819091901346911E-3</v>
      </c>
      <c r="J204">
        <v>1.2511626641368043E-3</v>
      </c>
      <c r="K204">
        <v>7.5800033132925665E-3</v>
      </c>
      <c r="L204">
        <v>1.1533426464073373E-2</v>
      </c>
      <c r="M204" s="124">
        <v>10828.706776282988</v>
      </c>
      <c r="N204" s="125">
        <f t="shared" si="38"/>
        <v>102.67681429931147</v>
      </c>
      <c r="O204" s="126">
        <f t="shared" si="39"/>
        <v>82.081633242898718</v>
      </c>
      <c r="P204" s="126">
        <f t="shared" si="40"/>
        <v>124.89209330527288</v>
      </c>
      <c r="Q204" s="119">
        <v>7.7</v>
      </c>
      <c r="R204" s="127">
        <f t="shared" si="48"/>
        <v>790.61147010469836</v>
      </c>
      <c r="S204" s="127">
        <f t="shared" si="49"/>
        <v>632.02857597032016</v>
      </c>
      <c r="T204" s="127">
        <f t="shared" si="50"/>
        <v>961.66911845060122</v>
      </c>
      <c r="U204" s="119">
        <v>9</v>
      </c>
      <c r="V204" s="119" t="s">
        <v>16</v>
      </c>
      <c r="W204" s="119">
        <v>0.19750000000000001</v>
      </c>
      <c r="X204" s="103">
        <f t="shared" si="47"/>
        <v>156.14576534567794</v>
      </c>
      <c r="AC204" s="16"/>
      <c r="AD204" s="16"/>
      <c r="AE204" s="16"/>
      <c r="AF204" s="16"/>
      <c r="AG204" s="16"/>
      <c r="AH204" s="16"/>
    </row>
    <row r="205" spans="1:34" x14ac:dyDescent="0.25">
      <c r="A205">
        <v>202</v>
      </c>
      <c r="B205" s="120" t="s">
        <v>148</v>
      </c>
      <c r="C205" s="121">
        <v>2014</v>
      </c>
      <c r="D205" s="122" t="s">
        <v>45</v>
      </c>
      <c r="E205" s="121">
        <v>11</v>
      </c>
      <c r="F205" s="128" t="s">
        <v>17</v>
      </c>
      <c r="G205" s="121">
        <v>1000</v>
      </c>
      <c r="H205">
        <v>0.57719842970434521</v>
      </c>
      <c r="I205">
        <v>0.57657091987453568</v>
      </c>
      <c r="J205">
        <v>2.9492158163729413E-2</v>
      </c>
      <c r="K205">
        <v>0.52908341707400208</v>
      </c>
      <c r="L205">
        <v>0.62778768869843526</v>
      </c>
      <c r="M205" s="124">
        <v>11753.048720473937</v>
      </c>
      <c r="N205" s="125"/>
      <c r="O205" s="126"/>
      <c r="P205" s="126"/>
      <c r="Q205" s="119"/>
      <c r="R205" s="127"/>
      <c r="S205" s="127">
        <f t="shared" si="49"/>
        <v>0</v>
      </c>
      <c r="T205" s="127">
        <f t="shared" si="50"/>
        <v>0</v>
      </c>
      <c r="U205" s="119"/>
      <c r="V205" s="119"/>
      <c r="W205" s="119">
        <v>0</v>
      </c>
      <c r="X205" s="103">
        <f t="shared" si="47"/>
        <v>0</v>
      </c>
      <c r="AC205" s="16"/>
      <c r="AD205" s="16"/>
      <c r="AE205" s="16"/>
      <c r="AF205" s="16"/>
      <c r="AG205" s="16"/>
      <c r="AH205" s="16"/>
    </row>
    <row r="206" spans="1:34" x14ac:dyDescent="0.25">
      <c r="A206">
        <v>203</v>
      </c>
      <c r="B206" s="120" t="s">
        <v>148</v>
      </c>
      <c r="C206" s="121">
        <v>2014</v>
      </c>
      <c r="D206" s="122" t="s">
        <v>45</v>
      </c>
      <c r="E206" s="121">
        <v>12</v>
      </c>
      <c r="F206" s="128" t="s">
        <v>18</v>
      </c>
      <c r="G206" s="121">
        <v>1000</v>
      </c>
      <c r="H206">
        <v>1.1258598632597286E-3</v>
      </c>
      <c r="I206">
        <v>1.0504040530694429E-3</v>
      </c>
      <c r="J206">
        <v>5.1547049118751403E-4</v>
      </c>
      <c r="K206">
        <v>4.5125426667898624E-4</v>
      </c>
      <c r="L206">
        <v>2.0892309068374468E-3</v>
      </c>
      <c r="M206" s="124">
        <v>15500</v>
      </c>
      <c r="N206" s="125">
        <f t="shared" ref="N206:N212" si="51">$M206*I206</f>
        <v>16.281262822576366</v>
      </c>
      <c r="O206" s="126">
        <f>$M206*K206</f>
        <v>6.9944411335242869</v>
      </c>
      <c r="P206" s="126">
        <f>$M206*L206</f>
        <v>32.383079055980424</v>
      </c>
      <c r="Q206" s="119">
        <v>7.5</v>
      </c>
      <c r="R206" s="127">
        <f>Q206*N206</f>
        <v>122.10947116932275</v>
      </c>
      <c r="S206" s="127">
        <f>O206*$Q206</f>
        <v>52.45830850143215</v>
      </c>
      <c r="T206" s="127">
        <f>P206*$Q206</f>
        <v>242.87309291985318</v>
      </c>
      <c r="U206" s="119">
        <v>10</v>
      </c>
      <c r="V206" s="129" t="s">
        <v>18</v>
      </c>
      <c r="W206" s="119">
        <v>0.34</v>
      </c>
      <c r="X206" s="103">
        <f t="shared" si="47"/>
        <v>41.517220197569735</v>
      </c>
      <c r="AC206" s="16"/>
      <c r="AD206" s="16"/>
      <c r="AE206" s="16"/>
      <c r="AF206" s="16"/>
      <c r="AG206" s="16"/>
      <c r="AH206" s="16"/>
    </row>
    <row r="207" spans="1:34" x14ac:dyDescent="0.25">
      <c r="A207">
        <v>204</v>
      </c>
      <c r="B207" s="120" t="s">
        <v>148</v>
      </c>
      <c r="C207" s="121">
        <v>2014</v>
      </c>
      <c r="D207" s="122" t="s">
        <v>45</v>
      </c>
      <c r="E207" s="121">
        <v>13</v>
      </c>
      <c r="F207" s="128" t="s">
        <v>19</v>
      </c>
      <c r="G207" s="121">
        <v>1000</v>
      </c>
      <c r="H207">
        <v>0.19850775491776218</v>
      </c>
      <c r="I207">
        <v>0.18667820645783501</v>
      </c>
      <c r="J207">
        <v>6.549835929242015E-2</v>
      </c>
      <c r="K207">
        <v>0.11570815814415472</v>
      </c>
      <c r="L207">
        <v>0.32095777664764708</v>
      </c>
      <c r="M207" s="124">
        <v>5410.2633795388801</v>
      </c>
      <c r="N207" s="125">
        <f t="shared" si="51"/>
        <v>1009.9782641568232</v>
      </c>
      <c r="O207" s="126">
        <f>$M207*K207</f>
        <v>626.01161072121374</v>
      </c>
      <c r="P207" s="126">
        <f>$M207*L207</f>
        <v>1736.4661053749842</v>
      </c>
      <c r="Q207" s="119">
        <v>17.399999999999999</v>
      </c>
      <c r="R207" s="127">
        <f>Q207*N207</f>
        <v>17573.621796328724</v>
      </c>
      <c r="S207" s="127">
        <f>O207*$Q207</f>
        <v>10892.602026549119</v>
      </c>
      <c r="T207" s="127">
        <f>P207*$Q207</f>
        <v>30214.510233524721</v>
      </c>
      <c r="U207" s="119">
        <v>7</v>
      </c>
      <c r="V207" s="119" t="s">
        <v>19</v>
      </c>
      <c r="W207" s="119">
        <v>0.86750000000000005</v>
      </c>
      <c r="X207" s="103">
        <f t="shared" si="47"/>
        <v>15245.116908315169</v>
      </c>
      <c r="AC207" s="16"/>
      <c r="AD207" s="16"/>
      <c r="AE207" s="16"/>
      <c r="AF207" s="16"/>
      <c r="AG207" s="16"/>
      <c r="AH207" s="16"/>
    </row>
    <row r="208" spans="1:34" x14ac:dyDescent="0.25">
      <c r="A208">
        <v>205</v>
      </c>
      <c r="B208" s="120" t="s">
        <v>154</v>
      </c>
      <c r="C208" s="121">
        <v>2015</v>
      </c>
      <c r="D208" s="122" t="s">
        <v>45</v>
      </c>
      <c r="E208" s="142">
        <v>1</v>
      </c>
      <c r="F208" s="143" t="s">
        <v>7</v>
      </c>
      <c r="G208">
        <v>1000</v>
      </c>
      <c r="H208">
        <v>0.16697000000000001</v>
      </c>
      <c r="I208">
        <v>0.15081</v>
      </c>
      <c r="J208">
        <v>9.4369999999999996E-2</v>
      </c>
      <c r="K208">
        <v>5.5E-2</v>
      </c>
      <c r="L208">
        <v>0.34331</v>
      </c>
      <c r="M208" s="25">
        <v>20710.167560200389</v>
      </c>
      <c r="N208" s="112">
        <f t="shared" si="51"/>
        <v>3123.3003697538206</v>
      </c>
      <c r="O208" s="20">
        <f t="shared" ref="O208:O231" si="52">$M208*K208</f>
        <v>1139.0592158110214</v>
      </c>
      <c r="P208" s="20">
        <f t="shared" ref="P208:P231" si="53">$M208*L208</f>
        <v>7110.0076250923958</v>
      </c>
      <c r="Q208" s="16">
        <v>7.7969072164948496</v>
      </c>
      <c r="R208" s="46">
        <f>Q208*N208</f>
        <v>24352.083192214595</v>
      </c>
      <c r="S208" s="46">
        <f t="shared" ref="S208:S231" si="54">O208*$Q208</f>
        <v>8881.1390197719174</v>
      </c>
      <c r="T208" s="46">
        <f t="shared" ref="T208:T231" si="55">P208*$Q208</f>
        <v>55436.069761416307</v>
      </c>
      <c r="U208" s="119">
        <v>6</v>
      </c>
      <c r="X208" s="103"/>
      <c r="AC208" s="16"/>
      <c r="AD208" s="16"/>
      <c r="AE208" s="16"/>
      <c r="AF208" s="16"/>
      <c r="AG208" s="16"/>
      <c r="AH208" s="16"/>
    </row>
    <row r="209" spans="1:34" x14ac:dyDescent="0.25">
      <c r="A209">
        <v>206</v>
      </c>
      <c r="B209" s="120" t="s">
        <v>154</v>
      </c>
      <c r="C209" s="121">
        <v>2015</v>
      </c>
      <c r="D209" s="122" t="s">
        <v>45</v>
      </c>
      <c r="E209" s="142">
        <v>2</v>
      </c>
      <c r="F209" s="43" t="s">
        <v>8</v>
      </c>
      <c r="G209">
        <v>1000</v>
      </c>
      <c r="H209">
        <v>1.2286831946000001</v>
      </c>
      <c r="I209">
        <v>1.2023312415</v>
      </c>
      <c r="J209">
        <v>0.21715599999999999</v>
      </c>
      <c r="K209">
        <v>0.93304050000000005</v>
      </c>
      <c r="L209">
        <v>1.626566</v>
      </c>
      <c r="M209" s="25">
        <v>12937.515211791189</v>
      </c>
      <c r="N209" s="112">
        <f t="shared" si="51"/>
        <v>15555.178726518037</v>
      </c>
      <c r="O209" s="20">
        <f t="shared" si="52"/>
        <v>12071.225661967257</v>
      </c>
      <c r="P209" s="20">
        <f t="shared" si="53"/>
        <v>21043.722367982347</v>
      </c>
      <c r="Q209" s="16">
        <v>9.9385542168674696</v>
      </c>
      <c r="R209" s="46">
        <f t="shared" ref="R209:R231" si="56">Q209*N209</f>
        <v>154595.98712656301</v>
      </c>
      <c r="S209" s="46">
        <f t="shared" si="54"/>
        <v>119970.53070550349</v>
      </c>
      <c r="T209" s="46">
        <f t="shared" si="55"/>
        <v>209144.17567889925</v>
      </c>
      <c r="U209" s="119">
        <v>2</v>
      </c>
      <c r="X209" s="103"/>
      <c r="AC209" s="16"/>
      <c r="AD209" s="16"/>
      <c r="AE209" s="16"/>
      <c r="AF209" s="16"/>
      <c r="AG209" s="16"/>
      <c r="AH209" s="16"/>
    </row>
    <row r="210" spans="1:34" x14ac:dyDescent="0.25">
      <c r="A210">
        <v>207</v>
      </c>
      <c r="B210" s="120" t="s">
        <v>154</v>
      </c>
      <c r="C210" s="121">
        <v>2015</v>
      </c>
      <c r="D210" s="122" t="s">
        <v>45</v>
      </c>
      <c r="E210" s="142">
        <v>3</v>
      </c>
      <c r="F210" s="43" t="s">
        <v>9</v>
      </c>
      <c r="G210">
        <v>1000</v>
      </c>
      <c r="H210">
        <v>1.4523200000000001</v>
      </c>
      <c r="I210">
        <v>1.43852</v>
      </c>
      <c r="J210">
        <v>0.13467000000000001</v>
      </c>
      <c r="K210">
        <v>1.25278</v>
      </c>
      <c r="L210">
        <v>1.68754</v>
      </c>
      <c r="M210" s="25">
        <v>10953.043037802479</v>
      </c>
      <c r="N210" s="112">
        <f t="shared" si="51"/>
        <v>15756.171470739622</v>
      </c>
      <c r="O210" s="20">
        <f t="shared" si="52"/>
        <v>13721.75325689819</v>
      </c>
      <c r="P210" s="20">
        <f t="shared" si="53"/>
        <v>18483.698248013196</v>
      </c>
      <c r="Q210" s="16">
        <v>12.181147540983611</v>
      </c>
      <c r="R210" s="46">
        <f t="shared" si="56"/>
        <v>191928.24936611607</v>
      </c>
      <c r="S210" s="46">
        <f t="shared" si="54"/>
        <v>167146.70094324925</v>
      </c>
      <c r="T210" s="46">
        <f t="shared" si="55"/>
        <v>225152.65546206903</v>
      </c>
      <c r="U210" s="119">
        <v>1</v>
      </c>
      <c r="X210" s="103"/>
      <c r="AC210" s="16"/>
      <c r="AD210" s="16"/>
      <c r="AE210" s="16"/>
      <c r="AF210" s="16"/>
      <c r="AG210" s="16"/>
      <c r="AH210" s="16"/>
    </row>
    <row r="211" spans="1:34" x14ac:dyDescent="0.25">
      <c r="A211">
        <v>208</v>
      </c>
      <c r="B211" s="120" t="s">
        <v>154</v>
      </c>
      <c r="C211" s="121">
        <v>2015</v>
      </c>
      <c r="D211" s="122" t="s">
        <v>45</v>
      </c>
      <c r="E211" s="142">
        <v>5</v>
      </c>
      <c r="F211" s="43" t="s">
        <v>11</v>
      </c>
      <c r="G211">
        <v>1000</v>
      </c>
      <c r="H211">
        <v>0.22588</v>
      </c>
      <c r="I211">
        <v>0.22223000000000001</v>
      </c>
      <c r="J211">
        <v>2.4979999999999999E-2</v>
      </c>
      <c r="K211">
        <v>0.19225999999999999</v>
      </c>
      <c r="L211">
        <v>0.27312999999999998</v>
      </c>
      <c r="M211" s="25">
        <v>13991.101427824766</v>
      </c>
      <c r="N211" s="112">
        <f t="shared" si="51"/>
        <v>3109.242470305498</v>
      </c>
      <c r="O211" s="20">
        <f t="shared" si="52"/>
        <v>2689.9291605135891</v>
      </c>
      <c r="P211" s="20">
        <f t="shared" si="53"/>
        <v>3821.3895329817778</v>
      </c>
      <c r="Q211" s="16">
        <v>18.804166666666664</v>
      </c>
      <c r="R211" s="46">
        <f t="shared" si="56"/>
        <v>58466.713618702961</v>
      </c>
      <c r="S211" s="46">
        <f t="shared" si="54"/>
        <v>50581.876255824274</v>
      </c>
      <c r="T211" s="46">
        <f t="shared" si="55"/>
        <v>71858.045676444832</v>
      </c>
      <c r="U211" s="119">
        <v>5</v>
      </c>
      <c r="X211" s="103"/>
      <c r="AC211" s="16"/>
      <c r="AD211" s="16"/>
      <c r="AE211" s="16"/>
      <c r="AF211" s="16"/>
      <c r="AG211" s="16"/>
      <c r="AH211" s="16"/>
    </row>
    <row r="212" spans="1:34" x14ac:dyDescent="0.25">
      <c r="A212">
        <v>209</v>
      </c>
      <c r="B212" s="120" t="s">
        <v>154</v>
      </c>
      <c r="C212" s="121">
        <v>2015</v>
      </c>
      <c r="D212" s="122" t="s">
        <v>45</v>
      </c>
      <c r="E212" s="142">
        <v>6</v>
      </c>
      <c r="F212" s="43" t="s">
        <v>12</v>
      </c>
      <c r="G212">
        <v>1000</v>
      </c>
      <c r="H212">
        <v>4.4220000000000002E-2</v>
      </c>
      <c r="I212">
        <v>4.3060000000000001E-2</v>
      </c>
      <c r="J212">
        <v>6.7499999999999999E-3</v>
      </c>
      <c r="K212">
        <v>3.508E-2</v>
      </c>
      <c r="L212">
        <v>5.6820000000000002E-2</v>
      </c>
      <c r="M212" s="25">
        <v>6966.102651973556</v>
      </c>
      <c r="N212" s="112">
        <f t="shared" si="51"/>
        <v>299.96038019398134</v>
      </c>
      <c r="O212" s="20">
        <f t="shared" si="52"/>
        <v>244.37088103123236</v>
      </c>
      <c r="P212" s="20">
        <f t="shared" si="53"/>
        <v>395.81395268513745</v>
      </c>
      <c r="Q212" s="16">
        <v>17.177500000000002</v>
      </c>
      <c r="R212" s="46">
        <f t="shared" si="56"/>
        <v>5152.569430782115</v>
      </c>
      <c r="S212" s="46">
        <f t="shared" si="54"/>
        <v>4197.680808913994</v>
      </c>
      <c r="T212" s="46">
        <f t="shared" si="55"/>
        <v>6799.0941722489497</v>
      </c>
      <c r="U212" s="119">
        <v>8</v>
      </c>
      <c r="X212" s="103"/>
      <c r="AC212" s="16"/>
      <c r="AD212" s="16"/>
      <c r="AE212" s="16"/>
      <c r="AF212" s="16"/>
      <c r="AG212" s="16"/>
      <c r="AH212" s="16"/>
    </row>
    <row r="213" spans="1:34" x14ac:dyDescent="0.25">
      <c r="A213">
        <v>210</v>
      </c>
      <c r="B213" s="120" t="s">
        <v>154</v>
      </c>
      <c r="C213" s="121">
        <v>2015</v>
      </c>
      <c r="D213" s="122" t="s">
        <v>45</v>
      </c>
      <c r="E213" s="142">
        <v>7</v>
      </c>
      <c r="F213" s="43" t="s">
        <v>13</v>
      </c>
      <c r="G213">
        <v>1000</v>
      </c>
      <c r="H213">
        <v>0</v>
      </c>
      <c r="I213">
        <v>0</v>
      </c>
      <c r="J213">
        <v>0</v>
      </c>
      <c r="K213">
        <v>0</v>
      </c>
      <c r="L213">
        <v>0</v>
      </c>
      <c r="M213" s="25">
        <v>2532.5333267390947</v>
      </c>
      <c r="N213" s="112"/>
      <c r="O213" s="20">
        <f t="shared" si="52"/>
        <v>0</v>
      </c>
      <c r="P213" s="20">
        <f t="shared" si="53"/>
        <v>0</v>
      </c>
      <c r="Q213" s="16"/>
      <c r="R213" s="46">
        <f t="shared" si="56"/>
        <v>0</v>
      </c>
      <c r="S213" s="46">
        <f t="shared" si="54"/>
        <v>0</v>
      </c>
      <c r="T213" s="46">
        <f t="shared" si="55"/>
        <v>0</v>
      </c>
      <c r="U213" s="16"/>
      <c r="X213" s="103"/>
      <c r="AC213" s="16"/>
      <c r="AD213" s="16"/>
      <c r="AE213" s="16"/>
      <c r="AF213" s="16"/>
      <c r="AG213" s="16"/>
      <c r="AH213" s="16"/>
    </row>
    <row r="214" spans="1:34" x14ac:dyDescent="0.25">
      <c r="A214">
        <v>211</v>
      </c>
      <c r="B214" s="120" t="s">
        <v>154</v>
      </c>
      <c r="C214" s="121">
        <v>2015</v>
      </c>
      <c r="D214" s="122" t="s">
        <v>45</v>
      </c>
      <c r="E214" s="142">
        <v>8</v>
      </c>
      <c r="F214" s="43" t="s">
        <v>14</v>
      </c>
      <c r="G214">
        <v>1000</v>
      </c>
      <c r="H214">
        <v>6.28E-3</v>
      </c>
      <c r="I214">
        <v>2.96E-3</v>
      </c>
      <c r="J214">
        <v>1.307E-2</v>
      </c>
      <c r="K214">
        <v>1.5299999999999999E-3</v>
      </c>
      <c r="L214">
        <v>4.861E-2</v>
      </c>
      <c r="M214" s="25">
        <v>13775.148973606703</v>
      </c>
      <c r="N214" s="112">
        <f t="shared" ref="N214:N231" si="57">$M214*I214</f>
        <v>40.77444096187584</v>
      </c>
      <c r="O214" s="20">
        <f t="shared" si="52"/>
        <v>21.075977929618254</v>
      </c>
      <c r="P214" s="20">
        <f t="shared" si="53"/>
        <v>669.60999160702181</v>
      </c>
      <c r="Q214" s="16">
        <v>8.1019999999999985</v>
      </c>
      <c r="R214" s="46">
        <f t="shared" si="56"/>
        <v>330.35452067311797</v>
      </c>
      <c r="S214" s="46">
        <f t="shared" si="54"/>
        <v>170.75757318576706</v>
      </c>
      <c r="T214" s="46">
        <f t="shared" si="55"/>
        <v>5425.1801520000899</v>
      </c>
      <c r="U214" s="119">
        <v>9</v>
      </c>
      <c r="X214" s="103"/>
      <c r="AC214" s="16"/>
      <c r="AD214" s="16"/>
      <c r="AE214" s="16"/>
      <c r="AF214" s="16"/>
      <c r="AG214" s="16"/>
      <c r="AH214" s="16"/>
    </row>
    <row r="215" spans="1:34" x14ac:dyDescent="0.25">
      <c r="A215">
        <v>212</v>
      </c>
      <c r="B215" s="120" t="s">
        <v>154</v>
      </c>
      <c r="C215" s="121">
        <v>2015</v>
      </c>
      <c r="D215" s="122" t="s">
        <v>45</v>
      </c>
      <c r="E215" s="142">
        <v>9</v>
      </c>
      <c r="F215" s="43" t="s">
        <v>15</v>
      </c>
      <c r="G215">
        <v>1000</v>
      </c>
      <c r="H215">
        <v>0</v>
      </c>
      <c r="I215">
        <v>0</v>
      </c>
      <c r="J215">
        <v>0</v>
      </c>
      <c r="K215">
        <v>0</v>
      </c>
      <c r="L215">
        <v>0</v>
      </c>
      <c r="M215" s="25">
        <v>5560.7756961151099</v>
      </c>
      <c r="N215" s="112">
        <f t="shared" si="57"/>
        <v>0</v>
      </c>
      <c r="O215" s="20">
        <f t="shared" si="52"/>
        <v>0</v>
      </c>
      <c r="P215" s="20">
        <f t="shared" si="53"/>
        <v>0</v>
      </c>
      <c r="Q215" s="16">
        <v>7.8650793650793656</v>
      </c>
      <c r="R215" s="46">
        <f t="shared" si="56"/>
        <v>0</v>
      </c>
      <c r="S215" s="46">
        <f t="shared" si="54"/>
        <v>0</v>
      </c>
      <c r="T215" s="46">
        <f t="shared" si="55"/>
        <v>0</v>
      </c>
      <c r="U215" s="16"/>
      <c r="X215" s="103"/>
      <c r="AC215" s="16"/>
      <c r="AD215" s="16"/>
      <c r="AE215" s="16"/>
      <c r="AF215" s="16"/>
      <c r="AG215" s="16"/>
      <c r="AH215" s="16"/>
    </row>
    <row r="216" spans="1:34" x14ac:dyDescent="0.25">
      <c r="A216">
        <v>213</v>
      </c>
      <c r="B216" s="120" t="s">
        <v>154</v>
      </c>
      <c r="C216" s="121">
        <v>2015</v>
      </c>
      <c r="D216" s="122" t="s">
        <v>45</v>
      </c>
      <c r="E216" s="142">
        <v>10</v>
      </c>
      <c r="F216" s="43" t="s">
        <v>16</v>
      </c>
      <c r="G216">
        <v>1000</v>
      </c>
      <c r="H216">
        <v>0.66442999999999997</v>
      </c>
      <c r="I216">
        <v>0.65813999999999995</v>
      </c>
      <c r="J216">
        <v>0.12601000000000001</v>
      </c>
      <c r="K216">
        <v>0.47305999999999998</v>
      </c>
      <c r="L216">
        <v>0.88283</v>
      </c>
      <c r="M216" s="25">
        <v>10828.706776282999</v>
      </c>
      <c r="N216" s="112">
        <f t="shared" si="57"/>
        <v>7126.8050777428925</v>
      </c>
      <c r="O216" s="20">
        <f t="shared" si="52"/>
        <v>5122.6280275884355</v>
      </c>
      <c r="P216" s="20">
        <f t="shared" si="53"/>
        <v>9559.9072033059201</v>
      </c>
      <c r="Q216" s="16">
        <v>11.030817610062892</v>
      </c>
      <c r="R216" s="46">
        <f t="shared" si="56"/>
        <v>78614.486955051936</v>
      </c>
      <c r="S216" s="46">
        <f t="shared" si="54"/>
        <v>56506.77545652425</v>
      </c>
      <c r="T216" s="46">
        <f t="shared" si="55"/>
        <v>105453.59272879403</v>
      </c>
      <c r="U216" s="119">
        <v>4</v>
      </c>
      <c r="X216" s="103"/>
      <c r="AC216" s="16"/>
      <c r="AD216" s="16"/>
      <c r="AE216" s="16"/>
      <c r="AF216" s="16"/>
      <c r="AG216" s="16"/>
      <c r="AH216" s="16"/>
    </row>
    <row r="217" spans="1:34" x14ac:dyDescent="0.25">
      <c r="A217">
        <v>214</v>
      </c>
      <c r="B217" s="120" t="s">
        <v>154</v>
      </c>
      <c r="C217" s="121">
        <v>2015</v>
      </c>
      <c r="D217" s="122" t="s">
        <v>45</v>
      </c>
      <c r="E217" s="142">
        <v>11</v>
      </c>
      <c r="F217" s="43" t="s">
        <v>17</v>
      </c>
      <c r="G217">
        <v>1000</v>
      </c>
      <c r="H217">
        <v>1.5211300000000001</v>
      </c>
      <c r="I217">
        <v>1.46024</v>
      </c>
      <c r="J217">
        <v>0.40353</v>
      </c>
      <c r="K217">
        <v>0.97350999999999999</v>
      </c>
      <c r="L217">
        <v>2.27684</v>
      </c>
      <c r="M217" s="25">
        <v>11753.048720473937</v>
      </c>
      <c r="N217" s="112">
        <f t="shared" si="57"/>
        <v>17162.271863584861</v>
      </c>
      <c r="O217" s="20">
        <f t="shared" si="52"/>
        <v>11441.710459868582</v>
      </c>
      <c r="P217" s="20">
        <f t="shared" si="53"/>
        <v>26759.811448723878</v>
      </c>
      <c r="Q217" s="16">
        <v>8.1599999999999984</v>
      </c>
      <c r="R217" s="46">
        <f t="shared" si="56"/>
        <v>140044.13840685243</v>
      </c>
      <c r="S217" s="46">
        <f t="shared" si="54"/>
        <v>93364.357352527615</v>
      </c>
      <c r="T217" s="46">
        <f t="shared" si="55"/>
        <v>218360.06142158681</v>
      </c>
      <c r="U217" s="16">
        <v>3</v>
      </c>
      <c r="X217" s="103"/>
      <c r="AC217" s="16"/>
      <c r="AD217" s="16"/>
      <c r="AE217" s="16"/>
      <c r="AF217" s="16"/>
      <c r="AG217" s="16"/>
      <c r="AH217" s="16"/>
    </row>
    <row r="218" spans="1:34" x14ac:dyDescent="0.25">
      <c r="A218">
        <v>215</v>
      </c>
      <c r="B218" s="120" t="s">
        <v>154</v>
      </c>
      <c r="C218" s="121">
        <v>2015</v>
      </c>
      <c r="D218" s="122" t="s">
        <v>45</v>
      </c>
      <c r="E218" s="142">
        <v>12</v>
      </c>
      <c r="F218" s="43" t="s">
        <v>18</v>
      </c>
      <c r="G218">
        <v>1000</v>
      </c>
      <c r="H218">
        <v>3.0200000000000001E-3</v>
      </c>
      <c r="I218">
        <v>2.98E-3</v>
      </c>
      <c r="J218">
        <v>3.6000000000000002E-4</v>
      </c>
      <c r="K218">
        <v>2.49E-3</v>
      </c>
      <c r="L218">
        <v>3.6800000000000001E-3</v>
      </c>
      <c r="M218" s="25">
        <v>30959.729118353116</v>
      </c>
      <c r="N218" s="112">
        <f t="shared" si="57"/>
        <v>92.259992772692286</v>
      </c>
      <c r="O218" s="20">
        <f t="shared" si="52"/>
        <v>77.08972550469926</v>
      </c>
      <c r="P218" s="20">
        <f t="shared" si="53"/>
        <v>113.93180315553947</v>
      </c>
      <c r="Q218" s="16"/>
      <c r="R218" s="46">
        <f t="shared" si="56"/>
        <v>0</v>
      </c>
      <c r="S218" s="46">
        <f t="shared" si="54"/>
        <v>0</v>
      </c>
      <c r="T218" s="46">
        <f t="shared" si="55"/>
        <v>0</v>
      </c>
      <c r="U218" s="16"/>
      <c r="X218" s="103"/>
      <c r="AC218" s="16"/>
      <c r="AD218" s="16"/>
      <c r="AE218" s="16"/>
      <c r="AF218" s="16"/>
      <c r="AG218" s="16"/>
      <c r="AH218" s="16"/>
    </row>
    <row r="219" spans="1:34" x14ac:dyDescent="0.25">
      <c r="A219">
        <v>216</v>
      </c>
      <c r="B219" s="120" t="s">
        <v>154</v>
      </c>
      <c r="C219" s="121">
        <v>2015</v>
      </c>
      <c r="D219" s="122" t="s">
        <v>45</v>
      </c>
      <c r="E219" s="142">
        <v>13</v>
      </c>
      <c r="F219" s="43" t="s">
        <v>19</v>
      </c>
      <c r="G219">
        <v>1000</v>
      </c>
      <c r="H219">
        <v>6.5009999999999998E-2</v>
      </c>
      <c r="I219">
        <v>6.4860000000000001E-2</v>
      </c>
      <c r="J219">
        <v>5.0200000000000002E-3</v>
      </c>
      <c r="K219">
        <v>5.7209999999999997E-2</v>
      </c>
      <c r="L219">
        <v>7.3459999999999998E-2</v>
      </c>
      <c r="M219" s="25">
        <v>5410.2633795388801</v>
      </c>
      <c r="N219" s="112">
        <f t="shared" si="57"/>
        <v>350.90968279689179</v>
      </c>
      <c r="O219" s="20">
        <f t="shared" si="52"/>
        <v>309.5211679434193</v>
      </c>
      <c r="P219" s="20">
        <f t="shared" si="53"/>
        <v>397.4379478609261</v>
      </c>
      <c r="Q219" s="16">
        <v>22.152000000000001</v>
      </c>
      <c r="R219" s="46">
        <f t="shared" si="56"/>
        <v>7773.3512933167476</v>
      </c>
      <c r="S219" s="46">
        <f t="shared" si="54"/>
        <v>6856.5129122826247</v>
      </c>
      <c r="T219" s="46">
        <f t="shared" si="55"/>
        <v>8804.0454210152348</v>
      </c>
      <c r="U219" s="16">
        <v>7</v>
      </c>
      <c r="AC219" s="16"/>
      <c r="AD219" s="16"/>
      <c r="AE219" s="16"/>
      <c r="AF219" s="16"/>
      <c r="AG219" s="16"/>
      <c r="AH219" s="16"/>
    </row>
    <row r="220" spans="1:34" s="16" customFormat="1" ht="13.5" customHeight="1" x14ac:dyDescent="0.25">
      <c r="A220" s="16">
        <v>217</v>
      </c>
      <c r="B220" s="16" t="s">
        <v>160</v>
      </c>
      <c r="C220" s="16">
        <v>2017</v>
      </c>
      <c r="D220" s="42" t="s">
        <v>45</v>
      </c>
      <c r="E220" s="142">
        <v>1</v>
      </c>
      <c r="F220" s="16" t="s">
        <v>7</v>
      </c>
      <c r="G220" s="16">
        <v>1000</v>
      </c>
      <c r="H220" s="16">
        <v>4.3599700000000002E-5</v>
      </c>
      <c r="I220" s="16">
        <v>3.5002300000000002E-5</v>
      </c>
      <c r="J220" s="16">
        <v>4.1405400000000002E-5</v>
      </c>
      <c r="K220" s="16">
        <v>1.36904E-5</v>
      </c>
      <c r="L220" s="16">
        <v>7.66439E-5</v>
      </c>
      <c r="M220" s="25">
        <v>20710.167560200389</v>
      </c>
      <c r="N220" s="112">
        <f t="shared" si="57"/>
        <v>0.72490349799240206</v>
      </c>
      <c r="O220" s="20">
        <f t="shared" si="52"/>
        <v>0.28353047796616743</v>
      </c>
      <c r="P220" s="20">
        <f t="shared" si="53"/>
        <v>1.5873080114672427</v>
      </c>
      <c r="Q220" s="16">
        <v>13.2</v>
      </c>
      <c r="R220" s="46">
        <f t="shared" si="56"/>
        <v>9.5687261734997069</v>
      </c>
      <c r="S220" s="46">
        <f t="shared" si="54"/>
        <v>3.7426023091534097</v>
      </c>
      <c r="T220" s="46">
        <f t="shared" si="55"/>
        <v>20.952465751367601</v>
      </c>
      <c r="U220" s="16">
        <v>11</v>
      </c>
    </row>
    <row r="221" spans="1:34" s="16" customFormat="1" x14ac:dyDescent="0.25">
      <c r="A221" s="16">
        <v>218</v>
      </c>
      <c r="B221" s="16" t="s">
        <v>160</v>
      </c>
      <c r="C221" s="16">
        <v>2017</v>
      </c>
      <c r="D221" s="42" t="s">
        <v>45</v>
      </c>
      <c r="E221" s="142">
        <v>2</v>
      </c>
      <c r="F221" s="16" t="s">
        <v>8</v>
      </c>
      <c r="G221" s="16">
        <v>1000</v>
      </c>
      <c r="H221" s="16">
        <v>5.5530912199999997E-2</v>
      </c>
      <c r="I221" s="16">
        <v>5.4924740200000002E-2</v>
      </c>
      <c r="J221" s="16">
        <v>7.0423114999999996E-3</v>
      </c>
      <c r="K221" s="16">
        <v>4.47076291E-2</v>
      </c>
      <c r="L221" s="16">
        <v>6.79037683E-2</v>
      </c>
      <c r="M221" s="25">
        <v>12937.515211791189</v>
      </c>
      <c r="N221" s="112">
        <f t="shared" si="57"/>
        <v>710.58966184117912</v>
      </c>
      <c r="O221" s="20">
        <f t="shared" si="52"/>
        <v>578.40563156436849</v>
      </c>
      <c r="P221" s="20">
        <f t="shared" si="53"/>
        <v>878.50603531919432</v>
      </c>
      <c r="Q221" s="16">
        <v>9</v>
      </c>
      <c r="R221" s="46">
        <f t="shared" si="56"/>
        <v>6395.3069565706119</v>
      </c>
      <c r="S221" s="46">
        <f t="shared" si="54"/>
        <v>5205.6506840793163</v>
      </c>
      <c r="T221" s="46">
        <f t="shared" si="55"/>
        <v>7906.5543178727494</v>
      </c>
      <c r="U221" s="16">
        <v>7</v>
      </c>
    </row>
    <row r="222" spans="1:34" s="16" customFormat="1" x14ac:dyDescent="0.25">
      <c r="A222" s="16">
        <v>219</v>
      </c>
      <c r="B222" s="16" t="s">
        <v>160</v>
      </c>
      <c r="C222" s="16">
        <v>2017</v>
      </c>
      <c r="D222" s="42" t="s">
        <v>45</v>
      </c>
      <c r="E222" s="142">
        <v>3</v>
      </c>
      <c r="F222" s="16" t="s">
        <v>9</v>
      </c>
      <c r="G222" s="16">
        <v>1000</v>
      </c>
      <c r="H222" s="16">
        <v>0.10117</v>
      </c>
      <c r="I222" s="16">
        <v>0.10079</v>
      </c>
      <c r="J222" s="16">
        <v>1.1820000000000001E-2</v>
      </c>
      <c r="K222" s="16">
        <v>8.1309999999999993E-2</v>
      </c>
      <c r="L222" s="16">
        <v>0.12106</v>
      </c>
      <c r="M222" s="25">
        <v>10953.043037802479</v>
      </c>
      <c r="N222" s="112">
        <f t="shared" si="57"/>
        <v>1103.957207780112</v>
      </c>
      <c r="O222" s="20">
        <f t="shared" si="52"/>
        <v>890.59192940371952</v>
      </c>
      <c r="P222" s="20">
        <f t="shared" si="53"/>
        <v>1325.9753901563681</v>
      </c>
      <c r="Q222" s="16">
        <v>8.9</v>
      </c>
      <c r="R222" s="46">
        <f t="shared" si="56"/>
        <v>9825.2191492429974</v>
      </c>
      <c r="S222" s="46">
        <f t="shared" si="54"/>
        <v>7926.2681716931038</v>
      </c>
      <c r="T222" s="46">
        <f t="shared" si="55"/>
        <v>11801.180972391678</v>
      </c>
      <c r="U222" s="16">
        <v>4</v>
      </c>
    </row>
    <row r="223" spans="1:34" s="16" customFormat="1" x14ac:dyDescent="0.25">
      <c r="A223" s="16">
        <v>220</v>
      </c>
      <c r="B223" s="16" t="s">
        <v>160</v>
      </c>
      <c r="C223" s="16">
        <v>2017</v>
      </c>
      <c r="D223" s="42" t="s">
        <v>45</v>
      </c>
      <c r="E223" s="142">
        <v>5</v>
      </c>
      <c r="F223" s="16" t="s">
        <v>11</v>
      </c>
      <c r="G223" s="16">
        <v>1000</v>
      </c>
      <c r="H223" s="16">
        <v>1.4080751900000001E-2</v>
      </c>
      <c r="I223" s="16">
        <v>1.3831902300000001E-2</v>
      </c>
      <c r="J223" s="16">
        <v>1.8617944999999999E-3</v>
      </c>
      <c r="K223" s="16">
        <v>1.1558901599999999E-2</v>
      </c>
      <c r="L223" s="16">
        <v>1.7545522300000001E-2</v>
      </c>
      <c r="M223" s="25">
        <v>13991.101427824766</v>
      </c>
      <c r="N223" s="112">
        <f t="shared" si="57"/>
        <v>193.52354801906267</v>
      </c>
      <c r="O223" s="20">
        <f t="shared" si="52"/>
        <v>161.72176467984596</v>
      </c>
      <c r="P223" s="20">
        <f t="shared" si="53"/>
        <v>245.48118210346129</v>
      </c>
      <c r="Q223" s="16">
        <v>11.3</v>
      </c>
      <c r="R223" s="46">
        <f t="shared" si="56"/>
        <v>2186.8160926154083</v>
      </c>
      <c r="S223" s="46">
        <f t="shared" si="54"/>
        <v>1827.4559408822595</v>
      </c>
      <c r="T223" s="46">
        <f t="shared" si="55"/>
        <v>2773.9373577691126</v>
      </c>
      <c r="U223" s="16">
        <v>10</v>
      </c>
    </row>
    <row r="224" spans="1:34" s="16" customFormat="1" x14ac:dyDescent="0.25">
      <c r="A224" s="16">
        <v>221</v>
      </c>
      <c r="B224" s="16" t="s">
        <v>160</v>
      </c>
      <c r="C224" s="16">
        <v>2017</v>
      </c>
      <c r="D224" s="42" t="s">
        <v>45</v>
      </c>
      <c r="E224" s="142">
        <v>6</v>
      </c>
      <c r="F224" s="16" t="s">
        <v>12</v>
      </c>
      <c r="G224" s="16">
        <v>1000</v>
      </c>
      <c r="H224" s="16">
        <v>0.76379867960000003</v>
      </c>
      <c r="I224" s="16">
        <v>0.70210383430000001</v>
      </c>
      <c r="J224" s="16">
        <v>0.1855337161</v>
      </c>
      <c r="K224" s="16">
        <v>0.57864943349999998</v>
      </c>
      <c r="L224" s="16">
        <v>1.1623997226</v>
      </c>
      <c r="M224" s="25">
        <v>6966.102651973556</v>
      </c>
      <c r="N224" s="112">
        <f t="shared" si="57"/>
        <v>4890.9273820780318</v>
      </c>
      <c r="O224" s="20">
        <f t="shared" si="52"/>
        <v>4030.9313532673459</v>
      </c>
      <c r="P224" s="20">
        <f t="shared" si="53"/>
        <v>8097.3957902571856</v>
      </c>
      <c r="Q224" s="16">
        <v>7.2</v>
      </c>
      <c r="R224" s="46">
        <f t="shared" si="56"/>
        <v>35214.677150961827</v>
      </c>
      <c r="S224" s="46">
        <f t="shared" si="54"/>
        <v>29022.70574352489</v>
      </c>
      <c r="T224" s="46">
        <f t="shared" si="55"/>
        <v>58301.249689851735</v>
      </c>
      <c r="U224" s="16">
        <v>2</v>
      </c>
    </row>
    <row r="225" spans="1:35" s="16" customFormat="1" x14ac:dyDescent="0.25">
      <c r="A225" s="16">
        <v>222</v>
      </c>
      <c r="B225" s="16" t="s">
        <v>160</v>
      </c>
      <c r="C225" s="16">
        <v>2017</v>
      </c>
      <c r="D225" s="42" t="s">
        <v>45</v>
      </c>
      <c r="E225" s="142">
        <v>7</v>
      </c>
      <c r="F225" s="16" t="s">
        <v>13</v>
      </c>
      <c r="G225" s="16">
        <v>1000</v>
      </c>
      <c r="H225" s="16">
        <v>0.20223556200000001</v>
      </c>
      <c r="I225" s="16">
        <v>0.1407502612</v>
      </c>
      <c r="J225" s="16">
        <v>0.17999255929999999</v>
      </c>
      <c r="K225" s="16">
        <v>2.3923264400000002E-2</v>
      </c>
      <c r="L225" s="16">
        <v>0.58679626519999994</v>
      </c>
      <c r="M225" s="25">
        <v>2532.5333267390947</v>
      </c>
      <c r="N225" s="112">
        <f t="shared" si="57"/>
        <v>356.45472723623254</v>
      </c>
      <c r="O225" s="20">
        <f t="shared" si="52"/>
        <v>60.586464377390953</v>
      </c>
      <c r="P225" s="20">
        <f t="shared" si="53"/>
        <v>1486.081097625032</v>
      </c>
      <c r="Q225" s="16">
        <v>7.2</v>
      </c>
      <c r="R225" s="46">
        <f t="shared" si="56"/>
        <v>2566.4740361008744</v>
      </c>
      <c r="S225" s="46">
        <f t="shared" si="54"/>
        <v>436.22254351721489</v>
      </c>
      <c r="T225" s="46">
        <f t="shared" si="55"/>
        <v>10699.783902900232</v>
      </c>
      <c r="U225" s="16">
        <v>5</v>
      </c>
    </row>
    <row r="226" spans="1:35" s="16" customFormat="1" x14ac:dyDescent="0.25">
      <c r="A226" s="16">
        <v>223</v>
      </c>
      <c r="B226" s="16" t="s">
        <v>160</v>
      </c>
      <c r="C226" s="16">
        <v>2017</v>
      </c>
      <c r="D226" s="42" t="s">
        <v>45</v>
      </c>
      <c r="E226" s="142">
        <v>8</v>
      </c>
      <c r="F226" s="16" t="s">
        <v>14</v>
      </c>
      <c r="G226" s="16">
        <v>1000</v>
      </c>
      <c r="H226" s="16">
        <v>0.344434132</v>
      </c>
      <c r="I226" s="16">
        <v>0.34397488510000002</v>
      </c>
      <c r="J226" s="16">
        <v>2.0829076700000001E-2</v>
      </c>
      <c r="K226" s="16">
        <v>0.3099412842</v>
      </c>
      <c r="L226" s="16">
        <v>0.37851072590000001</v>
      </c>
      <c r="M226" s="25">
        <v>13775.148973606703</v>
      </c>
      <c r="N226" s="112">
        <f t="shared" si="57"/>
        <v>4738.3052854317493</v>
      </c>
      <c r="O226" s="20">
        <f t="shared" si="52"/>
        <v>4269.4873629259737</v>
      </c>
      <c r="P226" s="20">
        <f t="shared" si="53"/>
        <v>5214.0416373805137</v>
      </c>
      <c r="Q226" s="16">
        <v>7.85</v>
      </c>
      <c r="R226" s="46">
        <f t="shared" si="56"/>
        <v>37195.696490639231</v>
      </c>
      <c r="S226" s="46">
        <f t="shared" si="54"/>
        <v>33515.475798968895</v>
      </c>
      <c r="T226" s="46">
        <f t="shared" si="55"/>
        <v>40930.226853437031</v>
      </c>
      <c r="U226" s="16">
        <v>3</v>
      </c>
    </row>
    <row r="227" spans="1:35" s="16" customFormat="1" ht="13.5" customHeight="1" x14ac:dyDescent="0.25">
      <c r="A227" s="16">
        <v>224</v>
      </c>
      <c r="B227" s="16" t="s">
        <v>160</v>
      </c>
      <c r="C227" s="16">
        <v>2017</v>
      </c>
      <c r="D227" s="42" t="s">
        <v>45</v>
      </c>
      <c r="E227" s="142">
        <v>9</v>
      </c>
      <c r="F227" s="16" t="s">
        <v>15</v>
      </c>
      <c r="G227" s="16">
        <v>1000</v>
      </c>
      <c r="H227" s="16">
        <v>0.1137164739</v>
      </c>
      <c r="I227" s="16">
        <v>0.10636037800000001</v>
      </c>
      <c r="J227" s="16">
        <v>3.9028996500000003E-2</v>
      </c>
      <c r="K227" s="16">
        <v>6.3009203499999999E-2</v>
      </c>
      <c r="L227" s="16">
        <v>0.1897422634</v>
      </c>
      <c r="M227" s="25">
        <v>5560.7756961151099</v>
      </c>
      <c r="N227" s="112">
        <f t="shared" si="57"/>
        <v>591.44620501201621</v>
      </c>
      <c r="O227" s="20">
        <f t="shared" si="52"/>
        <v>350.38004745437109</v>
      </c>
      <c r="P227" s="20">
        <f t="shared" si="53"/>
        <v>1055.1141668405915</v>
      </c>
      <c r="Q227" s="16">
        <v>8.9600000000000009</v>
      </c>
      <c r="R227" s="46">
        <f t="shared" si="56"/>
        <v>5299.3579969076654</v>
      </c>
      <c r="S227" s="46">
        <f t="shared" si="54"/>
        <v>3139.4052251911653</v>
      </c>
      <c r="T227" s="46">
        <f t="shared" si="55"/>
        <v>9453.8229348917012</v>
      </c>
      <c r="U227" s="16">
        <v>6</v>
      </c>
    </row>
    <row r="228" spans="1:35" s="16" customFormat="1" ht="13.5" customHeight="1" x14ac:dyDescent="0.25">
      <c r="A228" s="16">
        <v>225</v>
      </c>
      <c r="B228" s="16" t="s">
        <v>160</v>
      </c>
      <c r="C228" s="16">
        <v>2017</v>
      </c>
      <c r="D228" s="42" t="s">
        <v>45</v>
      </c>
      <c r="E228" s="142">
        <v>10</v>
      </c>
      <c r="F228" s="16" t="s">
        <v>16</v>
      </c>
      <c r="G228" s="16">
        <v>1000</v>
      </c>
      <c r="H228" s="16">
        <v>0.51812672410000005</v>
      </c>
      <c r="I228" s="16">
        <v>0.51509863379999998</v>
      </c>
      <c r="J228" s="16">
        <v>3.19288707E-2</v>
      </c>
      <c r="K228" s="16">
        <v>0.47024208360000003</v>
      </c>
      <c r="L228" s="16">
        <v>0.57438204550000005</v>
      </c>
      <c r="M228" s="25">
        <v>10828.706776282988</v>
      </c>
      <c r="N228" s="112">
        <f t="shared" si="57"/>
        <v>5577.8520662841693</v>
      </c>
      <c r="O228" s="20">
        <f t="shared" si="52"/>
        <v>5092.1136371727516</v>
      </c>
      <c r="P228" s="20">
        <f t="shared" si="53"/>
        <v>6219.8147482811346</v>
      </c>
      <c r="Q228" s="16">
        <v>9.9</v>
      </c>
      <c r="R228" s="46">
        <f t="shared" si="56"/>
        <v>55220.735456213275</v>
      </c>
      <c r="S228" s="46">
        <f t="shared" si="54"/>
        <v>50411.925008010243</v>
      </c>
      <c r="T228" s="46">
        <f t="shared" si="55"/>
        <v>61576.166007983236</v>
      </c>
      <c r="U228" s="16">
        <v>1</v>
      </c>
    </row>
    <row r="229" spans="1:35" s="16" customFormat="1" ht="13.5" customHeight="1" x14ac:dyDescent="0.25">
      <c r="A229" s="16">
        <v>226</v>
      </c>
      <c r="B229" s="16" t="s">
        <v>160</v>
      </c>
      <c r="C229" s="16">
        <v>2017</v>
      </c>
      <c r="D229" s="42" t="s">
        <v>45</v>
      </c>
      <c r="E229" s="142">
        <v>11</v>
      </c>
      <c r="F229" s="16" t="s">
        <v>17</v>
      </c>
      <c r="G229" s="16">
        <v>1000</v>
      </c>
      <c r="H229" s="16">
        <v>1.8744109700000001E-2</v>
      </c>
      <c r="I229" s="16">
        <v>1.52950207E-2</v>
      </c>
      <c r="J229" s="16">
        <v>1.15741344E-2</v>
      </c>
      <c r="K229" s="16">
        <v>5.3471059000000003E-3</v>
      </c>
      <c r="L229" s="16">
        <v>4.1169175699999998E-2</v>
      </c>
      <c r="M229" s="25">
        <v>11753.048720473937</v>
      </c>
      <c r="N229" s="112">
        <f t="shared" si="57"/>
        <v>179.76312346775737</v>
      </c>
      <c r="O229" s="20">
        <f t="shared" si="52"/>
        <v>62.844796156233642</v>
      </c>
      <c r="P229" s="20">
        <f t="shared" si="53"/>
        <v>483.86332778385167</v>
      </c>
      <c r="Q229" s="16">
        <v>9.6999999999999993</v>
      </c>
      <c r="R229" s="46">
        <f t="shared" si="56"/>
        <v>1743.7022976372464</v>
      </c>
      <c r="S229" s="46">
        <f t="shared" si="54"/>
        <v>609.59452271546627</v>
      </c>
      <c r="T229" s="46">
        <f t="shared" si="55"/>
        <v>4693.4742795033608</v>
      </c>
      <c r="U229" s="16">
        <v>8</v>
      </c>
    </row>
    <row r="230" spans="1:35" s="16" customFormat="1" ht="13.5" customHeight="1" x14ac:dyDescent="0.25">
      <c r="A230" s="16">
        <v>227</v>
      </c>
      <c r="B230" s="16" t="s">
        <v>160</v>
      </c>
      <c r="C230" s="16">
        <v>2017</v>
      </c>
      <c r="D230" s="42" t="s">
        <v>45</v>
      </c>
      <c r="E230" s="142">
        <v>12</v>
      </c>
      <c r="F230" s="16" t="s">
        <v>18</v>
      </c>
      <c r="G230" s="16">
        <v>1000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25">
        <v>30959.729118353116</v>
      </c>
      <c r="N230" s="112">
        <f t="shared" si="57"/>
        <v>0</v>
      </c>
      <c r="O230" s="20">
        <f t="shared" si="52"/>
        <v>0</v>
      </c>
      <c r="P230" s="20">
        <f t="shared" si="53"/>
        <v>0</v>
      </c>
      <c r="Q230" s="16">
        <v>14</v>
      </c>
      <c r="R230" s="46">
        <f t="shared" si="56"/>
        <v>0</v>
      </c>
      <c r="S230" s="46">
        <f t="shared" si="54"/>
        <v>0</v>
      </c>
      <c r="T230" s="46">
        <f t="shared" si="55"/>
        <v>0</v>
      </c>
    </row>
    <row r="231" spans="1:35" s="16" customFormat="1" ht="13.5" customHeight="1" x14ac:dyDescent="0.25">
      <c r="A231" s="16">
        <v>228</v>
      </c>
      <c r="B231" s="16" t="s">
        <v>160</v>
      </c>
      <c r="C231" s="16">
        <v>2017</v>
      </c>
      <c r="D231" s="42" t="s">
        <v>45</v>
      </c>
      <c r="E231" s="142">
        <v>13</v>
      </c>
      <c r="F231" s="16" t="s">
        <v>19</v>
      </c>
      <c r="G231" s="16">
        <v>1000</v>
      </c>
      <c r="H231" s="16">
        <v>3.0344606100000001E-2</v>
      </c>
      <c r="I231" s="16">
        <v>2.80668718E-2</v>
      </c>
      <c r="J231" s="16">
        <v>7.4053458999999997E-3</v>
      </c>
      <c r="K231" s="16">
        <v>2.32772043E-2</v>
      </c>
      <c r="L231" s="16">
        <v>4.7894454199999999E-2</v>
      </c>
      <c r="M231" s="25">
        <v>5410.2633795388801</v>
      </c>
      <c r="N231" s="112">
        <f t="shared" si="57"/>
        <v>151.84916867775249</v>
      </c>
      <c r="O231" s="20">
        <f t="shared" si="52"/>
        <v>125.93580600233496</v>
      </c>
      <c r="P231" s="20">
        <f t="shared" si="53"/>
        <v>259.12161164126212</v>
      </c>
      <c r="Q231" s="16">
        <v>13</v>
      </c>
      <c r="R231" s="46">
        <f t="shared" si="56"/>
        <v>1974.0391928107824</v>
      </c>
      <c r="S231" s="46">
        <f t="shared" si="54"/>
        <v>1637.1654780303545</v>
      </c>
      <c r="T231" s="46">
        <f t="shared" si="55"/>
        <v>3368.5809513364075</v>
      </c>
      <c r="U231" s="16">
        <v>9</v>
      </c>
    </row>
    <row r="232" spans="1:35" s="16" customFormat="1" x14ac:dyDescent="0.25"/>
    <row r="233" spans="1:35" x14ac:dyDescent="0.25">
      <c r="A233">
        <v>159</v>
      </c>
      <c r="B233" t="s">
        <v>54</v>
      </c>
      <c r="C233">
        <v>1982</v>
      </c>
      <c r="D233" s="31" t="s">
        <v>45</v>
      </c>
      <c r="E233">
        <v>1</v>
      </c>
      <c r="F233" s="3" t="str">
        <f>VLOOKUP(E233,[1]Sheet1!$A$1:$B$21,2,FALSE)</f>
        <v>A</v>
      </c>
      <c r="G233">
        <v>0</v>
      </c>
      <c r="H233" s="1"/>
      <c r="I233" s="1"/>
      <c r="J233" s="1"/>
      <c r="K233" s="1"/>
      <c r="L233" s="1"/>
      <c r="M233" s="149"/>
      <c r="N233" s="112"/>
      <c r="O233" s="20"/>
      <c r="P233" s="20"/>
      <c r="Q233" s="16"/>
      <c r="R233" s="46"/>
      <c r="S233" s="46"/>
      <c r="T233" s="46"/>
      <c r="AC233" s="16"/>
      <c r="AD233" s="16"/>
      <c r="AE233" s="16"/>
      <c r="AF233" s="16"/>
      <c r="AG233" s="16"/>
      <c r="AH233" s="16"/>
      <c r="AI233" s="16"/>
    </row>
    <row r="234" spans="1:35" x14ac:dyDescent="0.25">
      <c r="A234">
        <v>160</v>
      </c>
      <c r="B234" t="s">
        <v>54</v>
      </c>
      <c r="C234">
        <v>1983</v>
      </c>
      <c r="D234" s="31" t="s">
        <v>45</v>
      </c>
      <c r="E234">
        <v>1</v>
      </c>
      <c r="F234" s="3" t="str">
        <f>VLOOKUP(E234,[1]Sheet1!$A$1:$B$21,2,FALSE)</f>
        <v>A</v>
      </c>
      <c r="G234">
        <v>0</v>
      </c>
      <c r="H234" s="1"/>
      <c r="I234" s="1"/>
      <c r="J234" s="1"/>
      <c r="K234" s="1"/>
      <c r="L234" s="1"/>
      <c r="N234" s="112"/>
      <c r="O234" s="20"/>
      <c r="P234" s="20"/>
      <c r="Q234" s="16"/>
      <c r="R234" s="46"/>
      <c r="S234" s="46"/>
      <c r="T234" s="46"/>
      <c r="W234"/>
      <c r="AC234" s="16"/>
      <c r="AD234" s="16"/>
      <c r="AE234" s="16"/>
      <c r="AF234" s="16"/>
      <c r="AG234" s="16"/>
      <c r="AH234" s="16"/>
      <c r="AI234" s="16"/>
    </row>
    <row r="235" spans="1:35" x14ac:dyDescent="0.25">
      <c r="A235">
        <v>161</v>
      </c>
      <c r="B235" t="s">
        <v>54</v>
      </c>
      <c r="C235">
        <v>1984</v>
      </c>
      <c r="D235" s="31" t="s">
        <v>45</v>
      </c>
      <c r="E235">
        <v>1</v>
      </c>
      <c r="F235" s="3" t="str">
        <f>VLOOKUP(E235,[1]Sheet1!$A$1:$B$21,2,FALSE)</f>
        <v>A</v>
      </c>
      <c r="G235">
        <v>0</v>
      </c>
      <c r="H235" s="1"/>
      <c r="I235" s="1"/>
      <c r="W235"/>
      <c r="AC235" s="16"/>
      <c r="AD235" s="16"/>
      <c r="AE235" s="16"/>
      <c r="AF235" s="16"/>
      <c r="AG235" s="16"/>
      <c r="AH235" s="16"/>
      <c r="AI235" s="16"/>
    </row>
    <row r="236" spans="1:35" x14ac:dyDescent="0.25">
      <c r="A236">
        <v>162</v>
      </c>
      <c r="B236" t="s">
        <v>54</v>
      </c>
      <c r="C236">
        <v>1985</v>
      </c>
      <c r="D236" s="31" t="s">
        <v>45</v>
      </c>
      <c r="E236">
        <v>1</v>
      </c>
      <c r="F236" s="3" t="str">
        <f>VLOOKUP(E236,[1]Sheet1!$A$1:$B$21,2,FALSE)</f>
        <v>A</v>
      </c>
      <c r="G236">
        <v>0</v>
      </c>
      <c r="H236" s="1"/>
      <c r="I236" s="1"/>
      <c r="AC236" s="16"/>
      <c r="AD236" s="16"/>
      <c r="AE236" s="16"/>
      <c r="AF236" s="16"/>
      <c r="AG236" s="16"/>
      <c r="AH236" s="16"/>
      <c r="AI236" s="16"/>
    </row>
    <row r="237" spans="1:35" x14ac:dyDescent="0.25">
      <c r="A237">
        <v>163</v>
      </c>
      <c r="B237" t="s">
        <v>54</v>
      </c>
      <c r="C237">
        <v>1986</v>
      </c>
      <c r="D237" s="31" t="s">
        <v>45</v>
      </c>
      <c r="E237">
        <v>1</v>
      </c>
      <c r="F237" s="3" t="str">
        <f>VLOOKUP(E237,[1]Sheet1!$A$1:$B$21,2,FALSE)</f>
        <v>A</v>
      </c>
      <c r="G237">
        <v>0</v>
      </c>
      <c r="H237" s="1"/>
      <c r="I237" s="1"/>
      <c r="AC237" s="16"/>
      <c r="AD237" s="16"/>
      <c r="AE237" s="16"/>
      <c r="AF237" s="16"/>
      <c r="AG237" s="16"/>
      <c r="AH237" s="16"/>
      <c r="AI237" s="16"/>
    </row>
    <row r="238" spans="1:35" x14ac:dyDescent="0.25">
      <c r="A238">
        <v>164</v>
      </c>
      <c r="B238" t="s">
        <v>54</v>
      </c>
      <c r="C238">
        <v>1987</v>
      </c>
      <c r="D238" s="31" t="s">
        <v>45</v>
      </c>
      <c r="E238">
        <v>1</v>
      </c>
      <c r="F238" s="3" t="str">
        <f>VLOOKUP(E238,[1]Sheet1!$A$1:$B$21,2,FALSE)</f>
        <v>A</v>
      </c>
      <c r="G238">
        <v>0</v>
      </c>
      <c r="H238" s="1"/>
      <c r="I238" s="1"/>
      <c r="J238" s="1">
        <v>2.0659541468580837E-2</v>
      </c>
      <c r="K238" s="1">
        <v>4.7178880106577906E-3</v>
      </c>
      <c r="L238" s="1">
        <v>6.5055055868335182E-2</v>
      </c>
      <c r="M238" s="9">
        <v>11555.924996488471</v>
      </c>
      <c r="N238" s="112">
        <f t="shared" ref="N238:N245" si="58">$M238*I246</f>
        <v>228.75260750677825</v>
      </c>
      <c r="O238" s="20">
        <f t="shared" ref="O238:P245" si="59">$M238*K238</f>
        <v>54.519559992993628</v>
      </c>
      <c r="P238" s="20">
        <f t="shared" si="59"/>
        <v>751.77134625684857</v>
      </c>
      <c r="AC238" s="16"/>
      <c r="AD238" s="16"/>
      <c r="AE238" s="16"/>
      <c r="AF238" s="16"/>
      <c r="AG238" s="16"/>
      <c r="AH238" s="16"/>
      <c r="AI238" s="16"/>
    </row>
    <row r="239" spans="1:35" x14ac:dyDescent="0.25">
      <c r="A239">
        <v>165</v>
      </c>
      <c r="B239" t="s">
        <v>54</v>
      </c>
      <c r="C239">
        <v>1993</v>
      </c>
      <c r="D239" s="31" t="s">
        <v>45</v>
      </c>
      <c r="E239">
        <v>1</v>
      </c>
      <c r="F239" s="3" t="str">
        <f>VLOOKUP(E239,[1]Sheet1!$A$1:$B$21,2,FALSE)</f>
        <v>A</v>
      </c>
      <c r="G239">
        <v>0</v>
      </c>
      <c r="H239" s="1"/>
      <c r="I239" s="1"/>
      <c r="J239" s="1">
        <v>5.2060978845828297E-2</v>
      </c>
      <c r="K239" s="1">
        <v>0.1014460110706068</v>
      </c>
      <c r="L239" s="1">
        <v>0.26620979235988335</v>
      </c>
      <c r="M239" s="9">
        <v>8875.6810357629201</v>
      </c>
      <c r="N239" s="112">
        <f t="shared" si="58"/>
        <v>1282.1411139078955</v>
      </c>
      <c r="O239" s="20">
        <f t="shared" si="59"/>
        <v>900.40243661318004</v>
      </c>
      <c r="P239" s="20">
        <f t="shared" si="59"/>
        <v>2362.7932055830015</v>
      </c>
      <c r="AC239" s="16"/>
      <c r="AD239" s="16"/>
      <c r="AE239" s="16"/>
      <c r="AF239" s="16"/>
      <c r="AG239" s="16"/>
      <c r="AH239" s="16"/>
      <c r="AI239" s="16"/>
    </row>
    <row r="240" spans="1:35" x14ac:dyDescent="0.25">
      <c r="A240">
        <v>166</v>
      </c>
      <c r="B240" t="s">
        <v>54</v>
      </c>
      <c r="C240">
        <v>1994</v>
      </c>
      <c r="D240" s="31" t="s">
        <v>45</v>
      </c>
      <c r="E240">
        <v>1</v>
      </c>
      <c r="F240" s="3" t="str">
        <f>VLOOKUP(E240,[1]Sheet1!$A$1:$B$21,2,FALSE)</f>
        <v>A</v>
      </c>
      <c r="G240">
        <v>0</v>
      </c>
      <c r="H240" s="1"/>
      <c r="I240" s="1"/>
      <c r="J240" s="1">
        <v>1.6765383420464956E-2</v>
      </c>
      <c r="K240" s="1">
        <v>9.6101188376806049E-2</v>
      </c>
      <c r="L240" s="1">
        <v>0.15017854546024184</v>
      </c>
      <c r="M240" s="9">
        <v>12042.09009683687</v>
      </c>
      <c r="N240" s="112">
        <f t="shared" si="58"/>
        <v>1376.5139733700994</v>
      </c>
      <c r="O240" s="20">
        <f t="shared" si="59"/>
        <v>1157.2591688465907</v>
      </c>
      <c r="P240" s="20">
        <f t="shared" si="59"/>
        <v>1808.4635750441439</v>
      </c>
      <c r="AC240" s="16"/>
      <c r="AD240" s="16"/>
      <c r="AE240" s="16"/>
      <c r="AF240" s="16"/>
      <c r="AG240" s="16"/>
      <c r="AH240" s="16"/>
      <c r="AI240" s="16"/>
    </row>
    <row r="241" spans="1:35" x14ac:dyDescent="0.25">
      <c r="A241">
        <v>167</v>
      </c>
      <c r="B241" t="s">
        <v>54</v>
      </c>
      <c r="C241">
        <v>1995</v>
      </c>
      <c r="D241" s="31" t="s">
        <v>45</v>
      </c>
      <c r="E241">
        <v>1</v>
      </c>
      <c r="F241" s="3" t="str">
        <f>VLOOKUP(E241,[1]Sheet1!$A$1:$B$21,2,FALSE)</f>
        <v>A</v>
      </c>
      <c r="G241">
        <v>0</v>
      </c>
      <c r="H241" s="1"/>
      <c r="I241" s="1"/>
      <c r="J241" s="1">
        <v>2.4331143784306057E-2</v>
      </c>
      <c r="K241" s="1">
        <v>9.2491620858012102E-2</v>
      </c>
      <c r="L241" s="1">
        <v>0.16888170603757821</v>
      </c>
      <c r="M241" s="25">
        <v>5307</v>
      </c>
      <c r="N241" s="112">
        <f t="shared" si="58"/>
        <v>665.74680473000421</v>
      </c>
      <c r="O241" s="20">
        <f t="shared" si="59"/>
        <v>490.85303189347024</v>
      </c>
      <c r="P241" s="20">
        <f t="shared" si="59"/>
        <v>896.25521394142754</v>
      </c>
      <c r="AC241" s="16"/>
      <c r="AD241" s="16"/>
      <c r="AE241" s="16"/>
      <c r="AF241" s="16"/>
      <c r="AG241" s="16"/>
      <c r="AH241" s="16"/>
      <c r="AI241" s="16"/>
    </row>
    <row r="242" spans="1:35" x14ac:dyDescent="0.25">
      <c r="A242">
        <v>168</v>
      </c>
      <c r="B242" t="s">
        <v>54</v>
      </c>
      <c r="C242">
        <v>1997</v>
      </c>
      <c r="D242" s="31" t="s">
        <v>45</v>
      </c>
      <c r="E242">
        <v>1</v>
      </c>
      <c r="F242" s="3" t="str">
        <f>VLOOKUP(E242,[1]Sheet1!$A$1:$B$21,2,FALSE)</f>
        <v>A</v>
      </c>
      <c r="G242">
        <v>0</v>
      </c>
      <c r="H242" s="1"/>
      <c r="I242" s="1"/>
      <c r="J242" s="1">
        <v>1.5153401336404516E-2</v>
      </c>
      <c r="K242" s="1">
        <v>5.6414204723389486E-3</v>
      </c>
      <c r="L242" s="1">
        <v>5.3731114058786451E-2</v>
      </c>
      <c r="M242" s="25">
        <v>1653</v>
      </c>
      <c r="N242" s="112">
        <f t="shared" si="58"/>
        <v>24.588933631649798</v>
      </c>
      <c r="O242" s="20">
        <f t="shared" si="59"/>
        <v>9.3252680407762814</v>
      </c>
      <c r="P242" s="20">
        <f t="shared" si="59"/>
        <v>88.817531539173999</v>
      </c>
      <c r="AC242" s="16"/>
      <c r="AD242" s="16"/>
      <c r="AE242" s="16"/>
      <c r="AF242" s="16"/>
      <c r="AG242" s="16"/>
      <c r="AH242" s="16"/>
      <c r="AI242" s="16"/>
    </row>
    <row r="243" spans="1:35" x14ac:dyDescent="0.25">
      <c r="A243">
        <v>169</v>
      </c>
      <c r="B243" t="s">
        <v>54</v>
      </c>
      <c r="C243">
        <v>1998</v>
      </c>
      <c r="D243" s="31" t="s">
        <v>45</v>
      </c>
      <c r="E243">
        <v>1</v>
      </c>
      <c r="F243" s="3" t="str">
        <f>VLOOKUP(E243,[1]Sheet1!$A$1:$B$21,2,FALSE)</f>
        <v>A</v>
      </c>
      <c r="G243">
        <v>0</v>
      </c>
      <c r="H243" s="1"/>
      <c r="I243" s="1"/>
      <c r="J243" s="1">
        <v>1.2855689359417289E-2</v>
      </c>
      <c r="K243" s="1">
        <v>1.1741208753605072E-3</v>
      </c>
      <c r="L243" s="1">
        <v>4.0616915340206582E-2</v>
      </c>
      <c r="M243" s="9">
        <v>14985.197005970756</v>
      </c>
      <c r="N243" s="112">
        <f t="shared" si="58"/>
        <v>28.627750767494781</v>
      </c>
      <c r="O243" s="20">
        <f t="shared" si="59"/>
        <v>17.594432626100037</v>
      </c>
      <c r="P243" s="20">
        <f t="shared" si="59"/>
        <v>608.6524781478314</v>
      </c>
      <c r="AC243" s="16"/>
      <c r="AD243" s="16"/>
      <c r="AE243" s="16"/>
      <c r="AF243" s="16"/>
      <c r="AG243" s="16"/>
      <c r="AH243" s="16"/>
      <c r="AI243" s="16"/>
    </row>
    <row r="244" spans="1:35" x14ac:dyDescent="0.25">
      <c r="A244">
        <v>170</v>
      </c>
      <c r="B244" t="s">
        <v>54</v>
      </c>
      <c r="C244">
        <v>2006</v>
      </c>
      <c r="D244" s="31" t="s">
        <v>45</v>
      </c>
      <c r="E244">
        <v>1</v>
      </c>
      <c r="F244" s="3" t="s">
        <v>7</v>
      </c>
      <c r="G244">
        <v>0</v>
      </c>
      <c r="H244" s="1"/>
      <c r="I244" s="1"/>
      <c r="J244" s="1">
        <v>0.22315869411275599</v>
      </c>
      <c r="K244" s="1">
        <v>0.15519293052151492</v>
      </c>
      <c r="L244" s="1">
        <v>0.84253671929275309</v>
      </c>
      <c r="M244" s="9">
        <v>7110.1259590049967</v>
      </c>
      <c r="N244" s="112">
        <f t="shared" si="58"/>
        <v>1642.7026379079352</v>
      </c>
      <c r="O244" s="20">
        <f t="shared" si="59"/>
        <v>1103.4412839550821</v>
      </c>
      <c r="P244" s="20">
        <f t="shared" si="59"/>
        <v>5990.5421992583097</v>
      </c>
      <c r="AC244" s="16"/>
      <c r="AD244" s="16"/>
      <c r="AE244" s="16"/>
      <c r="AF244" s="16"/>
      <c r="AG244" s="16"/>
      <c r="AH244" s="16"/>
      <c r="AI244" s="16"/>
    </row>
    <row r="245" spans="1:35" x14ac:dyDescent="0.25">
      <c r="H245" s="1"/>
      <c r="I245" s="1"/>
      <c r="J245" s="1">
        <v>1.0428730891431775E-2</v>
      </c>
      <c r="K245" s="1">
        <v>5.9397484254492393E-2</v>
      </c>
      <c r="L245" s="1">
        <v>9.2445765212229442E-2</v>
      </c>
      <c r="M245" s="9">
        <v>11841.968099077438</v>
      </c>
      <c r="N245" s="112">
        <f t="shared" si="58"/>
        <v>864.91184279883601</v>
      </c>
      <c r="O245" s="20">
        <f t="shared" si="59"/>
        <v>703.38311370715337</v>
      </c>
      <c r="P245" s="20">
        <f t="shared" si="59"/>
        <v>1094.7398025380237</v>
      </c>
      <c r="AC245" s="16"/>
      <c r="AD245" s="16"/>
      <c r="AE245" s="16"/>
      <c r="AF245" s="16"/>
      <c r="AG245" s="16"/>
      <c r="AH245" s="16"/>
      <c r="AI245" s="16"/>
    </row>
    <row r="246" spans="1:35" x14ac:dyDescent="0.25">
      <c r="A246">
        <v>158</v>
      </c>
      <c r="B246" t="s">
        <v>86</v>
      </c>
      <c r="C246" s="1">
        <v>2003</v>
      </c>
      <c r="D246" s="32" t="s">
        <v>46</v>
      </c>
      <c r="E246" s="1">
        <v>2</v>
      </c>
      <c r="F246" s="4" t="s">
        <v>8</v>
      </c>
      <c r="G246" s="1">
        <v>1000</v>
      </c>
      <c r="H246" s="1">
        <v>2.5787502508858202E-2</v>
      </c>
      <c r="I246" s="1">
        <v>1.979526585507347E-2</v>
      </c>
      <c r="AC246" s="16"/>
      <c r="AD246" s="16"/>
      <c r="AE246" s="16"/>
      <c r="AF246" s="16"/>
      <c r="AG246" s="16"/>
      <c r="AH246" s="16"/>
      <c r="AI246" s="16"/>
    </row>
    <row r="247" spans="1:35" x14ac:dyDescent="0.25">
      <c r="A247">
        <v>159</v>
      </c>
      <c r="B247" t="s">
        <v>86</v>
      </c>
      <c r="C247" s="1">
        <v>2003</v>
      </c>
      <c r="D247" s="32" t="s">
        <v>46</v>
      </c>
      <c r="E247" s="1">
        <v>3</v>
      </c>
      <c r="F247" s="4" t="s">
        <v>9</v>
      </c>
      <c r="G247" s="1">
        <v>1000</v>
      </c>
      <c r="H247" s="1">
        <v>0.15877723249879064</v>
      </c>
      <c r="I247" s="1">
        <v>0.14445551938400494</v>
      </c>
    </row>
    <row r="248" spans="1:35" x14ac:dyDescent="0.25">
      <c r="A248">
        <v>160</v>
      </c>
      <c r="B248" t="s">
        <v>86</v>
      </c>
      <c r="C248" s="1">
        <v>2003</v>
      </c>
      <c r="D248" s="32" t="s">
        <v>46</v>
      </c>
      <c r="E248" s="1">
        <v>5</v>
      </c>
      <c r="F248" s="4" t="s">
        <v>11</v>
      </c>
      <c r="G248" s="1">
        <v>1000</v>
      </c>
      <c r="H248" s="1">
        <v>0.11717017863236245</v>
      </c>
      <c r="I248" s="1">
        <v>0.11430855958565468</v>
      </c>
      <c r="AC248" s="16"/>
      <c r="AD248" s="16"/>
      <c r="AE248" s="16"/>
      <c r="AF248" s="16"/>
      <c r="AG248" s="16"/>
      <c r="AH248" s="16"/>
      <c r="AI248" s="16"/>
    </row>
    <row r="249" spans="1:35" x14ac:dyDescent="0.25">
      <c r="A249">
        <v>161</v>
      </c>
      <c r="B249" t="s">
        <v>86</v>
      </c>
      <c r="C249" s="1">
        <v>2003</v>
      </c>
      <c r="D249" s="32" t="s">
        <v>46</v>
      </c>
      <c r="E249" s="1">
        <v>6</v>
      </c>
      <c r="F249" s="4" t="s">
        <v>12</v>
      </c>
      <c r="G249" s="1">
        <v>1000</v>
      </c>
      <c r="H249" s="1">
        <v>0.12798107385830146</v>
      </c>
      <c r="I249" s="1">
        <v>0.12544692005464561</v>
      </c>
      <c r="AC249" s="16"/>
      <c r="AD249" s="16"/>
      <c r="AE249" s="16"/>
      <c r="AF249" s="16"/>
      <c r="AG249" s="16"/>
      <c r="AH249" s="16"/>
      <c r="AI249" s="16"/>
    </row>
    <row r="250" spans="1:35" x14ac:dyDescent="0.25">
      <c r="A250">
        <v>162</v>
      </c>
      <c r="B250" t="s">
        <v>86</v>
      </c>
      <c r="C250" s="1">
        <v>2003</v>
      </c>
      <c r="D250" s="32" t="s">
        <v>46</v>
      </c>
      <c r="E250" s="1">
        <v>7</v>
      </c>
      <c r="F250" s="4" t="s">
        <v>13</v>
      </c>
      <c r="G250" s="1">
        <v>1000</v>
      </c>
      <c r="H250" s="1">
        <v>1.9076342729105588E-2</v>
      </c>
      <c r="I250" s="1">
        <v>1.4875337950181367E-2</v>
      </c>
      <c r="AC250" s="16"/>
      <c r="AD250" s="16"/>
      <c r="AE250" s="16"/>
      <c r="AF250" s="16"/>
      <c r="AG250" s="16"/>
      <c r="AH250" s="16"/>
      <c r="AI250" s="16"/>
    </row>
    <row r="251" spans="1:35" x14ac:dyDescent="0.25">
      <c r="A251">
        <v>163</v>
      </c>
      <c r="B251" t="s">
        <v>86</v>
      </c>
      <c r="C251" s="1">
        <v>2003</v>
      </c>
      <c r="D251" s="32" t="s">
        <v>46</v>
      </c>
      <c r="E251" s="1">
        <v>8</v>
      </c>
      <c r="F251" s="4" t="s">
        <v>14</v>
      </c>
      <c r="G251" s="1">
        <v>1000</v>
      </c>
      <c r="H251" s="1">
        <v>8.0216231868086851E-3</v>
      </c>
      <c r="I251" s="1">
        <v>1.9104020291550545E-3</v>
      </c>
      <c r="AC251" s="16"/>
      <c r="AD251" s="16"/>
      <c r="AE251" s="16"/>
      <c r="AF251" s="16"/>
      <c r="AG251" s="16"/>
      <c r="AH251" s="16"/>
      <c r="AI251" s="16"/>
    </row>
    <row r="252" spans="1:35" x14ac:dyDescent="0.25">
      <c r="A252">
        <v>164</v>
      </c>
      <c r="B252" t="s">
        <v>86</v>
      </c>
      <c r="C252" s="1">
        <v>2003</v>
      </c>
      <c r="D252" s="32" t="s">
        <v>46</v>
      </c>
      <c r="E252" s="1">
        <v>9</v>
      </c>
      <c r="F252" s="4" t="s">
        <v>15</v>
      </c>
      <c r="G252" s="1">
        <v>1000</v>
      </c>
      <c r="H252" s="1">
        <v>0.33088667571859781</v>
      </c>
      <c r="I252" s="1">
        <v>0.23103706564121373</v>
      </c>
      <c r="AC252" s="16"/>
      <c r="AD252" s="16"/>
      <c r="AE252" s="16"/>
      <c r="AF252" s="16"/>
      <c r="AG252" s="16"/>
      <c r="AH252" s="16"/>
      <c r="AI252" s="16"/>
    </row>
    <row r="253" spans="1:35" x14ac:dyDescent="0.25">
      <c r="A253">
        <v>165</v>
      </c>
      <c r="B253" t="s">
        <v>86</v>
      </c>
      <c r="C253" s="1">
        <v>2003</v>
      </c>
      <c r="D253" s="32" t="s">
        <v>46</v>
      </c>
      <c r="E253" s="1">
        <v>10</v>
      </c>
      <c r="F253" s="4" t="s">
        <v>16</v>
      </c>
      <c r="G253" s="1">
        <v>1000</v>
      </c>
      <c r="H253" s="1">
        <v>7.4592108884604588E-2</v>
      </c>
      <c r="I253" s="1">
        <v>7.3037846037283111E-2</v>
      </c>
      <c r="AC253" s="16"/>
      <c r="AD253" s="16"/>
      <c r="AE253" s="16"/>
      <c r="AF253" s="16"/>
      <c r="AG253" s="16"/>
      <c r="AH253" s="16"/>
      <c r="AI253" s="16"/>
    </row>
    <row r="254" spans="1:35" x14ac:dyDescent="0.25">
      <c r="H254" s="1"/>
      <c r="I254" s="1"/>
      <c r="AC254" s="16"/>
      <c r="AD254" s="16"/>
      <c r="AE254" s="16"/>
      <c r="AF254" s="16"/>
      <c r="AG254" s="16"/>
      <c r="AH254" s="16"/>
      <c r="AI254" s="16"/>
    </row>
    <row r="255" spans="1:35" x14ac:dyDescent="0.25">
      <c r="AC255" s="16"/>
      <c r="AD255" s="16"/>
      <c r="AE255" s="16"/>
      <c r="AF255" s="16"/>
      <c r="AG255" s="16"/>
      <c r="AH255" s="16"/>
      <c r="AI255" s="16"/>
    </row>
    <row r="256" spans="1:35" x14ac:dyDescent="0.25">
      <c r="AC256" s="16"/>
      <c r="AD256" s="16"/>
      <c r="AE256" s="16"/>
      <c r="AF256" s="16"/>
      <c r="AG256" s="16"/>
      <c r="AH256" s="16"/>
      <c r="AI256" s="16"/>
    </row>
    <row r="257" spans="29:35" x14ac:dyDescent="0.25">
      <c r="AC257" s="16"/>
      <c r="AD257" s="16"/>
      <c r="AE257" s="16"/>
      <c r="AF257" s="16"/>
      <c r="AG257" s="16"/>
      <c r="AH257" s="16"/>
      <c r="AI257" s="16"/>
    </row>
    <row r="258" spans="29:35" x14ac:dyDescent="0.25">
      <c r="AC258" s="16"/>
      <c r="AD258" s="16"/>
      <c r="AE258" s="16"/>
      <c r="AF258" s="16"/>
      <c r="AG258" s="16"/>
      <c r="AH258" s="16"/>
      <c r="AI258" s="16"/>
    </row>
    <row r="259" spans="29:35" x14ac:dyDescent="0.25">
      <c r="AC259" s="16"/>
      <c r="AD259" s="16"/>
      <c r="AE259" s="16"/>
      <c r="AF259" s="16"/>
      <c r="AG259" s="16"/>
      <c r="AH259" s="16"/>
      <c r="AI259" s="16"/>
    </row>
    <row r="260" spans="29:35" x14ac:dyDescent="0.25">
      <c r="AC260" s="16"/>
      <c r="AD260" s="16"/>
      <c r="AE260" s="16"/>
      <c r="AF260" s="16"/>
      <c r="AG260" s="16"/>
      <c r="AH260" s="16"/>
      <c r="AI260" s="16"/>
    </row>
    <row r="261" spans="29:35" x14ac:dyDescent="0.25">
      <c r="AC261" s="16"/>
      <c r="AD261" s="16"/>
      <c r="AE261" s="16"/>
      <c r="AF261" s="16"/>
      <c r="AG261" s="16"/>
      <c r="AH261" s="16"/>
      <c r="AI261" s="16"/>
    </row>
    <row r="262" spans="29:35" x14ac:dyDescent="0.25">
      <c r="AC262" s="16"/>
      <c r="AD262" s="16"/>
      <c r="AE262" s="16"/>
      <c r="AF262" s="16"/>
      <c r="AG262" s="16"/>
      <c r="AH262" s="16"/>
      <c r="AI262" s="16"/>
    </row>
    <row r="263" spans="29:35" x14ac:dyDescent="0.25">
      <c r="AC263" s="16"/>
      <c r="AD263" s="16"/>
      <c r="AE263" s="16"/>
      <c r="AF263" s="16"/>
      <c r="AG263" s="16"/>
      <c r="AH263" s="16"/>
      <c r="AI263" s="16"/>
    </row>
    <row r="264" spans="29:35" x14ac:dyDescent="0.25">
      <c r="AC264" s="16"/>
      <c r="AD264" s="16"/>
      <c r="AE264" s="16"/>
      <c r="AF264" s="16"/>
      <c r="AG264" s="16"/>
      <c r="AH264" s="16"/>
      <c r="AI264" s="16"/>
    </row>
    <row r="265" spans="29:35" x14ac:dyDescent="0.25">
      <c r="AC265" s="16"/>
      <c r="AD265" s="16"/>
      <c r="AE265" s="16"/>
      <c r="AF265" s="16"/>
      <c r="AG265" s="16"/>
      <c r="AH265" s="16"/>
      <c r="AI265" s="16"/>
    </row>
  </sheetData>
  <phoneticPr fontId="10" type="noConversion"/>
  <printOptions headings="1" gridLines="1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workbookViewId="0">
      <selection activeCell="P4" sqref="P4"/>
    </sheetView>
  </sheetViews>
  <sheetFormatPr defaultRowHeight="12.6" x14ac:dyDescent="0.25"/>
  <cols>
    <col min="1" max="1" width="25.5546875" bestFit="1" customWidth="1"/>
    <col min="2" max="13" width="13.88671875" bestFit="1" customWidth="1"/>
    <col min="14" max="14" width="12" customWidth="1"/>
    <col min="15" max="15" width="12" bestFit="1" customWidth="1"/>
  </cols>
  <sheetData>
    <row r="2" spans="1:16" x14ac:dyDescent="0.25">
      <c r="A2" s="34" t="s">
        <v>75</v>
      </c>
      <c r="B2" s="34" t="s">
        <v>20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1:16" x14ac:dyDescent="0.25">
      <c r="A3" s="34" t="s">
        <v>21</v>
      </c>
      <c r="B3" s="5" t="s">
        <v>7</v>
      </c>
      <c r="C3" s="7" t="s">
        <v>8</v>
      </c>
      <c r="D3" s="7" t="s">
        <v>9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19</v>
      </c>
      <c r="L3" s="7" t="s">
        <v>17</v>
      </c>
      <c r="M3" s="7" t="s">
        <v>18</v>
      </c>
      <c r="N3" s="66" t="s">
        <v>28</v>
      </c>
      <c r="O3" s="136" t="s">
        <v>151</v>
      </c>
      <c r="P3" s="136" t="s">
        <v>152</v>
      </c>
    </row>
    <row r="4" spans="1:16" x14ac:dyDescent="0.25">
      <c r="A4" s="5">
        <v>1982</v>
      </c>
      <c r="B4" s="97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114"/>
    </row>
    <row r="5" spans="1:16" x14ac:dyDescent="0.25">
      <c r="A5" s="6">
        <v>1983</v>
      </c>
      <c r="B5" s="9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5"/>
    </row>
    <row r="6" spans="1:16" x14ac:dyDescent="0.25">
      <c r="A6" s="6">
        <v>1984</v>
      </c>
      <c r="B6" s="9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5"/>
    </row>
    <row r="7" spans="1:16" x14ac:dyDescent="0.25">
      <c r="A7" s="6">
        <v>1985</v>
      </c>
      <c r="B7" s="9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5"/>
    </row>
    <row r="8" spans="1:16" x14ac:dyDescent="0.25">
      <c r="A8" s="6">
        <v>1986</v>
      </c>
      <c r="B8" s="9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5"/>
    </row>
    <row r="9" spans="1:16" x14ac:dyDescent="0.25">
      <c r="A9" s="6">
        <v>1987</v>
      </c>
      <c r="B9" s="9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5"/>
    </row>
    <row r="10" spans="1:16" x14ac:dyDescent="0.25">
      <c r="A10" s="6">
        <v>1993</v>
      </c>
      <c r="B10" s="9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5"/>
    </row>
    <row r="11" spans="1:16" x14ac:dyDescent="0.25">
      <c r="A11" s="6">
        <v>1994</v>
      </c>
      <c r="B11" s="9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5"/>
    </row>
    <row r="12" spans="1:16" x14ac:dyDescent="0.25">
      <c r="A12" s="6">
        <v>1995</v>
      </c>
      <c r="B12" s="9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5"/>
    </row>
    <row r="13" spans="1:16" x14ac:dyDescent="0.25">
      <c r="A13" s="6">
        <v>1997</v>
      </c>
      <c r="B13" s="9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5"/>
    </row>
    <row r="14" spans="1:16" x14ac:dyDescent="0.25">
      <c r="A14" s="6">
        <v>1998</v>
      </c>
      <c r="B14" s="9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5"/>
      <c r="O14" s="97"/>
    </row>
    <row r="15" spans="1:16" x14ac:dyDescent="0.25">
      <c r="A15" s="6">
        <v>2000</v>
      </c>
      <c r="B15" s="99">
        <v>5129.3127797896541</v>
      </c>
      <c r="C15" s="10">
        <v>12.162238306044975</v>
      </c>
      <c r="D15" s="10">
        <v>2569.1273408701422</v>
      </c>
      <c r="E15" s="10">
        <v>115.10309540117434</v>
      </c>
      <c r="F15" s="10">
        <v>153.11944289122675</v>
      </c>
      <c r="G15" s="10"/>
      <c r="H15" s="10"/>
      <c r="I15" s="10"/>
      <c r="J15" s="10"/>
      <c r="K15" s="10"/>
      <c r="L15" s="10"/>
      <c r="M15" s="10"/>
      <c r="N15" s="115">
        <v>7978.8248972582423</v>
      </c>
      <c r="O15" s="99">
        <v>10931.251918463706</v>
      </c>
      <c r="P15" s="10">
        <v>7978.8248972582423</v>
      </c>
    </row>
    <row r="16" spans="1:16" x14ac:dyDescent="0.25">
      <c r="A16" s="6">
        <v>2001</v>
      </c>
      <c r="B16" s="99">
        <v>85.770412946278668</v>
      </c>
      <c r="C16" s="10">
        <v>177.60347885889644</v>
      </c>
      <c r="D16" s="10">
        <v>5525.1367667564537</v>
      </c>
      <c r="E16" s="10">
        <v>965.10122504355377</v>
      </c>
      <c r="F16" s="10">
        <v>130.80337713166534</v>
      </c>
      <c r="G16" s="10">
        <v>32.302887853733111</v>
      </c>
      <c r="H16" s="10">
        <v>394.86163513937208</v>
      </c>
      <c r="I16" s="10">
        <v>313.37679707383757</v>
      </c>
      <c r="J16" s="10">
        <v>1570.323780461669</v>
      </c>
      <c r="K16" s="10">
        <v>938.79278079605024</v>
      </c>
      <c r="L16" s="10"/>
      <c r="M16" s="10"/>
      <c r="N16" s="115">
        <v>10134.073142061508</v>
      </c>
      <c r="O16" s="99">
        <v>10721.631765836084</v>
      </c>
      <c r="P16" s="10">
        <v>10134.073142061508</v>
      </c>
    </row>
    <row r="17" spans="1:16" x14ac:dyDescent="0.25">
      <c r="A17" s="6">
        <v>2002</v>
      </c>
      <c r="B17" s="99">
        <v>122.48394126294136</v>
      </c>
      <c r="C17" s="10">
        <v>181.80345059906628</v>
      </c>
      <c r="D17" s="10">
        <v>1365.251816883113</v>
      </c>
      <c r="E17" s="10">
        <v>1157.0614567008809</v>
      </c>
      <c r="F17" s="10">
        <v>375.83712427140989</v>
      </c>
      <c r="G17" s="10">
        <v>141.09376663581864</v>
      </c>
      <c r="H17" s="10">
        <v>422.60547890298471</v>
      </c>
      <c r="I17" s="10">
        <v>466.18053487845435</v>
      </c>
      <c r="J17" s="10">
        <v>1908.7286355527667</v>
      </c>
      <c r="K17" s="10">
        <v>138.31075218221048</v>
      </c>
      <c r="L17" s="10"/>
      <c r="M17" s="10"/>
      <c r="N17" s="115">
        <v>6279.3569578696461</v>
      </c>
      <c r="O17" s="99">
        <v>6325.1097943053201</v>
      </c>
      <c r="P17" s="10">
        <v>6279.3569578696461</v>
      </c>
    </row>
    <row r="18" spans="1:16" x14ac:dyDescent="0.25">
      <c r="A18" s="6">
        <v>2003</v>
      </c>
      <c r="B18" s="99"/>
      <c r="C18" s="10">
        <v>1889.2115789884731</v>
      </c>
      <c r="D18" s="10">
        <v>4314.0141159167852</v>
      </c>
      <c r="E18" s="10">
        <v>1107.1952180114811</v>
      </c>
      <c r="F18" s="10">
        <v>548.03636677266411</v>
      </c>
      <c r="G18" s="10">
        <v>107.25011646900163</v>
      </c>
      <c r="H18" s="10">
        <v>387.63953140397888</v>
      </c>
      <c r="I18" s="10">
        <v>273.67245504337927</v>
      </c>
      <c r="J18" s="10">
        <v>693.57255450953221</v>
      </c>
      <c r="K18" s="10">
        <v>0</v>
      </c>
      <c r="L18" s="10"/>
      <c r="M18" s="10"/>
      <c r="N18" s="115">
        <v>9320.5919371152959</v>
      </c>
      <c r="O18" s="99">
        <v>9320.5919371152959</v>
      </c>
      <c r="P18" s="10">
        <v>9320.5919371152959</v>
      </c>
    </row>
    <row r="19" spans="1:16" x14ac:dyDescent="0.25">
      <c r="A19" s="6">
        <v>2004</v>
      </c>
      <c r="B19" s="99">
        <v>79.770634857984831</v>
      </c>
      <c r="C19" s="10">
        <v>2257.7341864009099</v>
      </c>
      <c r="D19" s="10">
        <v>5279.7265030920853</v>
      </c>
      <c r="E19" s="10">
        <v>877.31000449380667</v>
      </c>
      <c r="F19" s="10">
        <v>1576.164182827071</v>
      </c>
      <c r="G19" s="10">
        <v>37.197527927875726</v>
      </c>
      <c r="H19" s="10">
        <v>138.68502871898878</v>
      </c>
      <c r="I19" s="10">
        <v>280.90476823350519</v>
      </c>
      <c r="J19" s="10">
        <v>615.31770923013846</v>
      </c>
      <c r="K19" s="10">
        <v>77.02793688793291</v>
      </c>
      <c r="L19" s="10"/>
      <c r="M19" s="10"/>
      <c r="N19" s="115">
        <v>11219.838482670299</v>
      </c>
      <c r="O19" s="99">
        <v>11712.290585401028</v>
      </c>
      <c r="P19" s="10">
        <v>11219.838482670299</v>
      </c>
    </row>
    <row r="20" spans="1:16" x14ac:dyDescent="0.25">
      <c r="A20" s="6">
        <v>2005</v>
      </c>
      <c r="B20" s="99">
        <v>1404.466316085668</v>
      </c>
      <c r="C20" s="10">
        <v>18.16853130610782</v>
      </c>
      <c r="D20" s="10">
        <v>1709.9737391250221</v>
      </c>
      <c r="E20" s="10">
        <v>2460.1173965630737</v>
      </c>
      <c r="F20" s="10">
        <v>424.62750096707128</v>
      </c>
      <c r="G20" s="10">
        <v>69.426176978737288</v>
      </c>
      <c r="H20" s="10">
        <v>43.168959681576084</v>
      </c>
      <c r="I20" s="10">
        <v>0</v>
      </c>
      <c r="J20" s="10">
        <v>0</v>
      </c>
      <c r="K20" s="10">
        <v>17.256285590025591</v>
      </c>
      <c r="L20" s="10"/>
      <c r="M20" s="10"/>
      <c r="N20" s="115">
        <v>6147.2049062972828</v>
      </c>
      <c r="O20" s="99">
        <v>6147.2049062972828</v>
      </c>
      <c r="P20" s="10">
        <v>6147.2049062972828</v>
      </c>
    </row>
    <row r="21" spans="1:16" x14ac:dyDescent="0.25">
      <c r="A21" s="6">
        <v>2006</v>
      </c>
      <c r="B21" s="9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5"/>
      <c r="P21" s="10"/>
    </row>
    <row r="22" spans="1:16" x14ac:dyDescent="0.25">
      <c r="A22" s="6">
        <v>2007</v>
      </c>
      <c r="B22" s="99">
        <v>1133.5527504638401</v>
      </c>
      <c r="C22" s="10">
        <v>7912.591339057506</v>
      </c>
      <c r="D22" s="10">
        <v>0</v>
      </c>
      <c r="E22" s="10">
        <v>0</v>
      </c>
      <c r="F22" s="10">
        <v>3584.4714279161353</v>
      </c>
      <c r="G22" s="10">
        <v>2544.7335996547276</v>
      </c>
      <c r="H22" s="10">
        <v>3489.9032060825525</v>
      </c>
      <c r="I22" s="10">
        <v>1242.0232591673278</v>
      </c>
      <c r="J22" s="10">
        <v>7114.4135847570988</v>
      </c>
      <c r="K22" s="10">
        <v>1104.7207987175284</v>
      </c>
      <c r="L22" s="10"/>
      <c r="M22" s="10"/>
      <c r="N22" s="115">
        <v>28126.409965816714</v>
      </c>
      <c r="O22" s="99">
        <v>28249.653196723688</v>
      </c>
      <c r="P22" s="10">
        <v>28126.409965816714</v>
      </c>
    </row>
    <row r="23" spans="1:16" x14ac:dyDescent="0.25">
      <c r="A23" s="6">
        <v>2008</v>
      </c>
      <c r="B23" s="99">
        <v>1675.3627648720212</v>
      </c>
      <c r="C23" s="10">
        <v>2990.5838447233127</v>
      </c>
      <c r="D23" s="10">
        <v>3770.8816860672209</v>
      </c>
      <c r="E23" s="10">
        <v>1288.3936838567452</v>
      </c>
      <c r="F23" s="10">
        <v>483.50292407711936</v>
      </c>
      <c r="G23" s="10">
        <v>27.937038577423632</v>
      </c>
      <c r="H23" s="10">
        <v>7110.2565425985658</v>
      </c>
      <c r="I23" s="10">
        <v>221.98698712246983</v>
      </c>
      <c r="J23" s="10">
        <v>3160.1668106798384</v>
      </c>
      <c r="K23" s="10">
        <v>681.70855509741295</v>
      </c>
      <c r="L23" s="10"/>
      <c r="M23" s="10"/>
      <c r="N23" s="115">
        <v>21410.78083767213</v>
      </c>
      <c r="O23" s="99">
        <v>22290.05903060842</v>
      </c>
      <c r="P23" s="10">
        <v>21410.78083767213</v>
      </c>
    </row>
    <row r="24" spans="1:16" x14ac:dyDescent="0.25">
      <c r="A24" s="6">
        <v>2009</v>
      </c>
      <c r="B24" s="99">
        <v>1600.1943375162803</v>
      </c>
      <c r="C24" s="10">
        <v>5455.1546220657774</v>
      </c>
      <c r="D24" s="10">
        <v>5907.4238249161644</v>
      </c>
      <c r="E24" s="10">
        <v>3207.6816146601004</v>
      </c>
      <c r="F24" s="10">
        <v>1438.3087834575476</v>
      </c>
      <c r="G24" s="10">
        <v>171.98850062987611</v>
      </c>
      <c r="H24" s="10">
        <v>2843.7789443370148</v>
      </c>
      <c r="I24" s="10">
        <v>1249.5437102885201</v>
      </c>
      <c r="J24" s="10">
        <v>6407.9632101735024</v>
      </c>
      <c r="K24" s="10">
        <v>126.88924593357835</v>
      </c>
      <c r="L24" s="10"/>
      <c r="M24" s="10"/>
      <c r="N24" s="115">
        <v>28408.92679397836</v>
      </c>
      <c r="O24" s="99">
        <v>29401.658009803374</v>
      </c>
      <c r="P24" s="10">
        <v>28408.92679397836</v>
      </c>
    </row>
    <row r="25" spans="1:16" x14ac:dyDescent="0.25">
      <c r="A25" s="6">
        <v>2010</v>
      </c>
      <c r="B25" s="99">
        <v>98.741862263642034</v>
      </c>
      <c r="C25" s="10">
        <v>827.21857471701605</v>
      </c>
      <c r="D25" s="10">
        <v>11.61227261695406</v>
      </c>
      <c r="E25" s="10">
        <v>264.70427713475283</v>
      </c>
      <c r="F25" s="10">
        <v>163.25447736137752</v>
      </c>
      <c r="G25" s="10">
        <v>189.66458172181623</v>
      </c>
      <c r="H25" s="10">
        <v>58.506176218831328</v>
      </c>
      <c r="I25" s="10">
        <v>349.11141240279085</v>
      </c>
      <c r="J25" s="10">
        <v>2.4147279922624727</v>
      </c>
      <c r="K25" s="10">
        <v>11.81454535268603</v>
      </c>
      <c r="L25" s="10"/>
      <c r="M25" s="10"/>
      <c r="N25" s="115">
        <v>1977.0429077821293</v>
      </c>
      <c r="O25" s="99">
        <v>2031.7991581790245</v>
      </c>
      <c r="P25" s="10">
        <v>1977.0429077821293</v>
      </c>
    </row>
    <row r="26" spans="1:16" x14ac:dyDescent="0.25">
      <c r="A26" s="6">
        <v>2011</v>
      </c>
      <c r="B26" s="99">
        <v>7043.142024849155</v>
      </c>
      <c r="C26" s="10">
        <v>4948.9829574267715</v>
      </c>
      <c r="D26" s="10">
        <v>2465.2501352134832</v>
      </c>
      <c r="E26" s="10">
        <v>76.700378504612885</v>
      </c>
      <c r="F26" s="10">
        <v>1049.5323130264367</v>
      </c>
      <c r="G26" s="10">
        <v>15.582573012842651</v>
      </c>
      <c r="H26" s="10">
        <v>844.11175568968849</v>
      </c>
      <c r="I26" s="10">
        <v>46.820027856410434</v>
      </c>
      <c r="J26" s="10">
        <v>2809.5766049757481</v>
      </c>
      <c r="K26" s="10">
        <v>0</v>
      </c>
      <c r="L26" s="10">
        <v>51.477669482663089</v>
      </c>
      <c r="M26" s="10"/>
      <c r="N26" s="115">
        <v>19351.176440037809</v>
      </c>
      <c r="O26" s="99">
        <v>19351.176440037809</v>
      </c>
      <c r="P26" s="10">
        <v>19351.176440037809</v>
      </c>
    </row>
    <row r="27" spans="1:16" x14ac:dyDescent="0.25">
      <c r="A27" s="6">
        <v>2012</v>
      </c>
      <c r="B27" s="99">
        <v>6153.4106346615681</v>
      </c>
      <c r="C27" s="10">
        <v>3402.3769806610385</v>
      </c>
      <c r="D27" s="10">
        <v>3199.311035120415</v>
      </c>
      <c r="E27" s="10">
        <v>686.31359188321426</v>
      </c>
      <c r="F27" s="10">
        <v>1849.2110643358662</v>
      </c>
      <c r="G27" s="10">
        <v>7.54747606992873</v>
      </c>
      <c r="H27" s="10">
        <v>2814.4631431720554</v>
      </c>
      <c r="I27" s="10">
        <v>248.40388059559194</v>
      </c>
      <c r="J27" s="10">
        <v>564.72506967933418</v>
      </c>
      <c r="K27" s="10">
        <v>44.298941734934886</v>
      </c>
      <c r="L27" s="10">
        <v>54.619684633597132</v>
      </c>
      <c r="M27" s="10"/>
      <c r="N27" s="115">
        <v>19024.681502547548</v>
      </c>
      <c r="O27" s="99">
        <v>23644.483743920857</v>
      </c>
      <c r="P27" s="10">
        <v>19024.681502547548</v>
      </c>
    </row>
    <row r="28" spans="1:16" x14ac:dyDescent="0.25">
      <c r="A28" s="6">
        <v>2013</v>
      </c>
      <c r="B28" s="99">
        <v>14770.201726794045</v>
      </c>
      <c r="C28" s="10">
        <v>14409.63748166509</v>
      </c>
      <c r="D28" s="10">
        <v>7250.6279057993552</v>
      </c>
      <c r="E28" s="10">
        <v>5533.631548900732</v>
      </c>
      <c r="F28" s="10">
        <v>902.78242762251409</v>
      </c>
      <c r="G28" s="10">
        <v>352.00315747058232</v>
      </c>
      <c r="H28" s="10">
        <v>1624.0351233373444</v>
      </c>
      <c r="I28" s="10">
        <v>771.92100250651595</v>
      </c>
      <c r="J28" s="10">
        <v>3749.3793891200007</v>
      </c>
      <c r="K28" s="10">
        <v>1303.4216657165546</v>
      </c>
      <c r="L28" s="10">
        <v>2013.5334898233452</v>
      </c>
      <c r="M28" s="10">
        <v>948.41679277840308</v>
      </c>
      <c r="N28" s="115">
        <v>53629.591711534478</v>
      </c>
      <c r="O28" s="99">
        <v>53629.591711534478</v>
      </c>
      <c r="P28" s="10">
        <v>53629.591711534478</v>
      </c>
    </row>
    <row r="29" spans="1:16" x14ac:dyDescent="0.25">
      <c r="A29" s="6">
        <v>2014</v>
      </c>
      <c r="B29" s="99">
        <v>36577.707138348604</v>
      </c>
      <c r="C29" s="10">
        <v>19921.828271561801</v>
      </c>
      <c r="D29" s="10">
        <v>32248.687624762126</v>
      </c>
      <c r="E29" s="10">
        <v>25785.179149877669</v>
      </c>
      <c r="F29" s="10">
        <v>2412.8804289705122</v>
      </c>
      <c r="G29" s="10">
        <v>315.77691860446077</v>
      </c>
      <c r="H29" s="10">
        <v>0</v>
      </c>
      <c r="I29" s="10">
        <v>3525.6181009199458</v>
      </c>
      <c r="J29" s="10">
        <v>102.67681429931147</v>
      </c>
      <c r="K29" s="10">
        <v>1009.9782641568232</v>
      </c>
      <c r="L29" s="10"/>
      <c r="M29" s="10">
        <v>16.281262822576366</v>
      </c>
      <c r="N29" s="115">
        <v>121916.61397432383</v>
      </c>
      <c r="O29" s="99">
        <v>121916.61397432383</v>
      </c>
      <c r="P29" s="10">
        <v>121916.61397432383</v>
      </c>
    </row>
    <row r="30" spans="1:16" x14ac:dyDescent="0.25">
      <c r="A30" s="69" t="s">
        <v>28</v>
      </c>
      <c r="B30" s="70">
        <v>75874.117324711682</v>
      </c>
      <c r="C30" s="71">
        <v>64405.057536337816</v>
      </c>
      <c r="D30" s="71">
        <v>75617.024767139315</v>
      </c>
      <c r="E30" s="71">
        <v>43524.4926410318</v>
      </c>
      <c r="F30" s="71">
        <v>15092.531841628617</v>
      </c>
      <c r="G30" s="71">
        <v>4012.5043216068243</v>
      </c>
      <c r="H30" s="71">
        <v>20172.01552528295</v>
      </c>
      <c r="I30" s="71">
        <v>8989.5629360887469</v>
      </c>
      <c r="J30" s="71">
        <v>28699.258891431204</v>
      </c>
      <c r="K30" s="71">
        <v>5454.2197721657376</v>
      </c>
      <c r="L30" s="71">
        <v>2119.6308439396053</v>
      </c>
      <c r="M30" s="71">
        <v>964.69805560097939</v>
      </c>
      <c r="N30" s="72">
        <v>344925.11445696524</v>
      </c>
    </row>
  </sheetData>
  <phoneticPr fontId="10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Rank and availability of strata</vt:lpstr>
      <vt:lpstr>Stratum Codes</vt:lpstr>
      <vt:lpstr>Trip-Year key</vt:lpstr>
      <vt:lpstr>StratBootmean Trinity Bay</vt:lpstr>
      <vt:lpstr>Stratum Areas</vt:lpstr>
      <vt:lpstr>graphs</vt:lpstr>
      <vt:lpstr>Pivot table</vt:lpstr>
      <vt:lpstr>STRATBOOTMEAN</vt:lpstr>
      <vt:lpstr>Core area graph</vt:lpstr>
      <vt:lpstr>Strat boot mean - Core only</vt:lpstr>
      <vt:lpstr>Sheet1</vt:lpstr>
      <vt:lpstr>Sumary for Barry</vt:lpstr>
      <vt:lpstr>Sheet2</vt:lpstr>
      <vt:lpstr>Sheet3</vt:lpstr>
      <vt:lpstr>STRATBOOTMEAN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Mowbray, Fran</dc:creator>
  <cp:lastModifiedBy>DFO-MPO</cp:lastModifiedBy>
  <cp:lastPrinted>2014-06-12T17:36:04Z</cp:lastPrinted>
  <dcterms:created xsi:type="dcterms:W3CDTF">2002-11-12T19:49:24Z</dcterms:created>
  <dcterms:modified xsi:type="dcterms:W3CDTF">2018-05-23T11:49:09Z</dcterms:modified>
</cp:coreProperties>
</file>