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HP-Weights" sheetId="1" r:id="rId4"/>
    <sheet state="visible" name="SAW" sheetId="2" r:id="rId5"/>
    <sheet state="visible" name="TOPSIS" sheetId="3" r:id="rId6"/>
    <sheet state="visible" name="Comparison" sheetId="4" r:id="rId7"/>
  </sheets>
  <definedNames/>
  <calcPr/>
</workbook>
</file>

<file path=xl/sharedStrings.xml><?xml version="1.0" encoding="utf-8"?>
<sst xmlns="http://schemas.openxmlformats.org/spreadsheetml/2006/main" count="154" uniqueCount="28">
  <si>
    <t>Price (Pln)</t>
  </si>
  <si>
    <t>Performance (CPU benchmark score)</t>
  </si>
  <si>
    <t>Battery life (hours)</t>
  </si>
  <si>
    <t>Weight (kg)</t>
  </si>
  <si>
    <t>Storage capacity (GB)</t>
  </si>
  <si>
    <t>Column total</t>
  </si>
  <si>
    <t>Row totals</t>
  </si>
  <si>
    <t>Weight (Eigenvector)</t>
  </si>
  <si>
    <t>Laptop</t>
  </si>
  <si>
    <t>Weight</t>
  </si>
  <si>
    <t>Ranking</t>
  </si>
  <si>
    <t>Place</t>
  </si>
  <si>
    <t>A</t>
  </si>
  <si>
    <t>B</t>
  </si>
  <si>
    <t>C</t>
  </si>
  <si>
    <t>D</t>
  </si>
  <si>
    <t>E</t>
  </si>
  <si>
    <t>F</t>
  </si>
  <si>
    <t>Min</t>
  </si>
  <si>
    <t>Max</t>
  </si>
  <si>
    <t>Q Matrix</t>
  </si>
  <si>
    <t>S*</t>
  </si>
  <si>
    <t>S-</t>
  </si>
  <si>
    <t>a*</t>
  </si>
  <si>
    <t>a-</t>
  </si>
  <si>
    <t>Ranking SAW</t>
  </si>
  <si>
    <t>Ranking TOPSIS</t>
  </si>
  <si>
    <t xml:space="preserve">- Oba rankingi zwróciły te same laptopy na miejscach 1-3, różnią się natomiast miejscami 4-6
- W tym wypadku SAW oraz TOPSIS zadziałały bardzo podobnie (prawdopodobnie przez narzucone wagi)
- Największą różnicą jest ocena laptopa D który przez SAW został oceniony jako definitywnie najgorszy (duża strata do miejsca 5), a TOPSIS uplasował go na miejscu 4 (róznica między 5 i 6 jest zdecydowanie mniejsza niż w SAW). TOPSIS całkiem nieźle wylicza odległości danej opcji od ideału i proporcje między parametrami - lubi zbilansowane opcje, natomiast SAW jest dużo mniej przystosowany do "realnych" problemów i bazu bardziej na ekstremach - ceni sobie dominację poszczególnych parametrów zamiast bilansu. 
- Co ciekawe, po ustawieniu wszystkich wag na równe (0,2) wyniki pozostały podobne co może sugerować całkiem bliskie podobieństwo laptopów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</si>
</sst>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,##0.000"/>
    <numFmt numFmtId="166" formatCode="#,##0.0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3" fontId="1" numFmtId="164" xfId="0" applyAlignment="1" applyBorder="1" applyFill="1" applyFont="1" applyNumberFormat="1">
      <alignment readingOrder="0"/>
    </xf>
    <xf borderId="1" fillId="0" fontId="1" numFmtId="164" xfId="0" applyBorder="1" applyFont="1" applyNumberFormat="1"/>
    <xf borderId="1" fillId="2" fontId="1" numFmtId="0" xfId="0" applyBorder="1" applyFont="1"/>
    <xf borderId="1" fillId="3" fontId="1" numFmtId="164" xfId="0" applyBorder="1" applyFont="1" applyNumberFormat="1"/>
    <xf borderId="0" fillId="0" fontId="1" numFmtId="0" xfId="0" applyFont="1"/>
    <xf borderId="0" fillId="0" fontId="1" numFmtId="0" xfId="0" applyFont="1"/>
    <xf borderId="2" fillId="4" fontId="2" numFmtId="0" xfId="0" applyAlignment="1" applyBorder="1" applyFill="1" applyFont="1">
      <alignment readingOrder="0"/>
    </xf>
    <xf borderId="2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readingOrder="0"/>
    </xf>
    <xf borderId="1" fillId="6" fontId="1" numFmtId="0" xfId="0" applyBorder="1" applyFill="1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  <xf borderId="1" fillId="0" fontId="1" numFmtId="165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1" fillId="0" fontId="1" numFmtId="166" xfId="0" applyAlignment="1" applyBorder="1" applyFont="1" applyNumberFormat="1">
      <alignment readingOrder="0"/>
    </xf>
    <xf borderId="1" fillId="0" fontId="1" numFmtId="166" xfId="0" applyBorder="1" applyFont="1" applyNumberFormat="1"/>
    <xf borderId="0" fillId="0" fontId="1" numFmtId="166" xfId="0" applyFont="1" applyNumberFormat="1"/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95250</xdr:rowOff>
    </xdr:from>
    <xdr:ext cx="11010900" cy="1571625"/>
    <xdr:pic>
      <xdr:nvPicPr>
        <xdr:cNvPr id="0" name="image1.png" title="Obraz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9.25"/>
    <col customWidth="1" min="3" max="3" width="30.75"/>
    <col customWidth="1" min="4" max="4" width="15.88"/>
    <col customWidth="1" min="5" max="5" width="10.13"/>
    <col customWidth="1" min="6" max="6" width="18.5"/>
    <col customWidth="1" min="8" max="8" width="30.75"/>
    <col customWidth="1" min="11" max="11" width="16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I1" s="3" t="s">
        <v>5</v>
      </c>
      <c r="J1" s="3" t="s">
        <v>6</v>
      </c>
      <c r="K1" s="4" t="s">
        <v>7</v>
      </c>
    </row>
    <row r="2">
      <c r="A2" s="2" t="s">
        <v>0</v>
      </c>
      <c r="B2" s="5">
        <v>1.0</v>
      </c>
      <c r="C2" s="5">
        <f>1/4</f>
        <v>0.25</v>
      </c>
      <c r="D2" s="5">
        <v>5.0</v>
      </c>
      <c r="E2" s="5">
        <v>6.0</v>
      </c>
      <c r="F2" s="5">
        <v>4.0</v>
      </c>
      <c r="H2" s="2" t="s">
        <v>0</v>
      </c>
      <c r="I2" s="6">
        <f>SUM(B2:B6)</f>
        <v>5.616666667</v>
      </c>
      <c r="J2" s="1">
        <f>$B2/$I2+$C2/$I3+$D2/$I4+$E2/$I5+$F2/$I6</f>
        <v>1.198724818</v>
      </c>
      <c r="K2" s="7">
        <f t="shared" ref="K2:K6" si="1">$J2/ROWS($H$2:$H$6)</f>
        <v>0.2397449636</v>
      </c>
    </row>
    <row r="3">
      <c r="A3" s="2" t="s">
        <v>1</v>
      </c>
      <c r="B3" s="6">
        <f>1/C2</f>
        <v>4</v>
      </c>
      <c r="C3" s="5">
        <v>1.0</v>
      </c>
      <c r="D3" s="5">
        <v>8.0</v>
      </c>
      <c r="E3" s="5">
        <v>9.0</v>
      </c>
      <c r="F3" s="5">
        <v>7.0</v>
      </c>
      <c r="H3" s="2" t="s">
        <v>1</v>
      </c>
      <c r="I3" s="6">
        <f>SUM(C2:C6)</f>
        <v>1.628968254</v>
      </c>
      <c r="J3" s="1">
        <f t="shared" ref="J3:J6" si="2">$B3/$I$2+$C3/$I$3+$D3/$I$4+$E3/$I$5+$F3/$I$6</f>
        <v>2.735185878</v>
      </c>
      <c r="K3" s="7">
        <f t="shared" si="1"/>
        <v>0.5470371755</v>
      </c>
    </row>
    <row r="4">
      <c r="A4" s="2" t="s">
        <v>2</v>
      </c>
      <c r="B4" s="6">
        <f>1/D2</f>
        <v>0.2</v>
      </c>
      <c r="C4" s="6">
        <f>1/D3</f>
        <v>0.125</v>
      </c>
      <c r="D4" s="5">
        <v>1.0</v>
      </c>
      <c r="E4" s="5">
        <v>3.0</v>
      </c>
      <c r="F4" s="8">
        <f>1/3</f>
        <v>0.3333333333</v>
      </c>
      <c r="H4" s="2" t="s">
        <v>2</v>
      </c>
      <c r="I4" s="6">
        <f>SUM(D2:D6)</f>
        <v>17.33333333</v>
      </c>
      <c r="J4" s="1">
        <f t="shared" si="2"/>
        <v>0.3269611533</v>
      </c>
      <c r="K4" s="7">
        <f t="shared" si="1"/>
        <v>0.06539223066</v>
      </c>
    </row>
    <row r="5">
      <c r="A5" s="2" t="s">
        <v>3</v>
      </c>
      <c r="B5" s="6">
        <f>1/E2</f>
        <v>0.1666666667</v>
      </c>
      <c r="C5" s="6">
        <f>1/E3</f>
        <v>0.1111111111</v>
      </c>
      <c r="D5" s="6">
        <f>1/E4</f>
        <v>0.3333333333</v>
      </c>
      <c r="E5" s="5">
        <v>1.0</v>
      </c>
      <c r="F5" s="8">
        <f>1/4</f>
        <v>0.25</v>
      </c>
      <c r="H5" s="2" t="s">
        <v>3</v>
      </c>
      <c r="I5" s="6">
        <f>SUM(E2:E6)</f>
        <v>23</v>
      </c>
      <c r="J5" s="1">
        <f t="shared" si="2"/>
        <v>0.1804596709</v>
      </c>
      <c r="K5" s="7">
        <f t="shared" si="1"/>
        <v>0.03609193418</v>
      </c>
    </row>
    <row r="6">
      <c r="A6" s="2" t="s">
        <v>4</v>
      </c>
      <c r="B6" s="6">
        <f>1/F2</f>
        <v>0.25</v>
      </c>
      <c r="C6" s="6">
        <f>1/F3</f>
        <v>0.1428571429</v>
      </c>
      <c r="D6" s="6">
        <f>1/F4</f>
        <v>3</v>
      </c>
      <c r="E6" s="6">
        <f>1/F5</f>
        <v>4</v>
      </c>
      <c r="F6" s="5">
        <v>1.0</v>
      </c>
      <c r="H6" s="2" t="s">
        <v>4</v>
      </c>
      <c r="I6" s="6">
        <f>SUM(F2:F6)</f>
        <v>12.58333333</v>
      </c>
      <c r="J6" s="1">
        <f t="shared" si="2"/>
        <v>0.5586684803</v>
      </c>
      <c r="K6" s="7">
        <f t="shared" si="1"/>
        <v>0.1117336961</v>
      </c>
    </row>
    <row r="7">
      <c r="K7" s="9">
        <f>SUM(K2:K6)</f>
        <v>1</v>
      </c>
    </row>
    <row r="9">
      <c r="A9" s="10"/>
      <c r="B9" s="10"/>
      <c r="C9" s="10"/>
      <c r="D9" s="10"/>
      <c r="E9" s="10"/>
      <c r="F9" s="10"/>
    </row>
    <row r="10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  <row r="12">
      <c r="A12" s="10"/>
      <c r="B12" s="10"/>
      <c r="C12" s="10"/>
      <c r="D12" s="10"/>
      <c r="E12" s="10"/>
      <c r="F12" s="10"/>
    </row>
    <row r="13">
      <c r="A13" s="10"/>
      <c r="B13" s="10"/>
      <c r="C13" s="10"/>
      <c r="D13" s="10"/>
      <c r="E13" s="10"/>
      <c r="F13" s="10"/>
    </row>
    <row r="14">
      <c r="A14" s="10"/>
      <c r="B14" s="10"/>
      <c r="C14" s="10"/>
      <c r="D14" s="10"/>
      <c r="E14" s="10"/>
      <c r="F14" s="10"/>
    </row>
    <row r="15">
      <c r="A15" s="10"/>
      <c r="B15" s="10"/>
      <c r="C15" s="10"/>
      <c r="D15" s="10"/>
      <c r="E15" s="10"/>
      <c r="F15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9.25"/>
    <col customWidth="1" min="3" max="3" width="30.75"/>
    <col customWidth="1" min="4" max="4" width="15.88"/>
    <col customWidth="1" min="5" max="5" width="10.13"/>
    <col customWidth="1" min="6" max="6" width="18.5"/>
    <col customWidth="1" min="8" max="8" width="30.5"/>
  </cols>
  <sheetData>
    <row r="1">
      <c r="A1" s="2" t="s">
        <v>8</v>
      </c>
      <c r="B1" s="11" t="s">
        <v>0</v>
      </c>
      <c r="C1" s="12" t="s">
        <v>1</v>
      </c>
      <c r="D1" s="12" t="s">
        <v>2</v>
      </c>
      <c r="E1" s="11" t="s">
        <v>3</v>
      </c>
      <c r="F1" s="13" t="s">
        <v>4</v>
      </c>
      <c r="I1" s="2" t="s">
        <v>9</v>
      </c>
      <c r="K1" s="2" t="s">
        <v>8</v>
      </c>
      <c r="L1" s="2" t="s">
        <v>10</v>
      </c>
      <c r="M1" s="2" t="s">
        <v>11</v>
      </c>
    </row>
    <row r="2">
      <c r="A2" s="3" t="s">
        <v>12</v>
      </c>
      <c r="B2" s="3">
        <v>4500.0</v>
      </c>
      <c r="C2" s="3">
        <v>15500.0</v>
      </c>
      <c r="D2" s="3">
        <v>6.0</v>
      </c>
      <c r="E2" s="3">
        <v>2.0</v>
      </c>
      <c r="F2" s="3">
        <v>512.0</v>
      </c>
      <c r="H2" s="2" t="s">
        <v>0</v>
      </c>
      <c r="I2" s="14">
        <f>'AHP-Weights'!K2</f>
        <v>0.2397449636</v>
      </c>
      <c r="K2" s="2" t="s">
        <v>12</v>
      </c>
      <c r="L2" s="1">
        <f t="shared" ref="L2:L7" si="1">SUM($B26:$F26)/ROWS($B$25:$F$25)</f>
        <v>0.4427955251</v>
      </c>
      <c r="M2" s="1">
        <f t="shared" ref="M2:M7" si="2">MATCH($L2,SORT($L$2:$L$7,$L$2:$L$7,FALSE),0)</f>
        <v>3</v>
      </c>
    </row>
    <row r="3">
      <c r="A3" s="3" t="s">
        <v>13</v>
      </c>
      <c r="B3" s="3">
        <v>4000.0</v>
      </c>
      <c r="C3" s="3">
        <v>14200.0</v>
      </c>
      <c r="D3" s="3">
        <v>7.0</v>
      </c>
      <c r="E3" s="3">
        <v>2.2</v>
      </c>
      <c r="F3" s="3">
        <v>256.0</v>
      </c>
      <c r="H3" s="2" t="s">
        <v>1</v>
      </c>
      <c r="I3" s="14">
        <f>'AHP-Weights'!K3</f>
        <v>0.5470371755</v>
      </c>
      <c r="K3" s="2" t="s">
        <v>13</v>
      </c>
      <c r="L3" s="1">
        <f t="shared" si="1"/>
        <v>0.3522663654</v>
      </c>
      <c r="M3" s="1">
        <f t="shared" si="2"/>
        <v>5</v>
      </c>
    </row>
    <row r="4">
      <c r="A4" s="3" t="s">
        <v>14</v>
      </c>
      <c r="B4" s="3">
        <v>4800.0</v>
      </c>
      <c r="C4" s="3">
        <v>17200.0</v>
      </c>
      <c r="D4" s="3">
        <v>5.0</v>
      </c>
      <c r="E4" s="3">
        <v>1.8</v>
      </c>
      <c r="F4" s="3">
        <v>1024.0</v>
      </c>
      <c r="H4" s="2" t="s">
        <v>2</v>
      </c>
      <c r="I4" s="14">
        <f>'AHP-Weights'!K4</f>
        <v>0.06539223066</v>
      </c>
      <c r="K4" s="2" t="s">
        <v>14</v>
      </c>
      <c r="L4" s="1">
        <f t="shared" si="1"/>
        <v>0.6948628058</v>
      </c>
      <c r="M4" s="1">
        <f t="shared" si="2"/>
        <v>1</v>
      </c>
    </row>
    <row r="5">
      <c r="A5" s="3" t="s">
        <v>15</v>
      </c>
      <c r="B5" s="3">
        <v>4300.0</v>
      </c>
      <c r="C5" s="3">
        <v>13800.0</v>
      </c>
      <c r="D5" s="3">
        <v>8.0</v>
      </c>
      <c r="E5" s="3">
        <v>2.5</v>
      </c>
      <c r="F5" s="3">
        <v>512.0</v>
      </c>
      <c r="H5" s="2" t="s">
        <v>3</v>
      </c>
      <c r="I5" s="14">
        <f>'AHP-Weights'!K5</f>
        <v>0.03609193418</v>
      </c>
      <c r="K5" s="2" t="s">
        <v>15</v>
      </c>
      <c r="L5" s="1">
        <f t="shared" si="1"/>
        <v>0.2361293406</v>
      </c>
      <c r="M5" s="1">
        <f t="shared" si="2"/>
        <v>6</v>
      </c>
    </row>
    <row r="6">
      <c r="A6" s="3" t="s">
        <v>16</v>
      </c>
      <c r="B6" s="3">
        <v>4700.0</v>
      </c>
      <c r="C6" s="3">
        <v>16000.0</v>
      </c>
      <c r="D6" s="3">
        <v>6.0</v>
      </c>
      <c r="E6" s="3">
        <v>2.1</v>
      </c>
      <c r="F6" s="3">
        <v>512.0</v>
      </c>
      <c r="H6" s="2" t="s">
        <v>4</v>
      </c>
      <c r="I6" s="14">
        <f>'AHP-Weights'!K6</f>
        <v>0.1117336961</v>
      </c>
      <c r="K6" s="2" t="s">
        <v>16</v>
      </c>
      <c r="L6" s="1">
        <f t="shared" si="1"/>
        <v>0.4581499371</v>
      </c>
      <c r="M6" s="1">
        <f t="shared" si="2"/>
        <v>2</v>
      </c>
    </row>
    <row r="7">
      <c r="A7" s="3" t="s">
        <v>17</v>
      </c>
      <c r="B7" s="3">
        <v>4200.0</v>
      </c>
      <c r="C7" s="3">
        <v>14500.0</v>
      </c>
      <c r="D7" s="3">
        <v>9.0</v>
      </c>
      <c r="E7" s="3">
        <v>2.0</v>
      </c>
      <c r="F7" s="3">
        <v>256.0</v>
      </c>
      <c r="K7" s="2" t="s">
        <v>17</v>
      </c>
      <c r="L7" s="1">
        <f t="shared" si="1"/>
        <v>0.3836062072</v>
      </c>
      <c r="M7" s="1">
        <f t="shared" si="2"/>
        <v>4</v>
      </c>
    </row>
    <row r="8">
      <c r="A8" s="15" t="s">
        <v>18</v>
      </c>
      <c r="B8" s="16">
        <f t="shared" ref="B8:F8" si="3">MIN(B$2:B$7)</f>
        <v>4000</v>
      </c>
      <c r="C8" s="16">
        <f t="shared" si="3"/>
        <v>13800</v>
      </c>
      <c r="D8" s="16">
        <f t="shared" si="3"/>
        <v>5</v>
      </c>
      <c r="E8" s="16">
        <f t="shared" si="3"/>
        <v>1.8</v>
      </c>
      <c r="F8" s="16">
        <f t="shared" si="3"/>
        <v>256</v>
      </c>
    </row>
    <row r="9">
      <c r="A9" s="17" t="s">
        <v>19</v>
      </c>
      <c r="B9" s="18">
        <f t="shared" ref="B9:F9" si="4">max(B$2:B$7)</f>
        <v>4800</v>
      </c>
      <c r="C9" s="18">
        <f t="shared" si="4"/>
        <v>17200</v>
      </c>
      <c r="D9" s="18">
        <f t="shared" si="4"/>
        <v>9</v>
      </c>
      <c r="E9" s="18">
        <f t="shared" si="4"/>
        <v>2.5</v>
      </c>
      <c r="F9" s="18">
        <f t="shared" si="4"/>
        <v>1024</v>
      </c>
    </row>
    <row r="15">
      <c r="A15" s="2" t="s">
        <v>8</v>
      </c>
      <c r="B15" s="11" t="s">
        <v>0</v>
      </c>
      <c r="C15" s="12" t="s">
        <v>1</v>
      </c>
      <c r="D15" s="12" t="s">
        <v>2</v>
      </c>
      <c r="E15" s="11" t="s">
        <v>3</v>
      </c>
      <c r="F15" s="13" t="s">
        <v>4</v>
      </c>
    </row>
    <row r="16">
      <c r="A16" s="3" t="s">
        <v>12</v>
      </c>
      <c r="B16" s="19">
        <f t="shared" ref="B16:B21" si="6">(B$9-B2)/(B$9-B$8)</f>
        <v>0.375</v>
      </c>
      <c r="C16" s="19">
        <f t="shared" ref="C16:D16" si="5">(C2-C$8)/(C$9-C$8)</f>
        <v>0.5</v>
      </c>
      <c r="D16" s="19">
        <f t="shared" si="5"/>
        <v>0.25</v>
      </c>
      <c r="E16" s="19">
        <f t="shared" ref="E16:E21" si="8">(E$9-E2)/(E$9-E$8)</f>
        <v>0.7142857143</v>
      </c>
      <c r="F16" s="19">
        <f t="shared" ref="F16:F21" si="9">(F2-F$8)/(F$9-F$8)</f>
        <v>0.3333333333</v>
      </c>
    </row>
    <row r="17">
      <c r="A17" s="3" t="s">
        <v>13</v>
      </c>
      <c r="B17" s="19">
        <f t="shared" si="6"/>
        <v>1</v>
      </c>
      <c r="C17" s="19">
        <f t="shared" ref="C17:D17" si="7">(C3-C$8)/(C$9-C$8)</f>
        <v>0.1176470588</v>
      </c>
      <c r="D17" s="19">
        <f t="shared" si="7"/>
        <v>0.5</v>
      </c>
      <c r="E17" s="19">
        <f t="shared" si="8"/>
        <v>0.4285714286</v>
      </c>
      <c r="F17" s="19">
        <f t="shared" si="9"/>
        <v>0</v>
      </c>
    </row>
    <row r="18">
      <c r="A18" s="3" t="s">
        <v>14</v>
      </c>
      <c r="B18" s="19">
        <f t="shared" si="6"/>
        <v>0</v>
      </c>
      <c r="C18" s="19">
        <f t="shared" ref="C18:D18" si="10">(C4-C$8)/(C$9-C$8)</f>
        <v>1</v>
      </c>
      <c r="D18" s="19">
        <f t="shared" si="10"/>
        <v>0</v>
      </c>
      <c r="E18" s="19">
        <f t="shared" si="8"/>
        <v>1</v>
      </c>
      <c r="F18" s="19">
        <f t="shared" si="9"/>
        <v>1</v>
      </c>
    </row>
    <row r="19">
      <c r="A19" s="3" t="s">
        <v>15</v>
      </c>
      <c r="B19" s="19">
        <f t="shared" si="6"/>
        <v>0.625</v>
      </c>
      <c r="C19" s="19">
        <f t="shared" ref="C19:D19" si="11">(C5-C$8)/(C$9-C$8)</f>
        <v>0</v>
      </c>
      <c r="D19" s="19">
        <f t="shared" si="11"/>
        <v>0.75</v>
      </c>
      <c r="E19" s="19">
        <f t="shared" si="8"/>
        <v>0</v>
      </c>
      <c r="F19" s="19">
        <f t="shared" si="9"/>
        <v>0.3333333333</v>
      </c>
    </row>
    <row r="20">
      <c r="A20" s="3" t="s">
        <v>16</v>
      </c>
      <c r="B20" s="19">
        <f t="shared" si="6"/>
        <v>0.125</v>
      </c>
      <c r="C20" s="19">
        <f t="shared" ref="C20:D20" si="12">(C6-C$8)/(C$9-C$8)</f>
        <v>0.6470588235</v>
      </c>
      <c r="D20" s="19">
        <f t="shared" si="12"/>
        <v>0.25</v>
      </c>
      <c r="E20" s="19">
        <f t="shared" si="8"/>
        <v>0.5714285714</v>
      </c>
      <c r="F20" s="19">
        <f t="shared" si="9"/>
        <v>0.3333333333</v>
      </c>
    </row>
    <row r="21">
      <c r="A21" s="3" t="s">
        <v>17</v>
      </c>
      <c r="B21" s="19">
        <f t="shared" si="6"/>
        <v>0.75</v>
      </c>
      <c r="C21" s="19">
        <f t="shared" ref="C21:D21" si="13">(C7-C$8)/(C$9-C$8)</f>
        <v>0.2058823529</v>
      </c>
      <c r="D21" s="19">
        <f t="shared" si="13"/>
        <v>1</v>
      </c>
      <c r="E21" s="19">
        <f t="shared" si="8"/>
        <v>0.7142857143</v>
      </c>
      <c r="F21" s="19">
        <f t="shared" si="9"/>
        <v>0</v>
      </c>
    </row>
    <row r="22">
      <c r="C22" s="10"/>
      <c r="D22" s="10"/>
      <c r="E22" s="10"/>
      <c r="F22" s="10"/>
    </row>
    <row r="25">
      <c r="A25" s="2" t="s">
        <v>8</v>
      </c>
      <c r="B25" s="11" t="s">
        <v>0</v>
      </c>
      <c r="C25" s="12" t="s">
        <v>1</v>
      </c>
      <c r="D25" s="12" t="s">
        <v>2</v>
      </c>
      <c r="E25" s="11" t="s">
        <v>3</v>
      </c>
      <c r="F25" s="13" t="s">
        <v>4</v>
      </c>
    </row>
    <row r="26">
      <c r="A26" s="3" t="s">
        <v>12</v>
      </c>
      <c r="B26" s="19">
        <f t="shared" ref="B26:B31" si="14">$B16*$I$2</f>
        <v>0.08990436133</v>
      </c>
      <c r="C26" s="19">
        <f t="shared" ref="C26:C31" si="15">$C16*$I$3</f>
        <v>0.2735185878</v>
      </c>
      <c r="D26" s="19">
        <f t="shared" ref="D26:D31" si="16">$D16*$I$4</f>
        <v>0.01634805767</v>
      </c>
      <c r="E26" s="19">
        <f t="shared" ref="E26:E31" si="17">$E16*$I$5</f>
        <v>0.02577995298</v>
      </c>
      <c r="F26" s="19">
        <f t="shared" ref="F26:F31" si="18">$F16*$I$6</f>
        <v>0.03724456536</v>
      </c>
    </row>
    <row r="27">
      <c r="A27" s="3" t="s">
        <v>13</v>
      </c>
      <c r="B27" s="19">
        <f t="shared" si="14"/>
        <v>0.2397449636</v>
      </c>
      <c r="C27" s="19">
        <f t="shared" si="15"/>
        <v>0.06435731477</v>
      </c>
      <c r="D27" s="19">
        <f t="shared" si="16"/>
        <v>0.03269611533</v>
      </c>
      <c r="E27" s="19">
        <f t="shared" si="17"/>
        <v>0.01546797179</v>
      </c>
      <c r="F27" s="19">
        <f t="shared" si="18"/>
        <v>0</v>
      </c>
    </row>
    <row r="28">
      <c r="A28" s="3" t="s">
        <v>14</v>
      </c>
      <c r="B28" s="19">
        <f t="shared" si="14"/>
        <v>0</v>
      </c>
      <c r="C28" s="19">
        <f t="shared" si="15"/>
        <v>0.5470371755</v>
      </c>
      <c r="D28" s="19">
        <f t="shared" si="16"/>
        <v>0</v>
      </c>
      <c r="E28" s="19">
        <f t="shared" si="17"/>
        <v>0.03609193418</v>
      </c>
      <c r="F28" s="19">
        <f t="shared" si="18"/>
        <v>0.1117336961</v>
      </c>
    </row>
    <row r="29">
      <c r="A29" s="3" t="s">
        <v>15</v>
      </c>
      <c r="B29" s="19">
        <f t="shared" si="14"/>
        <v>0.1498406022</v>
      </c>
      <c r="C29" s="19">
        <f t="shared" si="15"/>
        <v>0</v>
      </c>
      <c r="D29" s="19">
        <f t="shared" si="16"/>
        <v>0.049044173</v>
      </c>
      <c r="E29" s="19">
        <f t="shared" si="17"/>
        <v>0</v>
      </c>
      <c r="F29" s="19">
        <f t="shared" si="18"/>
        <v>0.03724456536</v>
      </c>
    </row>
    <row r="30">
      <c r="A30" s="3" t="s">
        <v>16</v>
      </c>
      <c r="B30" s="19">
        <f t="shared" si="14"/>
        <v>0.02996812044</v>
      </c>
      <c r="C30" s="19">
        <f t="shared" si="15"/>
        <v>0.3539652312</v>
      </c>
      <c r="D30" s="19">
        <f t="shared" si="16"/>
        <v>0.01634805767</v>
      </c>
      <c r="E30" s="19">
        <f t="shared" si="17"/>
        <v>0.02062396239</v>
      </c>
      <c r="F30" s="19">
        <f t="shared" si="18"/>
        <v>0.03724456536</v>
      </c>
    </row>
    <row r="31">
      <c r="A31" s="3" t="s">
        <v>17</v>
      </c>
      <c r="B31" s="19">
        <f t="shared" si="14"/>
        <v>0.1798087227</v>
      </c>
      <c r="C31" s="19">
        <f t="shared" si="15"/>
        <v>0.1126253008</v>
      </c>
      <c r="D31" s="19">
        <f t="shared" si="16"/>
        <v>0.06539223066</v>
      </c>
      <c r="E31" s="19">
        <f t="shared" si="17"/>
        <v>0.02577995298</v>
      </c>
      <c r="F31" s="19">
        <f t="shared" si="18"/>
        <v>0</v>
      </c>
    </row>
  </sheetData>
  <conditionalFormatting sqref="L2:L7">
    <cfRule type="colorScale" priority="1">
      <colorScale>
        <cfvo type="min"/>
        <cfvo type="percentile" val="50"/>
        <cfvo type="max"/>
        <color rgb="FFE06666"/>
        <color rgb="FFFFD666"/>
        <color rgb="FF93C47D"/>
      </colorScale>
    </cfRule>
  </conditionalFormatting>
  <conditionalFormatting sqref="M2:M7">
    <cfRule type="colorScale" priority="2">
      <colorScale>
        <cfvo type="min"/>
        <cfvo type="percentile" val="50"/>
        <cfvo type="max"/>
        <color rgb="FF93C47D"/>
        <color rgb="FFFFD666"/>
        <color rgb="FFE06666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9.25"/>
    <col customWidth="1" min="3" max="3" width="30.5"/>
    <col customWidth="1" min="4" max="4" width="15.88"/>
    <col customWidth="1" min="5" max="5" width="10.0"/>
    <col customWidth="1" min="6" max="6" width="18.38"/>
    <col customWidth="1" min="8" max="8" width="30.5"/>
    <col customWidth="1" min="9" max="9" width="12.63"/>
  </cols>
  <sheetData>
    <row r="1">
      <c r="A1" s="2" t="s">
        <v>8</v>
      </c>
      <c r="B1" s="11" t="s">
        <v>0</v>
      </c>
      <c r="C1" s="12" t="s">
        <v>1</v>
      </c>
      <c r="D1" s="12" t="s">
        <v>2</v>
      </c>
      <c r="E1" s="11" t="s">
        <v>3</v>
      </c>
      <c r="F1" s="13" t="s">
        <v>4</v>
      </c>
      <c r="I1" s="2" t="s">
        <v>9</v>
      </c>
      <c r="K1" s="2" t="s">
        <v>8</v>
      </c>
      <c r="L1" s="2" t="s">
        <v>10</v>
      </c>
      <c r="M1" s="2" t="s">
        <v>11</v>
      </c>
    </row>
    <row r="2">
      <c r="A2" s="3" t="s">
        <v>12</v>
      </c>
      <c r="B2" s="3">
        <v>4500.0</v>
      </c>
      <c r="C2" s="3">
        <v>15500.0</v>
      </c>
      <c r="D2" s="3">
        <v>6.0</v>
      </c>
      <c r="E2" s="3">
        <v>2.0</v>
      </c>
      <c r="F2" s="3">
        <v>512.0</v>
      </c>
      <c r="H2" s="2" t="s">
        <v>0</v>
      </c>
      <c r="I2" s="14">
        <f>'AHP-Weights'!K2</f>
        <v>0.2397449636</v>
      </c>
      <c r="K2" s="2" t="s">
        <v>12</v>
      </c>
      <c r="L2" s="1">
        <f t="shared" ref="L2:L7" si="1">($J13)/($J13+$I13)</f>
        <v>0.3976194721</v>
      </c>
      <c r="M2" s="1">
        <f t="shared" ref="M2:M7" si="2">MATCH($L2,SORT($L$2:$L$7,$L$2:$L$7,FALSE),0)</f>
        <v>3</v>
      </c>
    </row>
    <row r="3">
      <c r="A3" s="3" t="s">
        <v>13</v>
      </c>
      <c r="B3" s="3">
        <v>4000.0</v>
      </c>
      <c r="C3" s="3">
        <v>14200.0</v>
      </c>
      <c r="D3" s="3">
        <v>7.0</v>
      </c>
      <c r="E3" s="3">
        <v>2.2</v>
      </c>
      <c r="F3" s="3">
        <v>256.0</v>
      </c>
      <c r="H3" s="2" t="s">
        <v>1</v>
      </c>
      <c r="I3" s="14">
        <f>'AHP-Weights'!K3</f>
        <v>0.5470371755</v>
      </c>
      <c r="K3" s="2" t="s">
        <v>13</v>
      </c>
      <c r="L3" s="1">
        <f t="shared" si="1"/>
        <v>0.2109583532</v>
      </c>
      <c r="M3" s="1">
        <f t="shared" si="2"/>
        <v>6</v>
      </c>
    </row>
    <row r="4">
      <c r="A4" s="3" t="s">
        <v>14</v>
      </c>
      <c r="B4" s="3">
        <v>4800.0</v>
      </c>
      <c r="C4" s="3">
        <v>17200.0</v>
      </c>
      <c r="D4" s="3">
        <v>5.0</v>
      </c>
      <c r="E4" s="3">
        <v>1.8</v>
      </c>
      <c r="F4" s="3">
        <v>1024.0</v>
      </c>
      <c r="H4" s="2" t="s">
        <v>2</v>
      </c>
      <c r="I4" s="14">
        <f>'AHP-Weights'!K4</f>
        <v>0.06539223066</v>
      </c>
      <c r="K4" s="2" t="s">
        <v>14</v>
      </c>
      <c r="L4" s="1">
        <f t="shared" si="1"/>
        <v>0.7715156943</v>
      </c>
      <c r="M4" s="1">
        <f t="shared" si="2"/>
        <v>1</v>
      </c>
    </row>
    <row r="5">
      <c r="A5" s="3" t="s">
        <v>15</v>
      </c>
      <c r="B5" s="3">
        <v>4300.0</v>
      </c>
      <c r="C5" s="3">
        <v>13800.0</v>
      </c>
      <c r="D5" s="3">
        <v>8.0</v>
      </c>
      <c r="E5" s="3">
        <v>2.5</v>
      </c>
      <c r="F5" s="3">
        <v>512.0</v>
      </c>
      <c r="H5" s="2" t="s">
        <v>3</v>
      </c>
      <c r="I5" s="14">
        <f>'AHP-Weights'!K5</f>
        <v>0.03609193418</v>
      </c>
      <c r="K5" s="2" t="s">
        <v>15</v>
      </c>
      <c r="L5" s="1">
        <f t="shared" si="1"/>
        <v>0.2848364336</v>
      </c>
      <c r="M5" s="1">
        <f t="shared" si="2"/>
        <v>4</v>
      </c>
    </row>
    <row r="6">
      <c r="A6" s="3" t="s">
        <v>16</v>
      </c>
      <c r="B6" s="3">
        <v>4700.0</v>
      </c>
      <c r="C6" s="3">
        <v>16000.0</v>
      </c>
      <c r="D6" s="3">
        <v>6.0</v>
      </c>
      <c r="E6" s="3">
        <v>2.1</v>
      </c>
      <c r="F6" s="3">
        <v>512.0</v>
      </c>
      <c r="H6" s="2" t="s">
        <v>4</v>
      </c>
      <c r="I6" s="14">
        <f>'AHP-Weights'!K6</f>
        <v>0.1117336961</v>
      </c>
      <c r="K6" s="2" t="s">
        <v>16</v>
      </c>
      <c r="L6" s="1">
        <f t="shared" si="1"/>
        <v>0.442647638</v>
      </c>
      <c r="M6" s="1">
        <f t="shared" si="2"/>
        <v>2</v>
      </c>
    </row>
    <row r="7">
      <c r="A7" s="3" t="s">
        <v>17</v>
      </c>
      <c r="B7" s="3">
        <v>4200.0</v>
      </c>
      <c r="C7" s="3">
        <v>14500.0</v>
      </c>
      <c r="D7" s="3">
        <v>9.0</v>
      </c>
      <c r="E7" s="3">
        <v>2.0</v>
      </c>
      <c r="F7" s="3">
        <v>256.0</v>
      </c>
      <c r="K7" s="2" t="s">
        <v>17</v>
      </c>
      <c r="L7" s="1">
        <f t="shared" si="1"/>
        <v>0.2394639866</v>
      </c>
      <c r="M7" s="1">
        <f t="shared" si="2"/>
        <v>5</v>
      </c>
    </row>
    <row r="11">
      <c r="A11" s="20" t="s">
        <v>20</v>
      </c>
    </row>
    <row r="12">
      <c r="A12" s="2" t="s">
        <v>8</v>
      </c>
      <c r="B12" s="11" t="s">
        <v>0</v>
      </c>
      <c r="C12" s="12" t="s">
        <v>1</v>
      </c>
      <c r="D12" s="12" t="s">
        <v>2</v>
      </c>
      <c r="E12" s="11" t="s">
        <v>3</v>
      </c>
      <c r="F12" s="13" t="s">
        <v>4</v>
      </c>
      <c r="H12" s="2" t="s">
        <v>8</v>
      </c>
      <c r="I12" s="2" t="s">
        <v>21</v>
      </c>
      <c r="J12" s="2" t="s">
        <v>22</v>
      </c>
    </row>
    <row r="13">
      <c r="A13" s="3" t="s">
        <v>12</v>
      </c>
      <c r="B13" s="21">
        <f t="shared" ref="B13:B18" si="3">(B2*$I$2)/SQRT(SUMSQ(B$2:B$7))</f>
        <v>0.09952325994</v>
      </c>
      <c r="C13" s="21">
        <f t="shared" ref="C13:C18" si="4">(C2*$I$3)/SQRT(SUMSQ(C$2:C$7))</f>
        <v>0.2270658056</v>
      </c>
      <c r="D13" s="21">
        <f t="shared" ref="D13:D18" si="5">(D2*$I$4)/SQRT(SUMSQ(D$2:D$7))</f>
        <v>0.0230001627</v>
      </c>
      <c r="E13" s="21">
        <f t="shared" ref="E13:E18" si="6">(E2*$I$5)/SQRT(SUMSQ(E$2:E$7))</f>
        <v>0.01395916533</v>
      </c>
      <c r="F13" s="21">
        <f t="shared" ref="F13:F18" si="7">(F2*$I$6)/SQRT(SUMSQ(F$2:F$7))</f>
        <v>0.04079937718</v>
      </c>
      <c r="H13" s="2" t="s">
        <v>12</v>
      </c>
      <c r="I13" s="22">
        <f t="array" ref="I13">SQRT(SUMSQ($B13:$F13-$B$19:$F$19))</f>
        <v>0.05041111871</v>
      </c>
      <c r="J13" s="22">
        <f t="array" ref="J13">SQRT(SUMSQ($B13:$F13-$B$20:$F$20))</f>
        <v>0.03327538238</v>
      </c>
    </row>
    <row r="14">
      <c r="A14" s="3" t="s">
        <v>13</v>
      </c>
      <c r="B14" s="21">
        <f t="shared" si="3"/>
        <v>0.08846511995</v>
      </c>
      <c r="C14" s="21">
        <f t="shared" si="4"/>
        <v>0.2080215768</v>
      </c>
      <c r="D14" s="21">
        <f t="shared" si="5"/>
        <v>0.02683352315</v>
      </c>
      <c r="E14" s="21">
        <f t="shared" si="6"/>
        <v>0.01535508186</v>
      </c>
      <c r="F14" s="21">
        <f t="shared" si="7"/>
        <v>0.02039968859</v>
      </c>
      <c r="H14" s="2" t="s">
        <v>13</v>
      </c>
      <c r="I14" s="22">
        <f t="array" ref="I14">SQRT(SUMSQ($B14:$F14-$B$19:$F$19))</f>
        <v>0.0757848578</v>
      </c>
      <c r="J14" s="22">
        <f t="array" ref="J14">SQRT(SUMSQ($B14:$F14-$B$20:$F$20))</f>
        <v>0.02026185673</v>
      </c>
    </row>
    <row r="15">
      <c r="A15" s="3" t="s">
        <v>14</v>
      </c>
      <c r="B15" s="21">
        <f t="shared" si="3"/>
        <v>0.1061581439</v>
      </c>
      <c r="C15" s="21">
        <f t="shared" si="4"/>
        <v>0.2519697972</v>
      </c>
      <c r="D15" s="21">
        <f t="shared" si="5"/>
        <v>0.01916680225</v>
      </c>
      <c r="E15" s="21">
        <f t="shared" si="6"/>
        <v>0.01256324879</v>
      </c>
      <c r="F15" s="21">
        <f t="shared" si="7"/>
        <v>0.08159875436</v>
      </c>
      <c r="H15" s="2" t="s">
        <v>14</v>
      </c>
      <c r="I15" s="22">
        <f t="array" ref="I15">SQRT(SUMSQ($B15:$F15-$B$19:$F$19))</f>
        <v>0.02341276437</v>
      </c>
      <c r="J15" s="22">
        <f t="array" ref="J15">SQRT(SUMSQ($B15:$F15-$B$20:$F$20))</f>
        <v>0.07905713744</v>
      </c>
    </row>
    <row r="16">
      <c r="A16" s="3" t="s">
        <v>15</v>
      </c>
      <c r="B16" s="21">
        <f t="shared" si="3"/>
        <v>0.09510000394</v>
      </c>
      <c r="C16" s="21">
        <f t="shared" si="4"/>
        <v>0.202161814</v>
      </c>
      <c r="D16" s="21">
        <f t="shared" si="5"/>
        <v>0.0306668836</v>
      </c>
      <c r="E16" s="21">
        <f t="shared" si="6"/>
        <v>0.01744895666</v>
      </c>
      <c r="F16" s="21">
        <f t="shared" si="7"/>
        <v>0.04079937718</v>
      </c>
      <c r="H16" s="2" t="s">
        <v>15</v>
      </c>
      <c r="I16" s="22">
        <f t="array" ref="I16">SQRT(SUMSQ($B16:$F16-$B$19:$F$19))</f>
        <v>0.06502315622</v>
      </c>
      <c r="J16" s="22">
        <f t="array" ref="J16">SQRT(SUMSQ($B16:$F16-$B$20:$F$20))</f>
        <v>0.02589752161</v>
      </c>
    </row>
    <row r="17">
      <c r="A17" s="3" t="s">
        <v>16</v>
      </c>
      <c r="B17" s="21">
        <f t="shared" si="3"/>
        <v>0.1039465159</v>
      </c>
      <c r="C17" s="21">
        <f t="shared" si="4"/>
        <v>0.234390509</v>
      </c>
      <c r="D17" s="21">
        <f t="shared" si="5"/>
        <v>0.0230001627</v>
      </c>
      <c r="E17" s="21">
        <f t="shared" si="6"/>
        <v>0.01465712359</v>
      </c>
      <c r="F17" s="21">
        <f t="shared" si="7"/>
        <v>0.04079937718</v>
      </c>
      <c r="H17" s="2" t="s">
        <v>16</v>
      </c>
      <c r="I17" s="22">
        <f t="array" ref="I17">SQRT(SUMSQ($B17:$F17-$B$19:$F$19))</f>
        <v>0.04847608024</v>
      </c>
      <c r="J17" s="22">
        <f t="array" ref="J17">SQRT(SUMSQ($B17:$F17-$B$20:$F$20))</f>
        <v>0.03849956309</v>
      </c>
    </row>
    <row r="18">
      <c r="A18" s="3" t="s">
        <v>17</v>
      </c>
      <c r="B18" s="21">
        <f t="shared" si="3"/>
        <v>0.09288837594</v>
      </c>
      <c r="C18" s="21">
        <f t="shared" si="4"/>
        <v>0.2124163988</v>
      </c>
      <c r="D18" s="21">
        <f t="shared" si="5"/>
        <v>0.03450024405</v>
      </c>
      <c r="E18" s="21">
        <f t="shared" si="6"/>
        <v>0.01395916533</v>
      </c>
      <c r="F18" s="21">
        <f t="shared" si="7"/>
        <v>0.02039968859</v>
      </c>
      <c r="H18" s="2" t="s">
        <v>17</v>
      </c>
      <c r="I18" s="22">
        <f t="array" ref="I18">SQRT(SUMSQ($B18:$F18-$B$19:$F$19))</f>
        <v>0.07301582536</v>
      </c>
      <c r="J18" s="22">
        <f t="array" ref="J18">SQRT(SUMSQ($B18:$F18-$B$20:$F$20))</f>
        <v>0.02298991806</v>
      </c>
    </row>
    <row r="19">
      <c r="A19" s="20" t="s">
        <v>23</v>
      </c>
      <c r="B19" s="23">
        <f>MIN(B$13:B$17)</f>
        <v>0.08846511995</v>
      </c>
      <c r="C19" s="23">
        <f t="shared" ref="C19:D19" si="8">MAX(C$13:C$18)</f>
        <v>0.2519697972</v>
      </c>
      <c r="D19" s="23">
        <f t="shared" si="8"/>
        <v>0.03450024405</v>
      </c>
      <c r="E19" s="23">
        <f>MIN(E$13:E$17)</f>
        <v>0.01256324879</v>
      </c>
      <c r="F19" s="23">
        <f>MAX(F$13:F$18)</f>
        <v>0.08159875436</v>
      </c>
    </row>
    <row r="20">
      <c r="A20" s="20" t="s">
        <v>24</v>
      </c>
      <c r="B20" s="23">
        <f>MAX(B$13:B$18)</f>
        <v>0.1061581439</v>
      </c>
      <c r="C20" s="23">
        <f t="shared" ref="C20:D20" si="9">MIN(C$13:C$17)</f>
        <v>0.202161814</v>
      </c>
      <c r="D20" s="23">
        <f t="shared" si="9"/>
        <v>0.01916680225</v>
      </c>
      <c r="E20" s="23">
        <f>MAX(E$13:E$18)</f>
        <v>0.01744895666</v>
      </c>
      <c r="F20" s="23">
        <f>MIN(F$13:F$17)</f>
        <v>0.02039968859</v>
      </c>
    </row>
  </sheetData>
  <conditionalFormatting sqref="L2:L7">
    <cfRule type="colorScale" priority="1">
      <colorScale>
        <cfvo type="min"/>
        <cfvo type="percentile" val="50"/>
        <cfvo type="max"/>
        <color rgb="FFE06666"/>
        <color rgb="FFFFD666"/>
        <color rgb="FF93C47D"/>
      </colorScale>
    </cfRule>
  </conditionalFormatting>
  <conditionalFormatting sqref="M2:M7">
    <cfRule type="colorScale" priority="2">
      <colorScale>
        <cfvo type="min"/>
        <cfvo type="percentile" val="50"/>
        <cfvo type="max"/>
        <color rgb="FF93C47D"/>
        <color rgb="FFFFD666"/>
        <color rgb="FFE06666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9.25"/>
    <col customWidth="1" min="3" max="3" width="30.5"/>
    <col customWidth="1" min="5" max="5" width="10.0"/>
    <col customWidth="1" min="6" max="6" width="18.38"/>
    <col customWidth="1" min="13" max="13" width="14.13"/>
  </cols>
  <sheetData>
    <row r="1">
      <c r="A1" s="2" t="s">
        <v>8</v>
      </c>
      <c r="B1" s="11" t="s">
        <v>0</v>
      </c>
      <c r="C1" s="12" t="s">
        <v>1</v>
      </c>
      <c r="D1" s="12" t="s">
        <v>2</v>
      </c>
      <c r="E1" s="11" t="s">
        <v>3</v>
      </c>
      <c r="F1" s="13" t="s">
        <v>4</v>
      </c>
      <c r="H1" s="2" t="s">
        <v>8</v>
      </c>
      <c r="I1" s="2" t="s">
        <v>25</v>
      </c>
      <c r="J1" s="2" t="s">
        <v>11</v>
      </c>
      <c r="L1" s="2" t="s">
        <v>8</v>
      </c>
      <c r="M1" s="2" t="s">
        <v>26</v>
      </c>
      <c r="N1" s="2" t="s">
        <v>11</v>
      </c>
    </row>
    <row r="2">
      <c r="A2" s="3" t="s">
        <v>12</v>
      </c>
      <c r="B2" s="3">
        <v>4500.0</v>
      </c>
      <c r="C2" s="3">
        <v>15500.0</v>
      </c>
      <c r="D2" s="3">
        <v>6.0</v>
      </c>
      <c r="E2" s="3">
        <v>2.0</v>
      </c>
      <c r="F2" s="3">
        <v>512.0</v>
      </c>
      <c r="H2" s="2" t="s">
        <v>12</v>
      </c>
      <c r="I2" s="1">
        <f>SAW!L2</f>
        <v>0.4427955251</v>
      </c>
      <c r="J2" s="1">
        <f t="shared" ref="J2:J7" si="1">MATCH($I2,SORT($I$2:$I$7,$I$2:$I$7,FALSE),0)</f>
        <v>3</v>
      </c>
      <c r="L2" s="2" t="s">
        <v>12</v>
      </c>
      <c r="M2" s="1">
        <f>TOPSIS!L2</f>
        <v>0.3976194721</v>
      </c>
      <c r="N2" s="1">
        <f t="shared" ref="N2:N7" si="2">MATCH($M2,SORT($M$2:$M$7,$M$2:$M$7,FALSE),0)</f>
        <v>3</v>
      </c>
    </row>
    <row r="3">
      <c r="A3" s="3" t="s">
        <v>13</v>
      </c>
      <c r="B3" s="3">
        <v>4000.0</v>
      </c>
      <c r="C3" s="3">
        <v>14200.0</v>
      </c>
      <c r="D3" s="3">
        <v>7.0</v>
      </c>
      <c r="E3" s="3">
        <v>2.2</v>
      </c>
      <c r="F3" s="3">
        <v>256.0</v>
      </c>
      <c r="H3" s="2" t="s">
        <v>13</v>
      </c>
      <c r="I3" s="1">
        <f>SAW!L3</f>
        <v>0.3522663654</v>
      </c>
      <c r="J3" s="1">
        <f t="shared" si="1"/>
        <v>5</v>
      </c>
      <c r="L3" s="2" t="s">
        <v>13</v>
      </c>
      <c r="M3" s="1">
        <f>TOPSIS!L3</f>
        <v>0.2109583532</v>
      </c>
      <c r="N3" s="1">
        <f t="shared" si="2"/>
        <v>6</v>
      </c>
    </row>
    <row r="4">
      <c r="A4" s="3" t="s">
        <v>14</v>
      </c>
      <c r="B4" s="3">
        <v>4800.0</v>
      </c>
      <c r="C4" s="3">
        <v>17200.0</v>
      </c>
      <c r="D4" s="3">
        <v>5.0</v>
      </c>
      <c r="E4" s="3">
        <v>1.8</v>
      </c>
      <c r="F4" s="3">
        <v>1024.0</v>
      </c>
      <c r="H4" s="2" t="s">
        <v>14</v>
      </c>
      <c r="I4" s="1">
        <f>SAW!L4</f>
        <v>0.6948628058</v>
      </c>
      <c r="J4" s="1">
        <f t="shared" si="1"/>
        <v>1</v>
      </c>
      <c r="L4" s="2" t="s">
        <v>14</v>
      </c>
      <c r="M4" s="1">
        <f>TOPSIS!L4</f>
        <v>0.7715156943</v>
      </c>
      <c r="N4" s="1">
        <f t="shared" si="2"/>
        <v>1</v>
      </c>
    </row>
    <row r="5">
      <c r="A5" s="3" t="s">
        <v>15</v>
      </c>
      <c r="B5" s="3">
        <v>4300.0</v>
      </c>
      <c r="C5" s="3">
        <v>13800.0</v>
      </c>
      <c r="D5" s="3">
        <v>8.0</v>
      </c>
      <c r="E5" s="3">
        <v>2.5</v>
      </c>
      <c r="F5" s="3">
        <v>512.0</v>
      </c>
      <c r="H5" s="2" t="s">
        <v>15</v>
      </c>
      <c r="I5" s="1">
        <f>SAW!L5</f>
        <v>0.2361293406</v>
      </c>
      <c r="J5" s="1">
        <f t="shared" si="1"/>
        <v>6</v>
      </c>
      <c r="L5" s="2" t="s">
        <v>15</v>
      </c>
      <c r="M5" s="1">
        <f>TOPSIS!L5</f>
        <v>0.2848364336</v>
      </c>
      <c r="N5" s="1">
        <f t="shared" si="2"/>
        <v>4</v>
      </c>
    </row>
    <row r="6">
      <c r="A6" s="3" t="s">
        <v>16</v>
      </c>
      <c r="B6" s="3">
        <v>4700.0</v>
      </c>
      <c r="C6" s="3">
        <v>16000.0</v>
      </c>
      <c r="D6" s="3">
        <v>6.0</v>
      </c>
      <c r="E6" s="3">
        <v>2.1</v>
      </c>
      <c r="F6" s="3">
        <v>512.0</v>
      </c>
      <c r="H6" s="2" t="s">
        <v>16</v>
      </c>
      <c r="I6" s="1">
        <f>SAW!L6</f>
        <v>0.4581499371</v>
      </c>
      <c r="J6" s="1">
        <f t="shared" si="1"/>
        <v>2</v>
      </c>
      <c r="L6" s="2" t="s">
        <v>16</v>
      </c>
      <c r="M6" s="1">
        <f>TOPSIS!L6</f>
        <v>0.442647638</v>
      </c>
      <c r="N6" s="1">
        <f t="shared" si="2"/>
        <v>2</v>
      </c>
    </row>
    <row r="7">
      <c r="A7" s="3" t="s">
        <v>17</v>
      </c>
      <c r="B7" s="3">
        <v>4200.0</v>
      </c>
      <c r="C7" s="3">
        <v>14500.0</v>
      </c>
      <c r="D7" s="3">
        <v>9.0</v>
      </c>
      <c r="E7" s="3">
        <v>2.0</v>
      </c>
      <c r="F7" s="3">
        <v>256.0</v>
      </c>
      <c r="H7" s="2" t="s">
        <v>17</v>
      </c>
      <c r="I7" s="1">
        <f>SAW!L7</f>
        <v>0.3836062072</v>
      </c>
      <c r="J7" s="1">
        <f t="shared" si="1"/>
        <v>4</v>
      </c>
      <c r="L7" s="2" t="s">
        <v>17</v>
      </c>
      <c r="M7" s="1">
        <f>TOPSIS!L7</f>
        <v>0.2394639866</v>
      </c>
      <c r="N7" s="1">
        <f t="shared" si="2"/>
        <v>5</v>
      </c>
    </row>
    <row r="8">
      <c r="A8" s="2" t="s">
        <v>9</v>
      </c>
      <c r="B8" s="22">
        <f>'AHP-Weights'!K2</f>
        <v>0.2397449636</v>
      </c>
      <c r="C8" s="22">
        <f>'AHP-Weights'!K3</f>
        <v>0.5470371755</v>
      </c>
      <c r="D8" s="22">
        <f>'AHP-Weights'!K4</f>
        <v>0.06539223066</v>
      </c>
      <c r="E8" s="22">
        <f>'AHP-Weights'!K5</f>
        <v>0.03609193418</v>
      </c>
      <c r="F8" s="22">
        <f>'AHP-Weights'!K6</f>
        <v>0.1117336961</v>
      </c>
    </row>
    <row r="25">
      <c r="A25" s="24" t="s">
        <v>27</v>
      </c>
    </row>
  </sheetData>
  <mergeCells count="1">
    <mergeCell ref="A25:K40"/>
  </mergeCells>
  <conditionalFormatting sqref="I2:I7 M2:M7">
    <cfRule type="colorScale" priority="1">
      <colorScale>
        <cfvo type="min"/>
        <cfvo type="percentile" val="50"/>
        <cfvo type="max"/>
        <color rgb="FFE06666"/>
        <color rgb="FFFFD666"/>
        <color rgb="FF93C47D"/>
      </colorScale>
    </cfRule>
  </conditionalFormatting>
  <conditionalFormatting sqref="J2:J7 N2:N7">
    <cfRule type="colorScale" priority="2">
      <colorScale>
        <cfvo type="min"/>
        <cfvo type="percentile" val="50"/>
        <cfvo type="max"/>
        <color rgb="FF93C47D"/>
        <color rgb="FFFFD666"/>
        <color rgb="FFE06666"/>
      </colorScale>
    </cfRule>
  </conditionalFormatting>
  <conditionalFormatting sqref="B8:F8">
    <cfRule type="colorScale" priority="3">
      <colorScale>
        <cfvo type="min"/>
        <cfvo type="percentile" val="50"/>
        <cfvo type="max"/>
        <color rgb="FFE06666"/>
        <color rgb="FFFFD666"/>
        <color rgb="FF93C47D"/>
      </colorScale>
    </cfRule>
  </conditionalFormatting>
  <drawing r:id="rId1"/>
</worksheet>
</file>