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warr\Documents\"/>
    </mc:Choice>
  </mc:AlternateContent>
  <xr:revisionPtr revIDLastSave="0" documentId="13_ncr:1_{CAE5A6AB-10C7-4FED-967E-06581D102A7B}" xr6:coauthVersionLast="47" xr6:coauthVersionMax="47" xr10:uidLastSave="{00000000-0000-0000-0000-000000000000}"/>
  <bookViews>
    <workbookView xWindow="-120" yWindow="-120" windowWidth="29040" windowHeight="15720" tabRatio="998" activeTab="6" xr2:uid="{331768DC-9689-46E6-8723-44B2203B5084}"/>
  </bookViews>
  <sheets>
    <sheet name="DATA" sheetId="1" r:id="rId1"/>
    <sheet name="Formuals" sheetId="5" r:id="rId2"/>
    <sheet name="STATS" sheetId="26" r:id="rId3"/>
    <sheet name="Ranks" sheetId="30" r:id="rId4"/>
    <sheet name="All Players" sheetId="27" r:id="rId5"/>
    <sheet name="Retirees" sheetId="28" r:id="rId6"/>
    <sheet name="New Generation" sheetId="29" r:id="rId7"/>
    <sheet name="Rhino Rampage" sheetId="12" r:id="rId8"/>
    <sheet name="Season 1 - League Table" sheetId="32" r:id="rId9"/>
    <sheet name="Season 1 - Player Stats" sheetId="31" r:id="rId10"/>
    <sheet name="Season 1 - Offseason" sheetId="33" r:id="rId11"/>
    <sheet name="Season 2 - Preseason" sheetId="35" r:id="rId12"/>
    <sheet name="Eagle Eyed United" sheetId="2" state="hidden" r:id="rId13"/>
    <sheet name="Lionheart Rovers" sheetId="3" state="hidden" r:id="rId14"/>
    <sheet name="Cobra Strike FC" sheetId="4" state="hidden" r:id="rId15"/>
    <sheet name="Falcon Flyers" sheetId="6" state="hidden" r:id="rId16"/>
    <sheet name="Sharkfin Athletic" sheetId="9" state="hidden" r:id="rId17"/>
    <sheet name="Panther Prowlers" sheetId="7" state="hidden" r:id="rId18"/>
    <sheet name="Wolfpack Wanderers" sheetId="10" state="hidden" r:id="rId19"/>
    <sheet name="Tiger Tacklers" sheetId="13" state="hidden" r:id="rId20"/>
    <sheet name="Bear Brigade" sheetId="14" state="hidden" r:id="rId21"/>
    <sheet name="Hawk Haven" sheetId="15" state="hidden" r:id="rId22"/>
    <sheet name="Python Power" sheetId="16" state="hidden" r:id="rId23"/>
    <sheet name="Dolphin Dribblers" sheetId="17" state="hidden" r:id="rId24"/>
    <sheet name="Jaguar Juggernauts" sheetId="18" state="hidden" r:id="rId25"/>
    <sheet name="Elephant Elites" sheetId="20" state="hidden" r:id="rId26"/>
    <sheet name="Cheetah Chasers" sheetId="21" state="hidden" r:id="rId27"/>
    <sheet name="Raven Raiders" sheetId="22" state="hidden" r:id="rId28"/>
    <sheet name="Stallion Strikers" sheetId="23" state="hidden" r:id="rId29"/>
    <sheet name="Buffalo Battlers" sheetId="24" state="hidden" r:id="rId30"/>
    <sheet name="Gorilla Goalscorers" sheetId="25" state="hidden" r:id="rId31"/>
  </sheets>
  <definedNames>
    <definedName name="_xlnm._FilterDatabase" localSheetId="4" hidden="1">'All Players'!$A$3:$W$223</definedName>
    <definedName name="_xlnm._FilterDatabase" localSheetId="0" hidden="1">DATA!$A$1:$G$21</definedName>
    <definedName name="_xlnm._FilterDatabase" localSheetId="3" hidden="1">Ranks!$A$1:$G$21</definedName>
    <definedName name="_xlnm._FilterDatabase" localSheetId="10" hidden="1">'Season 1 - Offseason'!$A$16:$Y$28</definedName>
    <definedName name="_xlnm._FilterDatabase" localSheetId="9" hidden="1">'Season 1 - Player Stats'!$A$3:$AB$3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4" i="26" l="1"/>
  <c r="C24" i="26"/>
  <c r="D24" i="26"/>
  <c r="E24" i="26"/>
  <c r="F24" i="26"/>
  <c r="G24" i="26"/>
  <c r="H24" i="26"/>
  <c r="B25" i="26"/>
  <c r="C25" i="26"/>
  <c r="D25" i="26"/>
  <c r="E25" i="26"/>
  <c r="F25" i="26"/>
  <c r="G25" i="26"/>
  <c r="H25" i="26"/>
  <c r="B26" i="26"/>
  <c r="C26" i="26"/>
  <c r="D26" i="26"/>
  <c r="E26" i="26"/>
  <c r="F26" i="26"/>
  <c r="G26" i="26"/>
  <c r="H26" i="26"/>
  <c r="B27" i="26"/>
  <c r="C27" i="26"/>
  <c r="D27" i="26"/>
  <c r="E27" i="26"/>
  <c r="F27" i="26"/>
  <c r="G27" i="26"/>
  <c r="H27" i="26"/>
  <c r="B28" i="26"/>
  <c r="C28" i="26"/>
  <c r="D28" i="26"/>
  <c r="E28" i="26"/>
  <c r="F28" i="26"/>
  <c r="G28" i="26"/>
  <c r="H28" i="26"/>
  <c r="B29" i="26"/>
  <c r="C29" i="26"/>
  <c r="D29" i="26"/>
  <c r="E29" i="26"/>
  <c r="F29" i="26"/>
  <c r="G29" i="26"/>
  <c r="H29" i="26"/>
  <c r="B30" i="26"/>
  <c r="C30" i="26"/>
  <c r="D30" i="26"/>
  <c r="E30" i="26"/>
  <c r="F30" i="26"/>
  <c r="G30" i="26"/>
  <c r="H30" i="26"/>
  <c r="B31" i="26"/>
  <c r="C31" i="26"/>
  <c r="D31" i="26"/>
  <c r="E31" i="26"/>
  <c r="F31" i="26"/>
  <c r="G31" i="26"/>
  <c r="H31" i="26"/>
  <c r="B32" i="26"/>
  <c r="C32" i="26"/>
  <c r="D32" i="26"/>
  <c r="E32" i="26"/>
  <c r="F32" i="26"/>
  <c r="G32" i="26"/>
  <c r="H32" i="26"/>
  <c r="B33" i="26"/>
  <c r="C33" i="26"/>
  <c r="D33" i="26"/>
  <c r="E33" i="26"/>
  <c r="F33" i="26"/>
  <c r="G33" i="26"/>
  <c r="H33" i="26"/>
  <c r="B34" i="26"/>
  <c r="C34" i="26"/>
  <c r="D34" i="26"/>
  <c r="E34" i="26"/>
  <c r="F34" i="26"/>
  <c r="G34" i="26"/>
  <c r="H34" i="26"/>
  <c r="B35" i="26"/>
  <c r="C35" i="26"/>
  <c r="D35" i="26"/>
  <c r="E35" i="26"/>
  <c r="F35" i="26"/>
  <c r="G35" i="26"/>
  <c r="H35" i="26"/>
  <c r="B36" i="26"/>
  <c r="C36" i="26"/>
  <c r="D36" i="26"/>
  <c r="E36" i="26"/>
  <c r="F36" i="26"/>
  <c r="G36" i="26"/>
  <c r="H36" i="26"/>
  <c r="B37" i="26"/>
  <c r="C37" i="26"/>
  <c r="D37" i="26"/>
  <c r="E37" i="26"/>
  <c r="F37" i="26"/>
  <c r="G37" i="26"/>
  <c r="H37" i="26"/>
  <c r="B38" i="26"/>
  <c r="C38" i="26"/>
  <c r="D38" i="26"/>
  <c r="E38" i="26"/>
  <c r="F38" i="26"/>
  <c r="G38" i="26"/>
  <c r="H38" i="26"/>
  <c r="B39" i="26"/>
  <c r="C39" i="26"/>
  <c r="D39" i="26"/>
  <c r="E39" i="26"/>
  <c r="F39" i="26"/>
  <c r="G39" i="26"/>
  <c r="H39" i="26"/>
  <c r="B40" i="26"/>
  <c r="C40" i="26"/>
  <c r="D40" i="26"/>
  <c r="E40" i="26"/>
  <c r="F40" i="26"/>
  <c r="G40" i="26"/>
  <c r="H40" i="26"/>
  <c r="B41" i="26"/>
  <c r="C41" i="26"/>
  <c r="D41" i="26"/>
  <c r="E41" i="26"/>
  <c r="F41" i="26"/>
  <c r="G41" i="26"/>
  <c r="H41" i="26"/>
  <c r="B42" i="26"/>
  <c r="C42" i="26"/>
  <c r="D42" i="26"/>
  <c r="E42" i="26"/>
  <c r="F42" i="26"/>
  <c r="G42" i="26"/>
  <c r="H42" i="26"/>
  <c r="F23" i="26"/>
  <c r="G23" i="26"/>
  <c r="H23" i="26"/>
  <c r="C23" i="26"/>
  <c r="D23" i="26"/>
  <c r="E23" i="26"/>
  <c r="B23" i="26"/>
  <c r="A37" i="26"/>
  <c r="A38" i="26"/>
  <c r="A39" i="26"/>
  <c r="A40" i="26"/>
  <c r="A41" i="26"/>
  <c r="A42" i="26"/>
  <c r="A24" i="26"/>
  <c r="A25" i="26"/>
  <c r="A26" i="26"/>
  <c r="A27" i="26"/>
  <c r="A28" i="26"/>
  <c r="A29" i="26"/>
  <c r="A30" i="26"/>
  <c r="A31" i="26"/>
  <c r="A32" i="26"/>
  <c r="A33" i="26"/>
  <c r="A34" i="26"/>
  <c r="A35" i="26"/>
  <c r="A36" i="26"/>
  <c r="A23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" i="26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" i="1"/>
  <c r="L52" i="27"/>
  <c r="W17" i="27"/>
  <c r="L17" i="27"/>
  <c r="I9" i="3"/>
  <c r="L18" i="27"/>
  <c r="L19" i="27"/>
  <c r="L20" i="27"/>
  <c r="L21" i="27"/>
  <c r="L22" i="27"/>
  <c r="L23" i="27"/>
  <c r="L24" i="27"/>
  <c r="L25" i="27"/>
  <c r="L26" i="27"/>
  <c r="L27" i="27"/>
  <c r="L28" i="27"/>
  <c r="E8" i="4"/>
  <c r="D8" i="4"/>
  <c r="G17" i="3"/>
  <c r="F17" i="3"/>
  <c r="I15" i="3"/>
  <c r="H15" i="3"/>
  <c r="B14" i="3"/>
  <c r="D12" i="3"/>
  <c r="C12" i="3"/>
  <c r="F10" i="3"/>
  <c r="E10" i="3"/>
  <c r="L174" i="27"/>
  <c r="H12" i="21"/>
  <c r="L172" i="27"/>
  <c r="H10" i="21"/>
  <c r="Z28" i="33"/>
  <c r="Z27" i="33"/>
  <c r="Z26" i="33"/>
  <c r="Z25" i="33"/>
  <c r="Z24" i="33"/>
  <c r="Z23" i="33"/>
  <c r="Z22" i="33"/>
  <c r="Z21" i="33"/>
  <c r="Z20" i="33"/>
  <c r="Z19" i="33"/>
  <c r="Z18" i="33"/>
  <c r="Z17" i="33"/>
  <c r="C21" i="35"/>
  <c r="C20" i="35"/>
  <c r="C19" i="35"/>
  <c r="C18" i="35"/>
  <c r="C17" i="35"/>
  <c r="C16" i="35"/>
  <c r="C15" i="35"/>
  <c r="C14" i="35"/>
  <c r="C13" i="35"/>
  <c r="C12" i="35"/>
  <c r="C11" i="35"/>
  <c r="C10" i="35"/>
  <c r="C9" i="35"/>
  <c r="C8" i="35"/>
  <c r="C7" i="35"/>
  <c r="C6" i="35"/>
  <c r="C5" i="35"/>
  <c r="C4" i="35"/>
  <c r="C3" i="35"/>
  <c r="C2" i="35"/>
  <c r="AD15" i="33"/>
  <c r="AD16" i="33"/>
  <c r="AD17" i="33"/>
  <c r="AM14" i="33"/>
  <c r="Y19" i="33"/>
  <c r="Y20" i="33"/>
  <c r="Y21" i="33"/>
  <c r="A20" i="33"/>
  <c r="A22" i="33"/>
  <c r="AC6" i="33"/>
  <c r="AD6" i="33" s="1"/>
  <c r="AC17" i="33"/>
  <c r="AC12" i="33"/>
  <c r="AC3" i="33"/>
  <c r="AD3" i="33" s="1"/>
  <c r="AC8" i="33"/>
  <c r="AD8" i="33" s="1"/>
  <c r="AC2" i="33"/>
  <c r="AD2" i="33" s="1"/>
  <c r="AC20" i="33"/>
  <c r="AD20" i="33" s="1"/>
  <c r="AC4" i="33"/>
  <c r="AD4" i="33" s="1"/>
  <c r="AC18" i="33"/>
  <c r="AD18" i="33" s="1"/>
  <c r="AC9" i="33"/>
  <c r="AD9" i="33" s="1"/>
  <c r="AC11" i="33"/>
  <c r="AC13" i="33"/>
  <c r="AC7" i="33"/>
  <c r="AD7" i="33" s="1"/>
  <c r="AC15" i="33"/>
  <c r="AC5" i="33"/>
  <c r="AD5" i="33" s="1"/>
  <c r="AC19" i="33"/>
  <c r="AD19" i="33" s="1"/>
  <c r="AC14" i="33"/>
  <c r="AC21" i="33"/>
  <c r="AD21" i="33" s="1"/>
  <c r="AC10" i="33"/>
  <c r="AD10" i="33" s="1"/>
  <c r="AC16" i="33"/>
  <c r="R5" i="32"/>
  <c r="R6" i="32"/>
  <c r="R7" i="32"/>
  <c r="R8" i="32"/>
  <c r="R9" i="32"/>
  <c r="R10" i="32"/>
  <c r="R11" i="32"/>
  <c r="R12" i="32"/>
  <c r="R13" i="32"/>
  <c r="R14" i="32"/>
  <c r="R15" i="32"/>
  <c r="R16" i="32"/>
  <c r="R17" i="32"/>
  <c r="R18" i="32"/>
  <c r="R19" i="32"/>
  <c r="R20" i="32"/>
  <c r="R21" i="32"/>
  <c r="R22" i="32"/>
  <c r="R23" i="32"/>
  <c r="R4" i="32"/>
  <c r="H3" i="30"/>
  <c r="H4" i="30"/>
  <c r="H5" i="30"/>
  <c r="H6" i="30"/>
  <c r="H7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" i="30"/>
  <c r="X4" i="31"/>
  <c r="X18" i="31"/>
  <c r="X5" i="31"/>
  <c r="X6" i="31"/>
  <c r="X7" i="31"/>
  <c r="X8" i="31"/>
  <c r="X9" i="31"/>
  <c r="X10" i="31"/>
  <c r="X11" i="31"/>
  <c r="X12" i="31"/>
  <c r="X13" i="31"/>
  <c r="X14" i="31"/>
  <c r="X15" i="31"/>
  <c r="X16" i="31"/>
  <c r="X17" i="31"/>
  <c r="X19" i="31"/>
  <c r="X20" i="31"/>
  <c r="X21" i="31"/>
  <c r="X22" i="31"/>
  <c r="X23" i="31"/>
  <c r="X24" i="31"/>
  <c r="X25" i="31"/>
  <c r="X26" i="31"/>
  <c r="X27" i="31"/>
  <c r="X28" i="31"/>
  <c r="X29" i="31"/>
  <c r="X30" i="31"/>
  <c r="X31" i="31"/>
  <c r="X32" i="31"/>
  <c r="X33" i="31"/>
  <c r="X34" i="31"/>
  <c r="X35" i="31"/>
  <c r="X36" i="31"/>
  <c r="X37" i="31"/>
  <c r="X38" i="31"/>
  <c r="X39" i="31"/>
  <c r="X40" i="31"/>
  <c r="X41" i="31"/>
  <c r="X42" i="31"/>
  <c r="X43" i="31"/>
  <c r="X44" i="31"/>
  <c r="X45" i="31"/>
  <c r="X46" i="31"/>
  <c r="X47" i="31"/>
  <c r="X48" i="31"/>
  <c r="X49" i="31"/>
  <c r="X50" i="31"/>
  <c r="X51" i="31"/>
  <c r="X52" i="31"/>
  <c r="X53" i="31"/>
  <c r="X54" i="31"/>
  <c r="X55" i="31"/>
  <c r="X56" i="31"/>
  <c r="X57" i="31"/>
  <c r="X58" i="31"/>
  <c r="X59" i="31"/>
  <c r="X60" i="31"/>
  <c r="X61" i="31"/>
  <c r="X62" i="31"/>
  <c r="X63" i="31"/>
  <c r="X64" i="31"/>
  <c r="X65" i="31"/>
  <c r="X66" i="31"/>
  <c r="X67" i="31"/>
  <c r="X68" i="31"/>
  <c r="X69" i="31"/>
  <c r="X70" i="31"/>
  <c r="X71" i="31"/>
  <c r="X72" i="31"/>
  <c r="X73" i="31"/>
  <c r="X74" i="31"/>
  <c r="X75" i="31"/>
  <c r="X76" i="31"/>
  <c r="X77" i="31"/>
  <c r="X78" i="31"/>
  <c r="X79" i="31"/>
  <c r="X80" i="31"/>
  <c r="X81" i="31"/>
  <c r="X82" i="31"/>
  <c r="X83" i="31"/>
  <c r="X84" i="31"/>
  <c r="X85" i="31"/>
  <c r="X86" i="31"/>
  <c r="X87" i="31"/>
  <c r="X88" i="31"/>
  <c r="X89" i="31"/>
  <c r="X90" i="31"/>
  <c r="X91" i="31"/>
  <c r="X92" i="31"/>
  <c r="X93" i="31"/>
  <c r="X94" i="31"/>
  <c r="X95" i="31"/>
  <c r="X96" i="31"/>
  <c r="X97" i="31"/>
  <c r="X98" i="31"/>
  <c r="X99" i="31"/>
  <c r="X100" i="31"/>
  <c r="X101" i="31"/>
  <c r="X102" i="31"/>
  <c r="X103" i="31"/>
  <c r="X104" i="31"/>
  <c r="X105" i="31"/>
  <c r="X106" i="31"/>
  <c r="X107" i="31"/>
  <c r="X108" i="31"/>
  <c r="X109" i="31"/>
  <c r="X110" i="31"/>
  <c r="X111" i="31"/>
  <c r="X112" i="31"/>
  <c r="X113" i="31"/>
  <c r="X114" i="31"/>
  <c r="X115" i="31"/>
  <c r="X116" i="31"/>
  <c r="X117" i="31"/>
  <c r="X118" i="31"/>
  <c r="X119" i="31"/>
  <c r="X120" i="31"/>
  <c r="X121" i="31"/>
  <c r="X122" i="31"/>
  <c r="X123" i="31"/>
  <c r="X124" i="31"/>
  <c r="X125" i="31"/>
  <c r="X126" i="31"/>
  <c r="X127" i="31"/>
  <c r="X128" i="31"/>
  <c r="X129" i="31"/>
  <c r="X130" i="31"/>
  <c r="X131" i="31"/>
  <c r="X132" i="31"/>
  <c r="X133" i="31"/>
  <c r="X134" i="31"/>
  <c r="X135" i="31"/>
  <c r="X136" i="31"/>
  <c r="X137" i="31"/>
  <c r="X138" i="31"/>
  <c r="X139" i="31"/>
  <c r="X140" i="31"/>
  <c r="X141" i="31"/>
  <c r="X142" i="31"/>
  <c r="X143" i="31"/>
  <c r="X144" i="31"/>
  <c r="X145" i="31"/>
  <c r="X146" i="31"/>
  <c r="X147" i="31"/>
  <c r="X148" i="31"/>
  <c r="X149" i="31"/>
  <c r="X150" i="31"/>
  <c r="X151" i="31"/>
  <c r="X152" i="31"/>
  <c r="X153" i="31"/>
  <c r="X154" i="31"/>
  <c r="X155" i="31"/>
  <c r="X156" i="31"/>
  <c r="X157" i="31"/>
  <c r="X158" i="31"/>
  <c r="X159" i="31"/>
  <c r="X160" i="31"/>
  <c r="X161" i="31"/>
  <c r="X162" i="31"/>
  <c r="X163" i="31"/>
  <c r="X164" i="31"/>
  <c r="X165" i="31"/>
  <c r="X166" i="31"/>
  <c r="X167" i="31"/>
  <c r="X168" i="31"/>
  <c r="X169" i="31"/>
  <c r="X170" i="31"/>
  <c r="X171" i="31"/>
  <c r="X172" i="31"/>
  <c r="X173" i="31"/>
  <c r="X174" i="31"/>
  <c r="X175" i="31"/>
  <c r="X176" i="31"/>
  <c r="X177" i="31"/>
  <c r="X178" i="31"/>
  <c r="X179" i="31"/>
  <c r="X180" i="31"/>
  <c r="X181" i="31"/>
  <c r="X182" i="31"/>
  <c r="X183" i="31"/>
  <c r="X184" i="31"/>
  <c r="X185" i="31"/>
  <c r="X186" i="31"/>
  <c r="X187" i="31"/>
  <c r="X188" i="31"/>
  <c r="X189" i="31"/>
  <c r="X190" i="31"/>
  <c r="X191" i="31"/>
  <c r="X192" i="31"/>
  <c r="X193" i="31"/>
  <c r="X194" i="31"/>
  <c r="X195" i="31"/>
  <c r="X196" i="31"/>
  <c r="X197" i="31"/>
  <c r="X198" i="31"/>
  <c r="X199" i="31"/>
  <c r="X200" i="31"/>
  <c r="X201" i="31"/>
  <c r="X202" i="31"/>
  <c r="X203" i="31"/>
  <c r="X204" i="31"/>
  <c r="X205" i="31"/>
  <c r="X206" i="31"/>
  <c r="X207" i="31"/>
  <c r="X208" i="31"/>
  <c r="X209" i="31"/>
  <c r="X210" i="31"/>
  <c r="X211" i="31"/>
  <c r="X212" i="31"/>
  <c r="X213" i="31"/>
  <c r="X214" i="31"/>
  <c r="X215" i="31"/>
  <c r="X216" i="31"/>
  <c r="X217" i="31"/>
  <c r="X218" i="31"/>
  <c r="X219" i="31"/>
  <c r="X220" i="31"/>
  <c r="X221" i="31"/>
  <c r="X222" i="31"/>
  <c r="X223" i="31"/>
  <c r="X5" i="27"/>
  <c r="X6" i="27"/>
  <c r="X7" i="27"/>
  <c r="X8" i="27"/>
  <c r="X9" i="27"/>
  <c r="X10" i="27"/>
  <c r="X11" i="27"/>
  <c r="X12" i="27"/>
  <c r="X13" i="27"/>
  <c r="X14" i="27"/>
  <c r="X15" i="27"/>
  <c r="X16" i="27"/>
  <c r="X17" i="27"/>
  <c r="X18" i="27"/>
  <c r="X19" i="27"/>
  <c r="X20" i="27"/>
  <c r="X21" i="27"/>
  <c r="X22" i="27"/>
  <c r="X23" i="27"/>
  <c r="X24" i="27"/>
  <c r="X25" i="27"/>
  <c r="X26" i="27"/>
  <c r="X27" i="27"/>
  <c r="X28" i="27"/>
  <c r="X29" i="27"/>
  <c r="X30" i="27"/>
  <c r="X31" i="27"/>
  <c r="X32" i="27"/>
  <c r="X33" i="27"/>
  <c r="X34" i="27"/>
  <c r="X35" i="27"/>
  <c r="X36" i="27"/>
  <c r="X37" i="27"/>
  <c r="X38" i="27"/>
  <c r="X39" i="27"/>
  <c r="X40" i="27"/>
  <c r="X41" i="27"/>
  <c r="X42" i="27"/>
  <c r="X43" i="27"/>
  <c r="X44" i="27"/>
  <c r="X45" i="27"/>
  <c r="X46" i="27"/>
  <c r="X47" i="27"/>
  <c r="X48" i="27"/>
  <c r="X49" i="27"/>
  <c r="X50" i="27"/>
  <c r="X51" i="27"/>
  <c r="X52" i="27"/>
  <c r="X53" i="27"/>
  <c r="X54" i="27"/>
  <c r="X55" i="27"/>
  <c r="X56" i="27"/>
  <c r="X57" i="27"/>
  <c r="X58" i="27"/>
  <c r="X59" i="27"/>
  <c r="X60" i="27"/>
  <c r="X61" i="27"/>
  <c r="X62" i="27"/>
  <c r="X63" i="27"/>
  <c r="X64" i="27"/>
  <c r="X65" i="27"/>
  <c r="X66" i="27"/>
  <c r="X67" i="27"/>
  <c r="X68" i="27"/>
  <c r="X69" i="27"/>
  <c r="X70" i="27"/>
  <c r="X71" i="27"/>
  <c r="X72" i="27"/>
  <c r="X73" i="27"/>
  <c r="X74" i="27"/>
  <c r="X75" i="27"/>
  <c r="X76" i="27"/>
  <c r="X77" i="27"/>
  <c r="X78" i="27"/>
  <c r="X79" i="27"/>
  <c r="X80" i="27"/>
  <c r="X81" i="27"/>
  <c r="X82" i="27"/>
  <c r="X83" i="27"/>
  <c r="X84" i="27"/>
  <c r="X85" i="27"/>
  <c r="X86" i="27"/>
  <c r="X87" i="27"/>
  <c r="X88" i="27"/>
  <c r="X89" i="27"/>
  <c r="X90" i="27"/>
  <c r="X91" i="27"/>
  <c r="X92" i="27"/>
  <c r="X93" i="27"/>
  <c r="X94" i="27"/>
  <c r="X95" i="27"/>
  <c r="X96" i="27"/>
  <c r="X97" i="27"/>
  <c r="X98" i="27"/>
  <c r="X99" i="27"/>
  <c r="X100" i="27"/>
  <c r="X101" i="27"/>
  <c r="X102" i="27"/>
  <c r="X103" i="27"/>
  <c r="X104" i="27"/>
  <c r="X105" i="27"/>
  <c r="X106" i="27"/>
  <c r="X107" i="27"/>
  <c r="X108" i="27"/>
  <c r="X109" i="27"/>
  <c r="X110" i="27"/>
  <c r="X111" i="27"/>
  <c r="X112" i="27"/>
  <c r="X113" i="27"/>
  <c r="X114" i="27"/>
  <c r="X115" i="27"/>
  <c r="X116" i="27"/>
  <c r="X117" i="27"/>
  <c r="X118" i="27"/>
  <c r="X119" i="27"/>
  <c r="X120" i="27"/>
  <c r="X121" i="27"/>
  <c r="X122" i="27"/>
  <c r="X123" i="27"/>
  <c r="X124" i="27"/>
  <c r="X125" i="27"/>
  <c r="X126" i="27"/>
  <c r="X127" i="27"/>
  <c r="X128" i="27"/>
  <c r="X129" i="27"/>
  <c r="X130" i="27"/>
  <c r="X131" i="27"/>
  <c r="X132" i="27"/>
  <c r="X133" i="27"/>
  <c r="X134" i="27"/>
  <c r="X135" i="27"/>
  <c r="X136" i="27"/>
  <c r="X137" i="27"/>
  <c r="X138" i="27"/>
  <c r="X139" i="27"/>
  <c r="X140" i="27"/>
  <c r="X141" i="27"/>
  <c r="X142" i="27"/>
  <c r="X143" i="27"/>
  <c r="X144" i="27"/>
  <c r="X145" i="27"/>
  <c r="X146" i="27"/>
  <c r="X147" i="27"/>
  <c r="X148" i="27"/>
  <c r="X149" i="27"/>
  <c r="X150" i="27"/>
  <c r="X151" i="27"/>
  <c r="X152" i="27"/>
  <c r="X153" i="27"/>
  <c r="X154" i="27"/>
  <c r="X155" i="27"/>
  <c r="X156" i="27"/>
  <c r="X157" i="27"/>
  <c r="X158" i="27"/>
  <c r="X159" i="27"/>
  <c r="X160" i="27"/>
  <c r="X161" i="27"/>
  <c r="X162" i="27"/>
  <c r="X163" i="27"/>
  <c r="X164" i="27"/>
  <c r="X165" i="27"/>
  <c r="X166" i="27"/>
  <c r="X167" i="27"/>
  <c r="X168" i="27"/>
  <c r="X169" i="27"/>
  <c r="X170" i="27"/>
  <c r="X171" i="27"/>
  <c r="X172" i="27"/>
  <c r="X173" i="27"/>
  <c r="X174" i="27"/>
  <c r="X175" i="27"/>
  <c r="X176" i="27"/>
  <c r="X177" i="27"/>
  <c r="X178" i="27"/>
  <c r="X179" i="27"/>
  <c r="X180" i="27"/>
  <c r="X181" i="27"/>
  <c r="X182" i="27"/>
  <c r="X183" i="27"/>
  <c r="X184" i="27"/>
  <c r="X185" i="27"/>
  <c r="X186" i="27"/>
  <c r="X187" i="27"/>
  <c r="X188" i="27"/>
  <c r="X189" i="27"/>
  <c r="X190" i="27"/>
  <c r="X191" i="27"/>
  <c r="X192" i="27"/>
  <c r="X193" i="27"/>
  <c r="X194" i="27"/>
  <c r="X195" i="27"/>
  <c r="X196" i="27"/>
  <c r="X197" i="27"/>
  <c r="X198" i="27"/>
  <c r="X199" i="27"/>
  <c r="X200" i="27"/>
  <c r="X201" i="27"/>
  <c r="X202" i="27"/>
  <c r="X203" i="27"/>
  <c r="X204" i="27"/>
  <c r="X205" i="27"/>
  <c r="X206" i="27"/>
  <c r="X207" i="27"/>
  <c r="X208" i="27"/>
  <c r="X209" i="27"/>
  <c r="X210" i="27"/>
  <c r="X211" i="27"/>
  <c r="X212" i="27"/>
  <c r="X213" i="27"/>
  <c r="X214" i="27"/>
  <c r="X215" i="27"/>
  <c r="X216" i="27"/>
  <c r="X217" i="27"/>
  <c r="X218" i="27"/>
  <c r="X219" i="27"/>
  <c r="X220" i="27"/>
  <c r="X221" i="27"/>
  <c r="X222" i="27"/>
  <c r="X223" i="27"/>
  <c r="X4" i="27"/>
  <c r="J68" i="32"/>
  <c r="C32" i="32"/>
  <c r="C13" i="32"/>
  <c r="C14" i="32"/>
  <c r="C15" i="32"/>
  <c r="C16" i="32"/>
  <c r="C17" i="32"/>
  <c r="C18" i="32"/>
  <c r="C19" i="32"/>
  <c r="C20" i="32"/>
  <c r="C21" i="32"/>
  <c r="C22" i="32"/>
  <c r="C23" i="32"/>
  <c r="C24" i="32"/>
  <c r="C25" i="32"/>
  <c r="C26" i="32"/>
  <c r="C27" i="32"/>
  <c r="C28" i="32"/>
  <c r="C29" i="32"/>
  <c r="C30" i="32"/>
  <c r="C31" i="32"/>
  <c r="D12" i="32"/>
  <c r="B12" i="32"/>
  <c r="C12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B28" i="33"/>
  <c r="Y28" i="33" s="1"/>
  <c r="C28" i="33"/>
  <c r="A28" i="33" s="1"/>
  <c r="D28" i="33"/>
  <c r="E28" i="33"/>
  <c r="F28" i="33"/>
  <c r="G28" i="33"/>
  <c r="H28" i="33"/>
  <c r="U28" i="33"/>
  <c r="V28" i="33"/>
  <c r="B17" i="33"/>
  <c r="Y17" i="33" s="1"/>
  <c r="C17" i="33"/>
  <c r="A17" i="33" s="1"/>
  <c r="D17" i="33"/>
  <c r="E17" i="33"/>
  <c r="F17" i="33"/>
  <c r="G17" i="33"/>
  <c r="H17" i="33"/>
  <c r="U17" i="33"/>
  <c r="V17" i="33"/>
  <c r="B18" i="33"/>
  <c r="Y18" i="33" s="1"/>
  <c r="C18" i="33"/>
  <c r="A18" i="33" s="1"/>
  <c r="D18" i="33"/>
  <c r="E18" i="33"/>
  <c r="F18" i="33"/>
  <c r="G18" i="33"/>
  <c r="H18" i="33"/>
  <c r="U18" i="33"/>
  <c r="V18" i="33"/>
  <c r="B27" i="33"/>
  <c r="Y27" i="33" s="1"/>
  <c r="C27" i="33"/>
  <c r="A27" i="33" s="1"/>
  <c r="D27" i="33"/>
  <c r="E27" i="33"/>
  <c r="F27" i="33"/>
  <c r="G27" i="33"/>
  <c r="H27" i="33"/>
  <c r="U27" i="33"/>
  <c r="V27" i="33"/>
  <c r="B26" i="33"/>
  <c r="Y26" i="33" s="1"/>
  <c r="C26" i="33"/>
  <c r="A26" i="33" s="1"/>
  <c r="D26" i="33"/>
  <c r="E26" i="33"/>
  <c r="F26" i="33"/>
  <c r="G26" i="33"/>
  <c r="H26" i="33"/>
  <c r="U26" i="33"/>
  <c r="V26" i="33"/>
  <c r="B23" i="33"/>
  <c r="Y23" i="33" s="1"/>
  <c r="C23" i="33"/>
  <c r="A23" i="33" s="1"/>
  <c r="D23" i="33"/>
  <c r="E23" i="33"/>
  <c r="F23" i="33"/>
  <c r="G23" i="33"/>
  <c r="H23" i="33"/>
  <c r="U23" i="33"/>
  <c r="V23" i="33"/>
  <c r="B21" i="33"/>
  <c r="AH7" i="33" s="1"/>
  <c r="C21" i="33"/>
  <c r="A21" i="33" s="1"/>
  <c r="D21" i="33"/>
  <c r="E21" i="33"/>
  <c r="F21" i="33"/>
  <c r="G21" i="33"/>
  <c r="H21" i="33"/>
  <c r="U21" i="33"/>
  <c r="V21" i="33"/>
  <c r="B22" i="33"/>
  <c r="Y22" i="33" s="1"/>
  <c r="C22" i="33"/>
  <c r="D22" i="33"/>
  <c r="E22" i="33"/>
  <c r="F22" i="33"/>
  <c r="G22" i="33"/>
  <c r="H22" i="33"/>
  <c r="U22" i="33"/>
  <c r="V22" i="33"/>
  <c r="B19" i="33"/>
  <c r="C19" i="33"/>
  <c r="A19" i="33" s="1"/>
  <c r="D19" i="33"/>
  <c r="E19" i="33"/>
  <c r="F19" i="33"/>
  <c r="G19" i="33"/>
  <c r="H19" i="33"/>
  <c r="U19" i="33"/>
  <c r="V19" i="33"/>
  <c r="B25" i="33"/>
  <c r="Y25" i="33" s="1"/>
  <c r="C25" i="33"/>
  <c r="A25" i="33" s="1"/>
  <c r="D25" i="33"/>
  <c r="E25" i="33"/>
  <c r="F25" i="33"/>
  <c r="G25" i="33"/>
  <c r="H25" i="33"/>
  <c r="U25" i="33"/>
  <c r="V25" i="33"/>
  <c r="B24" i="33"/>
  <c r="Y24" i="33" s="1"/>
  <c r="C24" i="33"/>
  <c r="A24" i="33" s="1"/>
  <c r="D24" i="33"/>
  <c r="E24" i="33"/>
  <c r="F24" i="33"/>
  <c r="G24" i="33"/>
  <c r="H24" i="33"/>
  <c r="U24" i="33"/>
  <c r="V24" i="33"/>
  <c r="B20" i="33"/>
  <c r="C20" i="33"/>
  <c r="D20" i="33"/>
  <c r="E20" i="33"/>
  <c r="F20" i="33"/>
  <c r="G20" i="33"/>
  <c r="H20" i="33"/>
  <c r="U20" i="33"/>
  <c r="V20" i="33"/>
  <c r="B16" i="33"/>
  <c r="AM16" i="33" s="1"/>
  <c r="C16" i="33"/>
  <c r="D16" i="33"/>
  <c r="E16" i="33"/>
  <c r="F16" i="33"/>
  <c r="G16" i="33"/>
  <c r="H16" i="33"/>
  <c r="I16" i="33"/>
  <c r="J16" i="33"/>
  <c r="K16" i="33"/>
  <c r="L16" i="33"/>
  <c r="M16" i="33"/>
  <c r="N16" i="33"/>
  <c r="O16" i="33"/>
  <c r="U16" i="33"/>
  <c r="V16" i="33"/>
  <c r="W16" i="33"/>
  <c r="X16" i="33"/>
  <c r="Y16" i="33"/>
  <c r="B2" i="33"/>
  <c r="C2" i="33"/>
  <c r="D2" i="33"/>
  <c r="E2" i="33"/>
  <c r="F2" i="33"/>
  <c r="G2" i="33"/>
  <c r="H2" i="33"/>
  <c r="I2" i="33"/>
  <c r="J2" i="33"/>
  <c r="K2" i="33"/>
  <c r="L2" i="33"/>
  <c r="M2" i="33"/>
  <c r="N2" i="33"/>
  <c r="O2" i="33"/>
  <c r="P2" i="33"/>
  <c r="Q2" i="33"/>
  <c r="R2" i="33"/>
  <c r="S2" i="33"/>
  <c r="T2" i="33"/>
  <c r="U2" i="33"/>
  <c r="V2" i="33"/>
  <c r="W2" i="33"/>
  <c r="X2" i="33"/>
  <c r="B3" i="33"/>
  <c r="C3" i="33"/>
  <c r="D3" i="33"/>
  <c r="E3" i="33"/>
  <c r="F3" i="33"/>
  <c r="G3" i="33"/>
  <c r="H3" i="33"/>
  <c r="I3" i="33"/>
  <c r="J3" i="33"/>
  <c r="K3" i="33"/>
  <c r="L3" i="33"/>
  <c r="M3" i="33"/>
  <c r="N3" i="33"/>
  <c r="O3" i="33"/>
  <c r="P3" i="33"/>
  <c r="Q3" i="33"/>
  <c r="R3" i="33"/>
  <c r="S3" i="33"/>
  <c r="T3" i="33"/>
  <c r="U3" i="33"/>
  <c r="V3" i="33"/>
  <c r="W3" i="33"/>
  <c r="X3" i="33"/>
  <c r="B4" i="33"/>
  <c r="C4" i="33"/>
  <c r="D4" i="33"/>
  <c r="E4" i="33"/>
  <c r="F4" i="33"/>
  <c r="G4" i="33"/>
  <c r="H4" i="33"/>
  <c r="I4" i="33"/>
  <c r="J4" i="33"/>
  <c r="K4" i="33"/>
  <c r="L4" i="33"/>
  <c r="M4" i="33"/>
  <c r="N4" i="33"/>
  <c r="O4" i="33"/>
  <c r="P4" i="33"/>
  <c r="Q4" i="33"/>
  <c r="R4" i="33"/>
  <c r="S4" i="33"/>
  <c r="T4" i="33"/>
  <c r="U4" i="33"/>
  <c r="V4" i="33"/>
  <c r="W4" i="33"/>
  <c r="X4" i="33"/>
  <c r="B5" i="33"/>
  <c r="C5" i="33"/>
  <c r="D5" i="33"/>
  <c r="E5" i="33"/>
  <c r="F5" i="33"/>
  <c r="G5" i="33"/>
  <c r="H5" i="33"/>
  <c r="I5" i="33"/>
  <c r="J5" i="33"/>
  <c r="K5" i="33"/>
  <c r="L5" i="33"/>
  <c r="M5" i="33"/>
  <c r="N5" i="33"/>
  <c r="O5" i="33"/>
  <c r="P5" i="33"/>
  <c r="Q5" i="33"/>
  <c r="R5" i="33"/>
  <c r="S5" i="33"/>
  <c r="T5" i="33"/>
  <c r="U5" i="33"/>
  <c r="V5" i="33"/>
  <c r="W5" i="33"/>
  <c r="X5" i="33"/>
  <c r="B6" i="33"/>
  <c r="C6" i="33"/>
  <c r="D6" i="33"/>
  <c r="E6" i="33"/>
  <c r="F6" i="33"/>
  <c r="G6" i="33"/>
  <c r="H6" i="33"/>
  <c r="I6" i="33"/>
  <c r="J6" i="33"/>
  <c r="K6" i="33"/>
  <c r="L6" i="33"/>
  <c r="M6" i="33"/>
  <c r="N6" i="33"/>
  <c r="O6" i="33"/>
  <c r="P6" i="33"/>
  <c r="Q6" i="33"/>
  <c r="R6" i="33"/>
  <c r="S6" i="33"/>
  <c r="T6" i="33"/>
  <c r="U6" i="33"/>
  <c r="V6" i="33"/>
  <c r="W6" i="33"/>
  <c r="X6" i="33"/>
  <c r="B7" i="33"/>
  <c r="C7" i="33"/>
  <c r="D7" i="33"/>
  <c r="E7" i="33"/>
  <c r="F7" i="33"/>
  <c r="G7" i="33"/>
  <c r="H7" i="33"/>
  <c r="I7" i="33"/>
  <c r="J7" i="33"/>
  <c r="K7" i="33"/>
  <c r="L7" i="33"/>
  <c r="M7" i="33"/>
  <c r="N7" i="33"/>
  <c r="O7" i="33"/>
  <c r="P7" i="33"/>
  <c r="Q7" i="33"/>
  <c r="R7" i="33"/>
  <c r="S7" i="33"/>
  <c r="T7" i="33"/>
  <c r="U7" i="33"/>
  <c r="V7" i="33"/>
  <c r="W7" i="33"/>
  <c r="X7" i="33"/>
  <c r="B8" i="33"/>
  <c r="C8" i="33"/>
  <c r="D8" i="33"/>
  <c r="E8" i="33"/>
  <c r="F8" i="33"/>
  <c r="G8" i="33"/>
  <c r="H8" i="33"/>
  <c r="I8" i="33"/>
  <c r="J8" i="33"/>
  <c r="K8" i="33"/>
  <c r="L8" i="33"/>
  <c r="M8" i="33"/>
  <c r="N8" i="33"/>
  <c r="O8" i="33"/>
  <c r="P8" i="33"/>
  <c r="Q8" i="33"/>
  <c r="R8" i="33"/>
  <c r="S8" i="33"/>
  <c r="T8" i="33"/>
  <c r="U8" i="33"/>
  <c r="V8" i="33"/>
  <c r="W8" i="33"/>
  <c r="X8" i="33"/>
  <c r="B9" i="33"/>
  <c r="C9" i="33"/>
  <c r="D9" i="33"/>
  <c r="E9" i="33"/>
  <c r="F9" i="33"/>
  <c r="G9" i="33"/>
  <c r="H9" i="33"/>
  <c r="I9" i="33"/>
  <c r="J9" i="33"/>
  <c r="K9" i="33"/>
  <c r="L9" i="33"/>
  <c r="M9" i="33"/>
  <c r="N9" i="33"/>
  <c r="O9" i="33"/>
  <c r="P9" i="33"/>
  <c r="Q9" i="33"/>
  <c r="R9" i="33"/>
  <c r="S9" i="33"/>
  <c r="T9" i="33"/>
  <c r="U9" i="33"/>
  <c r="V9" i="33"/>
  <c r="W9" i="33"/>
  <c r="X9" i="33"/>
  <c r="B10" i="33"/>
  <c r="C10" i="33"/>
  <c r="D10" i="33"/>
  <c r="E10" i="33"/>
  <c r="F10" i="33"/>
  <c r="G10" i="33"/>
  <c r="H10" i="33"/>
  <c r="I10" i="33"/>
  <c r="J10" i="33"/>
  <c r="K10" i="33"/>
  <c r="L10" i="33"/>
  <c r="M10" i="33"/>
  <c r="N10" i="33"/>
  <c r="O10" i="33"/>
  <c r="P10" i="33"/>
  <c r="Q10" i="33"/>
  <c r="R10" i="33"/>
  <c r="S10" i="33"/>
  <c r="T10" i="33"/>
  <c r="U10" i="33"/>
  <c r="V10" i="33"/>
  <c r="W10" i="33"/>
  <c r="X10" i="33"/>
  <c r="B11" i="33"/>
  <c r="C11" i="33"/>
  <c r="D11" i="33"/>
  <c r="E11" i="33"/>
  <c r="F11" i="33"/>
  <c r="G11" i="33"/>
  <c r="H11" i="33"/>
  <c r="I11" i="33"/>
  <c r="J11" i="33"/>
  <c r="K11" i="33"/>
  <c r="L11" i="33"/>
  <c r="M11" i="33"/>
  <c r="N11" i="33"/>
  <c r="O11" i="33"/>
  <c r="P11" i="33"/>
  <c r="Q11" i="33"/>
  <c r="R11" i="33"/>
  <c r="S11" i="33"/>
  <c r="T11" i="33"/>
  <c r="U11" i="33"/>
  <c r="V11" i="33"/>
  <c r="W11" i="33"/>
  <c r="X11" i="33"/>
  <c r="B12" i="33"/>
  <c r="C12" i="33"/>
  <c r="D12" i="33"/>
  <c r="E12" i="33"/>
  <c r="F12" i="33"/>
  <c r="G12" i="33"/>
  <c r="H12" i="33"/>
  <c r="I12" i="33"/>
  <c r="J12" i="33"/>
  <c r="K12" i="33"/>
  <c r="L12" i="33"/>
  <c r="M12" i="33"/>
  <c r="N12" i="33"/>
  <c r="O12" i="33"/>
  <c r="P12" i="33"/>
  <c r="Q12" i="33"/>
  <c r="R12" i="33"/>
  <c r="S12" i="33"/>
  <c r="T12" i="33"/>
  <c r="U12" i="33"/>
  <c r="V12" i="33"/>
  <c r="W12" i="33"/>
  <c r="X12" i="33"/>
  <c r="B13" i="33"/>
  <c r="C13" i="33"/>
  <c r="D13" i="33"/>
  <c r="E13" i="33"/>
  <c r="F13" i="33"/>
  <c r="G13" i="33"/>
  <c r="H13" i="33"/>
  <c r="I13" i="33"/>
  <c r="J13" i="33"/>
  <c r="K13" i="33"/>
  <c r="L13" i="33"/>
  <c r="M13" i="33"/>
  <c r="N13" i="33"/>
  <c r="O13" i="33"/>
  <c r="P13" i="33"/>
  <c r="Q13" i="33"/>
  <c r="R13" i="33"/>
  <c r="S13" i="33"/>
  <c r="T13" i="33"/>
  <c r="U13" i="33"/>
  <c r="V13" i="33"/>
  <c r="W13" i="33"/>
  <c r="X13" i="33"/>
  <c r="X1" i="33"/>
  <c r="V1" i="33"/>
  <c r="W1" i="33"/>
  <c r="R1" i="33"/>
  <c r="S1" i="33"/>
  <c r="T1" i="33"/>
  <c r="U1" i="33"/>
  <c r="O1" i="33"/>
  <c r="P1" i="33"/>
  <c r="Q1" i="33"/>
  <c r="B1" i="33"/>
  <c r="C1" i="33"/>
  <c r="D1" i="33"/>
  <c r="E1" i="33"/>
  <c r="F1" i="33"/>
  <c r="G1" i="33"/>
  <c r="H1" i="33"/>
  <c r="I1" i="33"/>
  <c r="J1" i="33"/>
  <c r="K1" i="33"/>
  <c r="L1" i="33"/>
  <c r="M1" i="33"/>
  <c r="N1" i="33"/>
  <c r="B1" i="31"/>
  <c r="W29" i="27"/>
  <c r="W30" i="27"/>
  <c r="W31" i="27"/>
  <c r="W32" i="27"/>
  <c r="W33" i="27"/>
  <c r="W34" i="27"/>
  <c r="W35" i="27"/>
  <c r="W36" i="27"/>
  <c r="W37" i="27"/>
  <c r="W38" i="27"/>
  <c r="W39" i="27"/>
  <c r="W40" i="27"/>
  <c r="W41" i="27"/>
  <c r="W42" i="27"/>
  <c r="W43" i="27"/>
  <c r="W44" i="27"/>
  <c r="W45" i="27"/>
  <c r="W46" i="27"/>
  <c r="W47" i="27"/>
  <c r="W48" i="27"/>
  <c r="W49" i="27"/>
  <c r="W50" i="27"/>
  <c r="W51" i="27"/>
  <c r="W53" i="27"/>
  <c r="W54" i="27"/>
  <c r="W55" i="27"/>
  <c r="W56" i="27"/>
  <c r="W57" i="27"/>
  <c r="W58" i="27"/>
  <c r="W59" i="27"/>
  <c r="W60" i="27"/>
  <c r="W61" i="27"/>
  <c r="W62" i="27"/>
  <c r="W63" i="27"/>
  <c r="W64" i="27"/>
  <c r="W65" i="27"/>
  <c r="W66" i="27"/>
  <c r="W67" i="27"/>
  <c r="W68" i="27"/>
  <c r="W69" i="27"/>
  <c r="W70" i="27"/>
  <c r="W71" i="27"/>
  <c r="W72" i="27"/>
  <c r="W73" i="27"/>
  <c r="W74" i="27"/>
  <c r="W75" i="27"/>
  <c r="W76" i="27"/>
  <c r="W77" i="27"/>
  <c r="W78" i="27"/>
  <c r="W79" i="27"/>
  <c r="W80" i="27"/>
  <c r="W81" i="27"/>
  <c r="W82" i="27"/>
  <c r="W83" i="27"/>
  <c r="W84" i="27"/>
  <c r="W85" i="27"/>
  <c r="W86" i="27"/>
  <c r="W87" i="27"/>
  <c r="W88" i="27"/>
  <c r="W89" i="27"/>
  <c r="W90" i="27"/>
  <c r="W91" i="27"/>
  <c r="W92" i="27"/>
  <c r="W93" i="27"/>
  <c r="W94" i="27"/>
  <c r="W95" i="27"/>
  <c r="W96" i="27"/>
  <c r="W97" i="27"/>
  <c r="W98" i="27"/>
  <c r="W99" i="27"/>
  <c r="W100" i="27"/>
  <c r="W101" i="27"/>
  <c r="W102" i="27"/>
  <c r="W103" i="27"/>
  <c r="W104" i="27"/>
  <c r="W105" i="27"/>
  <c r="W106" i="27"/>
  <c r="W107" i="27"/>
  <c r="W108" i="27"/>
  <c r="W109" i="27"/>
  <c r="W110" i="27"/>
  <c r="W111" i="27"/>
  <c r="W112" i="27"/>
  <c r="W113" i="27"/>
  <c r="W114" i="27"/>
  <c r="W115" i="27"/>
  <c r="W116" i="27"/>
  <c r="W117" i="27"/>
  <c r="W118" i="27"/>
  <c r="W119" i="27"/>
  <c r="W120" i="27"/>
  <c r="W121" i="27"/>
  <c r="W122" i="27"/>
  <c r="W123" i="27"/>
  <c r="W124" i="27"/>
  <c r="W125" i="27"/>
  <c r="W126" i="27"/>
  <c r="W127" i="27"/>
  <c r="W128" i="27"/>
  <c r="W129" i="27"/>
  <c r="W130" i="27"/>
  <c r="W131" i="27"/>
  <c r="W132" i="27"/>
  <c r="W133" i="27"/>
  <c r="W134" i="27"/>
  <c r="W135" i="27"/>
  <c r="W136" i="27"/>
  <c r="W137" i="27"/>
  <c r="W138" i="27"/>
  <c r="W139" i="27"/>
  <c r="W140" i="27"/>
  <c r="W141" i="27"/>
  <c r="W142" i="27"/>
  <c r="W143" i="27"/>
  <c r="W144" i="27"/>
  <c r="W145" i="27"/>
  <c r="W146" i="27"/>
  <c r="W147" i="27"/>
  <c r="W148" i="27"/>
  <c r="W149" i="27"/>
  <c r="W150" i="27"/>
  <c r="W151" i="27"/>
  <c r="W152" i="27"/>
  <c r="W153" i="27"/>
  <c r="W154" i="27"/>
  <c r="W155" i="27"/>
  <c r="W156" i="27"/>
  <c r="W157" i="27"/>
  <c r="W158" i="27"/>
  <c r="W159" i="27"/>
  <c r="W160" i="27"/>
  <c r="W161" i="27"/>
  <c r="W162" i="27"/>
  <c r="W163" i="27"/>
  <c r="W164" i="27"/>
  <c r="W165" i="27"/>
  <c r="W166" i="27"/>
  <c r="W167" i="27"/>
  <c r="W168" i="27"/>
  <c r="W169" i="27"/>
  <c r="W170" i="27"/>
  <c r="W171" i="27"/>
  <c r="W173" i="27"/>
  <c r="W175" i="27"/>
  <c r="W176" i="27"/>
  <c r="W177" i="27"/>
  <c r="W178" i="27"/>
  <c r="W179" i="27"/>
  <c r="W180" i="27"/>
  <c r="W181" i="27"/>
  <c r="W182" i="27"/>
  <c r="W183" i="27"/>
  <c r="W184" i="27"/>
  <c r="W185" i="27"/>
  <c r="W186" i="27"/>
  <c r="W187" i="27"/>
  <c r="W188" i="27"/>
  <c r="W189" i="27"/>
  <c r="W190" i="27"/>
  <c r="W191" i="27"/>
  <c r="W192" i="27"/>
  <c r="W193" i="27"/>
  <c r="W194" i="27"/>
  <c r="W195" i="27"/>
  <c r="W196" i="27"/>
  <c r="W197" i="27"/>
  <c r="W198" i="27"/>
  <c r="W199" i="27"/>
  <c r="W200" i="27"/>
  <c r="W201" i="27"/>
  <c r="W202" i="27"/>
  <c r="W203" i="27"/>
  <c r="W204" i="27"/>
  <c r="W205" i="27"/>
  <c r="W206" i="27"/>
  <c r="W207" i="27"/>
  <c r="W208" i="27"/>
  <c r="W209" i="27"/>
  <c r="W210" i="27"/>
  <c r="W211" i="27"/>
  <c r="W212" i="27"/>
  <c r="W213" i="27"/>
  <c r="W214" i="27"/>
  <c r="W215" i="27"/>
  <c r="W216" i="27"/>
  <c r="W217" i="27"/>
  <c r="W218" i="27"/>
  <c r="W219" i="27"/>
  <c r="W220" i="27"/>
  <c r="W221" i="27"/>
  <c r="W222" i="27"/>
  <c r="W223" i="27"/>
  <c r="W16" i="27"/>
  <c r="W15" i="27"/>
  <c r="W14" i="27"/>
  <c r="W13" i="27"/>
  <c r="W12" i="27"/>
  <c r="W11" i="27"/>
  <c r="W10" i="27"/>
  <c r="W9" i="27"/>
  <c r="W8" i="27"/>
  <c r="W7" i="27"/>
  <c r="W6" i="27"/>
  <c r="W5" i="27"/>
  <c r="W4" i="27"/>
  <c r="L8" i="27"/>
  <c r="L9" i="27"/>
  <c r="L10" i="27"/>
  <c r="L11" i="27"/>
  <c r="L12" i="27"/>
  <c r="L13" i="27"/>
  <c r="L14" i="27"/>
  <c r="L15" i="27"/>
  <c r="L16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164" i="27"/>
  <c r="L165" i="27"/>
  <c r="L166" i="27"/>
  <c r="L167" i="27"/>
  <c r="L168" i="27"/>
  <c r="L169" i="27"/>
  <c r="L170" i="27"/>
  <c r="L171" i="27"/>
  <c r="L173" i="27"/>
  <c r="L175" i="27"/>
  <c r="L176" i="27"/>
  <c r="L177" i="27"/>
  <c r="L178" i="27"/>
  <c r="L179" i="27"/>
  <c r="L180" i="27"/>
  <c r="L181" i="27"/>
  <c r="L182" i="27"/>
  <c r="L183" i="27"/>
  <c r="L184" i="27"/>
  <c r="L185" i="27"/>
  <c r="L186" i="27"/>
  <c r="L187" i="27"/>
  <c r="L188" i="27"/>
  <c r="L189" i="27"/>
  <c r="L190" i="27"/>
  <c r="L191" i="27"/>
  <c r="L192" i="27"/>
  <c r="L193" i="27"/>
  <c r="L194" i="27"/>
  <c r="L195" i="27"/>
  <c r="L196" i="27"/>
  <c r="L197" i="27"/>
  <c r="L198" i="27"/>
  <c r="L199" i="27"/>
  <c r="L200" i="27"/>
  <c r="L201" i="27"/>
  <c r="L202" i="27"/>
  <c r="L203" i="27"/>
  <c r="L204" i="27"/>
  <c r="L205" i="27"/>
  <c r="L206" i="27"/>
  <c r="L207" i="27"/>
  <c r="L208" i="27"/>
  <c r="L209" i="27"/>
  <c r="L210" i="27"/>
  <c r="L211" i="27"/>
  <c r="L212" i="27"/>
  <c r="L213" i="27"/>
  <c r="L214" i="27"/>
  <c r="L215" i="27"/>
  <c r="L216" i="27"/>
  <c r="L217" i="27"/>
  <c r="L218" i="27"/>
  <c r="L219" i="27"/>
  <c r="L220" i="27"/>
  <c r="L221" i="27"/>
  <c r="L222" i="27"/>
  <c r="L223" i="27"/>
  <c r="L6" i="27"/>
  <c r="L7" i="27"/>
  <c r="L5" i="27"/>
  <c r="L4" i="27"/>
  <c r="O214" i="27"/>
  <c r="P214" i="27"/>
  <c r="Q214" i="27"/>
  <c r="R214" i="27"/>
  <c r="S214" i="27"/>
  <c r="O215" i="27"/>
  <c r="P215" i="27"/>
  <c r="Q215" i="27"/>
  <c r="R215" i="27"/>
  <c r="S215" i="27"/>
  <c r="O216" i="27"/>
  <c r="P216" i="27"/>
  <c r="Q216" i="27"/>
  <c r="R216" i="27"/>
  <c r="S216" i="27"/>
  <c r="O217" i="27"/>
  <c r="P217" i="27"/>
  <c r="Q217" i="27"/>
  <c r="R217" i="27"/>
  <c r="S217" i="27"/>
  <c r="O218" i="27"/>
  <c r="P218" i="27"/>
  <c r="Q218" i="27"/>
  <c r="R218" i="27"/>
  <c r="S218" i="27"/>
  <c r="O219" i="27"/>
  <c r="P219" i="27"/>
  <c r="Q219" i="27"/>
  <c r="R219" i="27"/>
  <c r="S219" i="27"/>
  <c r="O220" i="27"/>
  <c r="P220" i="27"/>
  <c r="Q220" i="27"/>
  <c r="R220" i="27"/>
  <c r="S220" i="27"/>
  <c r="O221" i="27"/>
  <c r="P221" i="27"/>
  <c r="Q221" i="27"/>
  <c r="R221" i="27"/>
  <c r="S221" i="27"/>
  <c r="O222" i="27"/>
  <c r="P222" i="27"/>
  <c r="Q222" i="27"/>
  <c r="R222" i="27"/>
  <c r="S222" i="27"/>
  <c r="O223" i="27"/>
  <c r="P223" i="27"/>
  <c r="Q223" i="27"/>
  <c r="R223" i="27"/>
  <c r="S223" i="27"/>
  <c r="P213" i="27"/>
  <c r="Q213" i="27"/>
  <c r="R213" i="27"/>
  <c r="S213" i="27"/>
  <c r="O213" i="27"/>
  <c r="O203" i="27"/>
  <c r="P203" i="27"/>
  <c r="Q203" i="27"/>
  <c r="R203" i="27"/>
  <c r="S203" i="27"/>
  <c r="O204" i="27"/>
  <c r="P204" i="27"/>
  <c r="Q204" i="27"/>
  <c r="R204" i="27"/>
  <c r="S204" i="27"/>
  <c r="O205" i="27"/>
  <c r="P205" i="27"/>
  <c r="Q205" i="27"/>
  <c r="R205" i="27"/>
  <c r="S205" i="27"/>
  <c r="O206" i="27"/>
  <c r="P206" i="27"/>
  <c r="Q206" i="27"/>
  <c r="R206" i="27"/>
  <c r="S206" i="27"/>
  <c r="O207" i="27"/>
  <c r="P207" i="27"/>
  <c r="Q207" i="27"/>
  <c r="R207" i="27"/>
  <c r="S207" i="27"/>
  <c r="O208" i="27"/>
  <c r="P208" i="27"/>
  <c r="Q208" i="27"/>
  <c r="R208" i="27"/>
  <c r="S208" i="27"/>
  <c r="O209" i="27"/>
  <c r="P209" i="27"/>
  <c r="Q209" i="27"/>
  <c r="R209" i="27"/>
  <c r="S209" i="27"/>
  <c r="O210" i="27"/>
  <c r="P210" i="27"/>
  <c r="Q210" i="27"/>
  <c r="R210" i="27"/>
  <c r="S210" i="27"/>
  <c r="O211" i="27"/>
  <c r="P211" i="27"/>
  <c r="Q211" i="27"/>
  <c r="R211" i="27"/>
  <c r="S211" i="27"/>
  <c r="O212" i="27"/>
  <c r="P212" i="27"/>
  <c r="Q212" i="27"/>
  <c r="R212" i="27"/>
  <c r="S212" i="27"/>
  <c r="P202" i="27"/>
  <c r="Q202" i="27"/>
  <c r="R202" i="27"/>
  <c r="S202" i="27"/>
  <c r="O202" i="27"/>
  <c r="O192" i="27"/>
  <c r="P192" i="27"/>
  <c r="Q192" i="27"/>
  <c r="R192" i="27"/>
  <c r="S192" i="27"/>
  <c r="O193" i="27"/>
  <c r="P193" i="27"/>
  <c r="Q193" i="27"/>
  <c r="R193" i="27"/>
  <c r="S193" i="27"/>
  <c r="O194" i="27"/>
  <c r="P194" i="27"/>
  <c r="Q194" i="27"/>
  <c r="R194" i="27"/>
  <c r="S194" i="27"/>
  <c r="O195" i="27"/>
  <c r="P195" i="27"/>
  <c r="Q195" i="27"/>
  <c r="R195" i="27"/>
  <c r="S195" i="27"/>
  <c r="O196" i="27"/>
  <c r="P196" i="27"/>
  <c r="Q196" i="27"/>
  <c r="R196" i="27"/>
  <c r="S196" i="27"/>
  <c r="O197" i="27"/>
  <c r="P197" i="27"/>
  <c r="Q197" i="27"/>
  <c r="R197" i="27"/>
  <c r="S197" i="27"/>
  <c r="O198" i="27"/>
  <c r="P198" i="27"/>
  <c r="Q198" i="27"/>
  <c r="R198" i="27"/>
  <c r="S198" i="27"/>
  <c r="O199" i="27"/>
  <c r="P199" i="27"/>
  <c r="Q199" i="27"/>
  <c r="R199" i="27"/>
  <c r="S199" i="27"/>
  <c r="O200" i="27"/>
  <c r="P200" i="27"/>
  <c r="Q200" i="27"/>
  <c r="R200" i="27"/>
  <c r="S200" i="27"/>
  <c r="O201" i="27"/>
  <c r="P201" i="27"/>
  <c r="Q201" i="27"/>
  <c r="R201" i="27"/>
  <c r="S201" i="27"/>
  <c r="P191" i="27"/>
  <c r="Q191" i="27"/>
  <c r="R191" i="27"/>
  <c r="S191" i="27"/>
  <c r="O191" i="27"/>
  <c r="O181" i="27"/>
  <c r="P181" i="27"/>
  <c r="Q181" i="27"/>
  <c r="R181" i="27"/>
  <c r="S181" i="27"/>
  <c r="O182" i="27"/>
  <c r="P182" i="27"/>
  <c r="Q182" i="27"/>
  <c r="R182" i="27"/>
  <c r="S182" i="27"/>
  <c r="O183" i="27"/>
  <c r="P183" i="27"/>
  <c r="Q183" i="27"/>
  <c r="R183" i="27"/>
  <c r="S183" i="27"/>
  <c r="O184" i="27"/>
  <c r="P184" i="27"/>
  <c r="Q184" i="27"/>
  <c r="R184" i="27"/>
  <c r="S184" i="27"/>
  <c r="O185" i="27"/>
  <c r="P185" i="27"/>
  <c r="Q185" i="27"/>
  <c r="R185" i="27"/>
  <c r="S185" i="27"/>
  <c r="O186" i="27"/>
  <c r="P186" i="27"/>
  <c r="Q186" i="27"/>
  <c r="R186" i="27"/>
  <c r="S186" i="27"/>
  <c r="O187" i="27"/>
  <c r="P187" i="27"/>
  <c r="Q187" i="27"/>
  <c r="R187" i="27"/>
  <c r="S187" i="27"/>
  <c r="O188" i="27"/>
  <c r="P188" i="27"/>
  <c r="Q188" i="27"/>
  <c r="R188" i="27"/>
  <c r="S188" i="27"/>
  <c r="O189" i="27"/>
  <c r="P189" i="27"/>
  <c r="Q189" i="27"/>
  <c r="R189" i="27"/>
  <c r="S189" i="27"/>
  <c r="O190" i="27"/>
  <c r="P190" i="27"/>
  <c r="Q190" i="27"/>
  <c r="R190" i="27"/>
  <c r="S190" i="27"/>
  <c r="P180" i="27"/>
  <c r="Q180" i="27"/>
  <c r="R180" i="27"/>
  <c r="S180" i="27"/>
  <c r="O180" i="27"/>
  <c r="O170" i="27"/>
  <c r="P170" i="27"/>
  <c r="Q170" i="27"/>
  <c r="S170" i="27"/>
  <c r="O171" i="27"/>
  <c r="P171" i="27"/>
  <c r="Q171" i="27"/>
  <c r="S171" i="27"/>
  <c r="O173" i="27"/>
  <c r="P173" i="27"/>
  <c r="Q173" i="27"/>
  <c r="S173" i="27"/>
  <c r="O175" i="27"/>
  <c r="P175" i="27"/>
  <c r="Q175" i="27"/>
  <c r="S175" i="27"/>
  <c r="O176" i="27"/>
  <c r="P176" i="27"/>
  <c r="Q176" i="27"/>
  <c r="S176" i="27"/>
  <c r="O177" i="27"/>
  <c r="P177" i="27"/>
  <c r="Q177" i="27"/>
  <c r="S177" i="27"/>
  <c r="O178" i="27"/>
  <c r="P178" i="27"/>
  <c r="Q178" i="27"/>
  <c r="S178" i="27"/>
  <c r="O179" i="27"/>
  <c r="P179" i="27"/>
  <c r="Q179" i="27"/>
  <c r="S179" i="27"/>
  <c r="P169" i="27"/>
  <c r="Q169" i="27"/>
  <c r="S169" i="27"/>
  <c r="O169" i="27"/>
  <c r="O159" i="27"/>
  <c r="P159" i="27"/>
  <c r="Q159" i="27"/>
  <c r="R159" i="27"/>
  <c r="S159" i="27"/>
  <c r="O160" i="27"/>
  <c r="P160" i="27"/>
  <c r="Q160" i="27"/>
  <c r="R160" i="27"/>
  <c r="S160" i="27"/>
  <c r="O161" i="27"/>
  <c r="P161" i="27"/>
  <c r="Q161" i="27"/>
  <c r="R161" i="27"/>
  <c r="S161" i="27"/>
  <c r="O162" i="27"/>
  <c r="P162" i="27"/>
  <c r="Q162" i="27"/>
  <c r="R162" i="27"/>
  <c r="S162" i="27"/>
  <c r="O163" i="27"/>
  <c r="P163" i="27"/>
  <c r="Q163" i="27"/>
  <c r="R163" i="27"/>
  <c r="S163" i="27"/>
  <c r="O164" i="27"/>
  <c r="P164" i="27"/>
  <c r="Q164" i="27"/>
  <c r="R164" i="27"/>
  <c r="S164" i="27"/>
  <c r="O165" i="27"/>
  <c r="P165" i="27"/>
  <c r="Q165" i="27"/>
  <c r="R165" i="27"/>
  <c r="S165" i="27"/>
  <c r="O166" i="27"/>
  <c r="P166" i="27"/>
  <c r="Q166" i="27"/>
  <c r="R166" i="27"/>
  <c r="S166" i="27"/>
  <c r="O167" i="27"/>
  <c r="P167" i="27"/>
  <c r="Q167" i="27"/>
  <c r="R167" i="27"/>
  <c r="S167" i="27"/>
  <c r="O168" i="27"/>
  <c r="P168" i="27"/>
  <c r="Q168" i="27"/>
  <c r="R168" i="27"/>
  <c r="S168" i="27"/>
  <c r="P158" i="27"/>
  <c r="Q158" i="27"/>
  <c r="R158" i="27"/>
  <c r="S158" i="27"/>
  <c r="O158" i="27"/>
  <c r="O148" i="27"/>
  <c r="P148" i="27"/>
  <c r="Q148" i="27"/>
  <c r="R148" i="27"/>
  <c r="S148" i="27"/>
  <c r="O149" i="27"/>
  <c r="P149" i="27"/>
  <c r="Q149" i="27"/>
  <c r="R149" i="27"/>
  <c r="S149" i="27"/>
  <c r="O150" i="27"/>
  <c r="P150" i="27"/>
  <c r="Q150" i="27"/>
  <c r="R150" i="27"/>
  <c r="S150" i="27"/>
  <c r="O151" i="27"/>
  <c r="P151" i="27"/>
  <c r="Q151" i="27"/>
  <c r="R151" i="27"/>
  <c r="S151" i="27"/>
  <c r="O152" i="27"/>
  <c r="P152" i="27"/>
  <c r="Q152" i="27"/>
  <c r="R152" i="27"/>
  <c r="S152" i="27"/>
  <c r="O153" i="27"/>
  <c r="P153" i="27"/>
  <c r="Q153" i="27"/>
  <c r="R153" i="27"/>
  <c r="S153" i="27"/>
  <c r="O154" i="27"/>
  <c r="P154" i="27"/>
  <c r="Q154" i="27"/>
  <c r="R154" i="27"/>
  <c r="S154" i="27"/>
  <c r="O155" i="27"/>
  <c r="P155" i="27"/>
  <c r="Q155" i="27"/>
  <c r="R155" i="27"/>
  <c r="S155" i="27"/>
  <c r="O156" i="27"/>
  <c r="P156" i="27"/>
  <c r="Q156" i="27"/>
  <c r="R156" i="27"/>
  <c r="S156" i="27"/>
  <c r="O157" i="27"/>
  <c r="P157" i="27"/>
  <c r="Q157" i="27"/>
  <c r="R157" i="27"/>
  <c r="S157" i="27"/>
  <c r="P147" i="27"/>
  <c r="Q147" i="27"/>
  <c r="R147" i="27"/>
  <c r="S147" i="27"/>
  <c r="O147" i="27"/>
  <c r="O137" i="27"/>
  <c r="P137" i="27"/>
  <c r="Q137" i="27"/>
  <c r="R137" i="27"/>
  <c r="S137" i="27"/>
  <c r="O138" i="27"/>
  <c r="P138" i="27"/>
  <c r="Q138" i="27"/>
  <c r="R138" i="27"/>
  <c r="S138" i="27"/>
  <c r="O139" i="27"/>
  <c r="P139" i="27"/>
  <c r="Q139" i="27"/>
  <c r="R139" i="27"/>
  <c r="S139" i="27"/>
  <c r="O140" i="27"/>
  <c r="P140" i="27"/>
  <c r="Q140" i="27"/>
  <c r="R140" i="27"/>
  <c r="S140" i="27"/>
  <c r="O141" i="27"/>
  <c r="P141" i="27"/>
  <c r="Q141" i="27"/>
  <c r="R141" i="27"/>
  <c r="S141" i="27"/>
  <c r="O142" i="27"/>
  <c r="P142" i="27"/>
  <c r="Q142" i="27"/>
  <c r="R142" i="27"/>
  <c r="S142" i="27"/>
  <c r="O143" i="27"/>
  <c r="P143" i="27"/>
  <c r="Q143" i="27"/>
  <c r="R143" i="27"/>
  <c r="S143" i="27"/>
  <c r="O144" i="27"/>
  <c r="P144" i="27"/>
  <c r="Q144" i="27"/>
  <c r="R144" i="27"/>
  <c r="S144" i="27"/>
  <c r="O145" i="27"/>
  <c r="P145" i="27"/>
  <c r="Q145" i="27"/>
  <c r="R145" i="27"/>
  <c r="S145" i="27"/>
  <c r="O146" i="27"/>
  <c r="P146" i="27"/>
  <c r="Q146" i="27"/>
  <c r="R146" i="27"/>
  <c r="S146" i="27"/>
  <c r="P136" i="27"/>
  <c r="Q136" i="27"/>
  <c r="R136" i="27"/>
  <c r="S136" i="27"/>
  <c r="O136" i="27"/>
  <c r="O126" i="27"/>
  <c r="P126" i="27"/>
  <c r="Q126" i="27"/>
  <c r="R126" i="27"/>
  <c r="S126" i="27"/>
  <c r="O127" i="27"/>
  <c r="P127" i="27"/>
  <c r="Q127" i="27"/>
  <c r="R127" i="27"/>
  <c r="S127" i="27"/>
  <c r="O128" i="27"/>
  <c r="P128" i="27"/>
  <c r="Q128" i="27"/>
  <c r="R128" i="27"/>
  <c r="S128" i="27"/>
  <c r="O129" i="27"/>
  <c r="P129" i="27"/>
  <c r="Q129" i="27"/>
  <c r="R129" i="27"/>
  <c r="S129" i="27"/>
  <c r="O130" i="27"/>
  <c r="P130" i="27"/>
  <c r="Q130" i="27"/>
  <c r="R130" i="27"/>
  <c r="S130" i="27"/>
  <c r="O131" i="27"/>
  <c r="P131" i="27"/>
  <c r="Q131" i="27"/>
  <c r="R131" i="27"/>
  <c r="S131" i="27"/>
  <c r="O132" i="27"/>
  <c r="P132" i="27"/>
  <c r="Q132" i="27"/>
  <c r="R132" i="27"/>
  <c r="S132" i="27"/>
  <c r="O133" i="27"/>
  <c r="P133" i="27"/>
  <c r="Q133" i="27"/>
  <c r="R133" i="27"/>
  <c r="S133" i="27"/>
  <c r="O134" i="27"/>
  <c r="P134" i="27"/>
  <c r="Q134" i="27"/>
  <c r="R134" i="27"/>
  <c r="S134" i="27"/>
  <c r="O135" i="27"/>
  <c r="P135" i="27"/>
  <c r="Q135" i="27"/>
  <c r="R135" i="27"/>
  <c r="S135" i="27"/>
  <c r="P125" i="27"/>
  <c r="Q125" i="27"/>
  <c r="R125" i="27"/>
  <c r="S125" i="27"/>
  <c r="O125" i="27"/>
  <c r="O115" i="27"/>
  <c r="P115" i="27"/>
  <c r="Q115" i="27"/>
  <c r="R115" i="27"/>
  <c r="S115" i="27"/>
  <c r="O116" i="27"/>
  <c r="P116" i="27"/>
  <c r="Q116" i="27"/>
  <c r="R116" i="27"/>
  <c r="S116" i="27"/>
  <c r="O117" i="27"/>
  <c r="P117" i="27"/>
  <c r="Q117" i="27"/>
  <c r="R117" i="27"/>
  <c r="S117" i="27"/>
  <c r="O118" i="27"/>
  <c r="P118" i="27"/>
  <c r="Q118" i="27"/>
  <c r="R118" i="27"/>
  <c r="S118" i="27"/>
  <c r="O119" i="27"/>
  <c r="P119" i="27"/>
  <c r="Q119" i="27"/>
  <c r="R119" i="27"/>
  <c r="S119" i="27"/>
  <c r="O120" i="27"/>
  <c r="P120" i="27"/>
  <c r="Q120" i="27"/>
  <c r="R120" i="27"/>
  <c r="S120" i="27"/>
  <c r="O121" i="27"/>
  <c r="P121" i="27"/>
  <c r="Q121" i="27"/>
  <c r="R121" i="27"/>
  <c r="S121" i="27"/>
  <c r="O122" i="27"/>
  <c r="P122" i="27"/>
  <c r="Q122" i="27"/>
  <c r="R122" i="27"/>
  <c r="S122" i="27"/>
  <c r="O123" i="27"/>
  <c r="P123" i="27"/>
  <c r="Q123" i="27"/>
  <c r="R123" i="27"/>
  <c r="S123" i="27"/>
  <c r="O124" i="27"/>
  <c r="P124" i="27"/>
  <c r="Q124" i="27"/>
  <c r="R124" i="27"/>
  <c r="S124" i="27"/>
  <c r="P114" i="27"/>
  <c r="Q114" i="27"/>
  <c r="R114" i="27"/>
  <c r="S114" i="27"/>
  <c r="O114" i="27"/>
  <c r="O104" i="27"/>
  <c r="P104" i="27"/>
  <c r="Q104" i="27"/>
  <c r="R104" i="27"/>
  <c r="S104" i="27"/>
  <c r="O105" i="27"/>
  <c r="P105" i="27"/>
  <c r="Q105" i="27"/>
  <c r="R105" i="27"/>
  <c r="S105" i="27"/>
  <c r="O106" i="27"/>
  <c r="P106" i="27"/>
  <c r="Q106" i="27"/>
  <c r="R106" i="27"/>
  <c r="S106" i="27"/>
  <c r="O107" i="27"/>
  <c r="P107" i="27"/>
  <c r="Q107" i="27"/>
  <c r="R107" i="27"/>
  <c r="S107" i="27"/>
  <c r="O108" i="27"/>
  <c r="P108" i="27"/>
  <c r="Q108" i="27"/>
  <c r="R108" i="27"/>
  <c r="S108" i="27"/>
  <c r="O109" i="27"/>
  <c r="P109" i="27"/>
  <c r="Q109" i="27"/>
  <c r="R109" i="27"/>
  <c r="S109" i="27"/>
  <c r="O110" i="27"/>
  <c r="P110" i="27"/>
  <c r="Q110" i="27"/>
  <c r="R110" i="27"/>
  <c r="S110" i="27"/>
  <c r="O111" i="27"/>
  <c r="P111" i="27"/>
  <c r="Q111" i="27"/>
  <c r="R111" i="27"/>
  <c r="S111" i="27"/>
  <c r="O112" i="27"/>
  <c r="P112" i="27"/>
  <c r="Q112" i="27"/>
  <c r="R112" i="27"/>
  <c r="S112" i="27"/>
  <c r="O113" i="27"/>
  <c r="P113" i="27"/>
  <c r="Q113" i="27"/>
  <c r="R113" i="27"/>
  <c r="S113" i="27"/>
  <c r="P103" i="27"/>
  <c r="Q103" i="27"/>
  <c r="R103" i="27"/>
  <c r="S103" i="27"/>
  <c r="O103" i="27"/>
  <c r="O93" i="27"/>
  <c r="P93" i="27"/>
  <c r="Q93" i="27"/>
  <c r="R93" i="27"/>
  <c r="S93" i="27"/>
  <c r="O94" i="27"/>
  <c r="P94" i="27"/>
  <c r="Q94" i="27"/>
  <c r="R94" i="27"/>
  <c r="S94" i="27"/>
  <c r="O95" i="27"/>
  <c r="P95" i="27"/>
  <c r="Q95" i="27"/>
  <c r="R95" i="27"/>
  <c r="S95" i="27"/>
  <c r="O96" i="27"/>
  <c r="P96" i="27"/>
  <c r="Q96" i="27"/>
  <c r="R96" i="27"/>
  <c r="S96" i="27"/>
  <c r="O97" i="27"/>
  <c r="P97" i="27"/>
  <c r="Q97" i="27"/>
  <c r="R97" i="27"/>
  <c r="S97" i="27"/>
  <c r="O98" i="27"/>
  <c r="P98" i="27"/>
  <c r="Q98" i="27"/>
  <c r="R98" i="27"/>
  <c r="S98" i="27"/>
  <c r="O99" i="27"/>
  <c r="P99" i="27"/>
  <c r="Q99" i="27"/>
  <c r="R99" i="27"/>
  <c r="S99" i="27"/>
  <c r="O100" i="27"/>
  <c r="P100" i="27"/>
  <c r="Q100" i="27"/>
  <c r="R100" i="27"/>
  <c r="S100" i="27"/>
  <c r="O101" i="27"/>
  <c r="P101" i="27"/>
  <c r="Q101" i="27"/>
  <c r="R101" i="27"/>
  <c r="S101" i="27"/>
  <c r="O102" i="27"/>
  <c r="P102" i="27"/>
  <c r="Q102" i="27"/>
  <c r="R102" i="27"/>
  <c r="S102" i="27"/>
  <c r="P92" i="27"/>
  <c r="Q92" i="27"/>
  <c r="R92" i="27"/>
  <c r="S92" i="27"/>
  <c r="O92" i="27"/>
  <c r="O82" i="27"/>
  <c r="P82" i="27"/>
  <c r="Q82" i="27"/>
  <c r="R82" i="27"/>
  <c r="S82" i="27"/>
  <c r="O83" i="27"/>
  <c r="P83" i="27"/>
  <c r="Q83" i="27"/>
  <c r="R83" i="27"/>
  <c r="S83" i="27"/>
  <c r="O84" i="27"/>
  <c r="P84" i="27"/>
  <c r="Q84" i="27"/>
  <c r="R84" i="27"/>
  <c r="S84" i="27"/>
  <c r="O85" i="27"/>
  <c r="P85" i="27"/>
  <c r="Q85" i="27"/>
  <c r="R85" i="27"/>
  <c r="S85" i="27"/>
  <c r="O86" i="27"/>
  <c r="P86" i="27"/>
  <c r="Q86" i="27"/>
  <c r="R86" i="27"/>
  <c r="S86" i="27"/>
  <c r="O87" i="27"/>
  <c r="P87" i="27"/>
  <c r="Q87" i="27"/>
  <c r="R87" i="27"/>
  <c r="S87" i="27"/>
  <c r="O88" i="27"/>
  <c r="P88" i="27"/>
  <c r="Q88" i="27"/>
  <c r="R88" i="27"/>
  <c r="S88" i="27"/>
  <c r="O89" i="27"/>
  <c r="P89" i="27"/>
  <c r="Q89" i="27"/>
  <c r="R89" i="27"/>
  <c r="S89" i="27"/>
  <c r="O90" i="27"/>
  <c r="P90" i="27"/>
  <c r="Q90" i="27"/>
  <c r="R90" i="27"/>
  <c r="S90" i="27"/>
  <c r="O91" i="27"/>
  <c r="P91" i="27"/>
  <c r="Q91" i="27"/>
  <c r="R91" i="27"/>
  <c r="S91" i="27"/>
  <c r="P81" i="27"/>
  <c r="Q81" i="27"/>
  <c r="R81" i="27"/>
  <c r="S81" i="27"/>
  <c r="O81" i="27"/>
  <c r="O71" i="27"/>
  <c r="P71" i="27"/>
  <c r="Q71" i="27"/>
  <c r="R71" i="27"/>
  <c r="S71" i="27"/>
  <c r="O72" i="27"/>
  <c r="P72" i="27"/>
  <c r="Q72" i="27"/>
  <c r="R72" i="27"/>
  <c r="S72" i="27"/>
  <c r="O73" i="27"/>
  <c r="P73" i="27"/>
  <c r="Q73" i="27"/>
  <c r="R73" i="27"/>
  <c r="S73" i="27"/>
  <c r="O74" i="27"/>
  <c r="P74" i="27"/>
  <c r="Q74" i="27"/>
  <c r="R74" i="27"/>
  <c r="S74" i="27"/>
  <c r="O75" i="27"/>
  <c r="P75" i="27"/>
  <c r="Q75" i="27"/>
  <c r="R75" i="27"/>
  <c r="S75" i="27"/>
  <c r="O76" i="27"/>
  <c r="P76" i="27"/>
  <c r="Q76" i="27"/>
  <c r="R76" i="27"/>
  <c r="S76" i="27"/>
  <c r="O77" i="27"/>
  <c r="P77" i="27"/>
  <c r="Q77" i="27"/>
  <c r="R77" i="27"/>
  <c r="S77" i="27"/>
  <c r="O78" i="27"/>
  <c r="P78" i="27"/>
  <c r="Q78" i="27"/>
  <c r="R78" i="27"/>
  <c r="S78" i="27"/>
  <c r="O79" i="27"/>
  <c r="P79" i="27"/>
  <c r="Q79" i="27"/>
  <c r="R79" i="27"/>
  <c r="S79" i="27"/>
  <c r="O80" i="27"/>
  <c r="P80" i="27"/>
  <c r="Q80" i="27"/>
  <c r="R80" i="27"/>
  <c r="S80" i="27"/>
  <c r="P70" i="27"/>
  <c r="Q70" i="27"/>
  <c r="R70" i="27"/>
  <c r="S70" i="27"/>
  <c r="O70" i="27"/>
  <c r="O60" i="27"/>
  <c r="P60" i="27"/>
  <c r="Q60" i="27"/>
  <c r="R60" i="27"/>
  <c r="S60" i="27"/>
  <c r="O61" i="27"/>
  <c r="P61" i="27"/>
  <c r="Q61" i="27"/>
  <c r="R61" i="27"/>
  <c r="S61" i="27"/>
  <c r="O62" i="27"/>
  <c r="P62" i="27"/>
  <c r="Q62" i="27"/>
  <c r="R62" i="27"/>
  <c r="S62" i="27"/>
  <c r="O63" i="27"/>
  <c r="P63" i="27"/>
  <c r="Q63" i="27"/>
  <c r="R63" i="27"/>
  <c r="S63" i="27"/>
  <c r="O64" i="27"/>
  <c r="P64" i="27"/>
  <c r="Q64" i="27"/>
  <c r="R64" i="27"/>
  <c r="S64" i="27"/>
  <c r="O65" i="27"/>
  <c r="P65" i="27"/>
  <c r="Q65" i="27"/>
  <c r="R65" i="27"/>
  <c r="S65" i="27"/>
  <c r="O66" i="27"/>
  <c r="P66" i="27"/>
  <c r="Q66" i="27"/>
  <c r="R66" i="27"/>
  <c r="S66" i="27"/>
  <c r="O67" i="27"/>
  <c r="P67" i="27"/>
  <c r="Q67" i="27"/>
  <c r="R67" i="27"/>
  <c r="S67" i="27"/>
  <c r="O68" i="27"/>
  <c r="P68" i="27"/>
  <c r="Q68" i="27"/>
  <c r="R68" i="27"/>
  <c r="S68" i="27"/>
  <c r="O69" i="27"/>
  <c r="P69" i="27"/>
  <c r="Q69" i="27"/>
  <c r="R69" i="27"/>
  <c r="S69" i="27"/>
  <c r="P59" i="27"/>
  <c r="Q59" i="27"/>
  <c r="R59" i="27"/>
  <c r="S59" i="27"/>
  <c r="O59" i="27"/>
  <c r="O49" i="27"/>
  <c r="P49" i="27"/>
  <c r="Q49" i="27"/>
  <c r="S49" i="27"/>
  <c r="O50" i="27"/>
  <c r="P50" i="27"/>
  <c r="Q50" i="27"/>
  <c r="S50" i="27"/>
  <c r="O51" i="27"/>
  <c r="P51" i="27"/>
  <c r="Q51" i="27"/>
  <c r="S51" i="27"/>
  <c r="O53" i="27"/>
  <c r="P53" i="27"/>
  <c r="Q53" i="27"/>
  <c r="S53" i="27"/>
  <c r="O54" i="27"/>
  <c r="P54" i="27"/>
  <c r="Q54" i="27"/>
  <c r="S54" i="27"/>
  <c r="O55" i="27"/>
  <c r="P55" i="27"/>
  <c r="Q55" i="27"/>
  <c r="S55" i="27"/>
  <c r="O56" i="27"/>
  <c r="P56" i="27"/>
  <c r="Q56" i="27"/>
  <c r="S56" i="27"/>
  <c r="O57" i="27"/>
  <c r="P57" i="27"/>
  <c r="Q57" i="27"/>
  <c r="S57" i="27"/>
  <c r="O58" i="27"/>
  <c r="P58" i="27"/>
  <c r="Q58" i="27"/>
  <c r="S58" i="27"/>
  <c r="P48" i="27"/>
  <c r="Q48" i="27"/>
  <c r="S48" i="27"/>
  <c r="O48" i="27"/>
  <c r="O38" i="27"/>
  <c r="P38" i="27"/>
  <c r="Q38" i="27"/>
  <c r="R38" i="27"/>
  <c r="S38" i="27"/>
  <c r="O39" i="27"/>
  <c r="P39" i="27"/>
  <c r="Q39" i="27"/>
  <c r="R39" i="27"/>
  <c r="S39" i="27"/>
  <c r="O40" i="27"/>
  <c r="P40" i="27"/>
  <c r="Q40" i="27"/>
  <c r="R40" i="27"/>
  <c r="S40" i="27"/>
  <c r="O41" i="27"/>
  <c r="P41" i="27"/>
  <c r="Q41" i="27"/>
  <c r="R41" i="27"/>
  <c r="S41" i="27"/>
  <c r="O42" i="27"/>
  <c r="P42" i="27"/>
  <c r="Q42" i="27"/>
  <c r="R42" i="27"/>
  <c r="S42" i="27"/>
  <c r="O43" i="27"/>
  <c r="P43" i="27"/>
  <c r="Q43" i="27"/>
  <c r="R43" i="27"/>
  <c r="S43" i="27"/>
  <c r="O44" i="27"/>
  <c r="P44" i="27"/>
  <c r="Q44" i="27"/>
  <c r="R44" i="27"/>
  <c r="S44" i="27"/>
  <c r="O45" i="27"/>
  <c r="P45" i="27"/>
  <c r="Q45" i="27"/>
  <c r="R45" i="27"/>
  <c r="S45" i="27"/>
  <c r="O46" i="27"/>
  <c r="P46" i="27"/>
  <c r="Q46" i="27"/>
  <c r="R46" i="27"/>
  <c r="S46" i="27"/>
  <c r="O47" i="27"/>
  <c r="P47" i="27"/>
  <c r="Q47" i="27"/>
  <c r="R47" i="27"/>
  <c r="S47" i="27"/>
  <c r="P37" i="27"/>
  <c r="Q37" i="27"/>
  <c r="R37" i="27"/>
  <c r="S37" i="27"/>
  <c r="O37" i="27"/>
  <c r="O29" i="27"/>
  <c r="P29" i="27"/>
  <c r="Q29" i="27"/>
  <c r="S29" i="27"/>
  <c r="O30" i="27"/>
  <c r="P30" i="27"/>
  <c r="Q30" i="27"/>
  <c r="S30" i="27"/>
  <c r="O31" i="27"/>
  <c r="P31" i="27"/>
  <c r="Q31" i="27"/>
  <c r="S31" i="27"/>
  <c r="O32" i="27"/>
  <c r="P32" i="27"/>
  <c r="Q32" i="27"/>
  <c r="S32" i="27"/>
  <c r="O33" i="27"/>
  <c r="P33" i="27"/>
  <c r="Q33" i="27"/>
  <c r="S33" i="27"/>
  <c r="O34" i="27"/>
  <c r="P34" i="27"/>
  <c r="Q34" i="27"/>
  <c r="S34" i="27"/>
  <c r="O35" i="27"/>
  <c r="P35" i="27"/>
  <c r="Q35" i="27"/>
  <c r="S35" i="27"/>
  <c r="O36" i="27"/>
  <c r="P36" i="27"/>
  <c r="Q36" i="27"/>
  <c r="S36" i="27"/>
  <c r="O16" i="27"/>
  <c r="P16" i="27"/>
  <c r="Q16" i="27"/>
  <c r="S16" i="27"/>
  <c r="P15" i="27"/>
  <c r="Q15" i="27"/>
  <c r="S15" i="27"/>
  <c r="O15" i="27"/>
  <c r="O5" i="27"/>
  <c r="P5" i="27"/>
  <c r="Q5" i="27"/>
  <c r="R5" i="27"/>
  <c r="S5" i="27"/>
  <c r="O6" i="27"/>
  <c r="P6" i="27"/>
  <c r="Q6" i="27"/>
  <c r="R6" i="27"/>
  <c r="S6" i="27"/>
  <c r="O7" i="27"/>
  <c r="P7" i="27"/>
  <c r="Q7" i="27"/>
  <c r="R7" i="27"/>
  <c r="S7" i="27"/>
  <c r="O8" i="27"/>
  <c r="P8" i="27"/>
  <c r="Q8" i="27"/>
  <c r="R8" i="27"/>
  <c r="S8" i="27"/>
  <c r="O9" i="27"/>
  <c r="P9" i="27"/>
  <c r="Q9" i="27"/>
  <c r="R9" i="27"/>
  <c r="S9" i="27"/>
  <c r="O10" i="27"/>
  <c r="P10" i="27"/>
  <c r="Q10" i="27"/>
  <c r="R10" i="27"/>
  <c r="S10" i="27"/>
  <c r="O11" i="27"/>
  <c r="P11" i="27"/>
  <c r="Q11" i="27"/>
  <c r="R11" i="27"/>
  <c r="S11" i="27"/>
  <c r="O12" i="27"/>
  <c r="P12" i="27"/>
  <c r="Q12" i="27"/>
  <c r="R12" i="27"/>
  <c r="S12" i="27"/>
  <c r="O13" i="27"/>
  <c r="P13" i="27"/>
  <c r="Q13" i="27"/>
  <c r="R13" i="27"/>
  <c r="S13" i="27"/>
  <c r="O14" i="27"/>
  <c r="P14" i="27"/>
  <c r="Q14" i="27"/>
  <c r="R14" i="27"/>
  <c r="S14" i="27"/>
  <c r="P4" i="27"/>
  <c r="Q4" i="27"/>
  <c r="R4" i="27"/>
  <c r="S4" i="27"/>
  <c r="O4" i="27"/>
  <c r="R8" i="25"/>
  <c r="S8" i="25"/>
  <c r="T8" i="25"/>
  <c r="R9" i="25"/>
  <c r="S9" i="25"/>
  <c r="T9" i="25"/>
  <c r="R10" i="25"/>
  <c r="S10" i="25"/>
  <c r="T10" i="25"/>
  <c r="R11" i="25"/>
  <c r="S11" i="25"/>
  <c r="T11" i="25"/>
  <c r="R12" i="25"/>
  <c r="S12" i="25"/>
  <c r="T12" i="25"/>
  <c r="R13" i="25"/>
  <c r="S13" i="25"/>
  <c r="T13" i="25"/>
  <c r="R14" i="25"/>
  <c r="S14" i="25"/>
  <c r="T14" i="25"/>
  <c r="R15" i="25"/>
  <c r="S15" i="25"/>
  <c r="T15" i="25"/>
  <c r="R16" i="25"/>
  <c r="S16" i="25"/>
  <c r="T16" i="25"/>
  <c r="R17" i="25"/>
  <c r="S17" i="25"/>
  <c r="T17" i="25"/>
  <c r="S7" i="25"/>
  <c r="T7" i="25"/>
  <c r="R7" i="25"/>
  <c r="K8" i="25"/>
  <c r="L8" i="25"/>
  <c r="K9" i="25"/>
  <c r="L9" i="25"/>
  <c r="K10" i="25"/>
  <c r="L10" i="25"/>
  <c r="K11" i="25"/>
  <c r="L11" i="25"/>
  <c r="K12" i="25"/>
  <c r="L12" i="25"/>
  <c r="K13" i="25"/>
  <c r="L13" i="25"/>
  <c r="K14" i="25"/>
  <c r="L14" i="25"/>
  <c r="K15" i="25"/>
  <c r="L15" i="25"/>
  <c r="K16" i="25"/>
  <c r="L16" i="25"/>
  <c r="K17" i="25"/>
  <c r="L17" i="25"/>
  <c r="L7" i="25"/>
  <c r="K7" i="25"/>
  <c r="A8" i="25"/>
  <c r="B8" i="25"/>
  <c r="C8" i="25"/>
  <c r="D8" i="25"/>
  <c r="E8" i="25"/>
  <c r="F8" i="25"/>
  <c r="G8" i="25"/>
  <c r="H8" i="25"/>
  <c r="I8" i="25"/>
  <c r="A9" i="25"/>
  <c r="B9" i="25"/>
  <c r="C9" i="25"/>
  <c r="D9" i="25"/>
  <c r="E9" i="25"/>
  <c r="F9" i="25"/>
  <c r="G9" i="25"/>
  <c r="H9" i="25"/>
  <c r="I9" i="25"/>
  <c r="A10" i="25"/>
  <c r="B10" i="25"/>
  <c r="C10" i="25"/>
  <c r="D10" i="25"/>
  <c r="E10" i="25"/>
  <c r="F10" i="25"/>
  <c r="G10" i="25"/>
  <c r="H10" i="25"/>
  <c r="I10" i="25"/>
  <c r="A11" i="25"/>
  <c r="B11" i="25"/>
  <c r="C11" i="25"/>
  <c r="D11" i="25"/>
  <c r="E11" i="25"/>
  <c r="F11" i="25"/>
  <c r="G11" i="25"/>
  <c r="H11" i="25"/>
  <c r="I11" i="25"/>
  <c r="A12" i="25"/>
  <c r="B12" i="25"/>
  <c r="C12" i="25"/>
  <c r="D12" i="25"/>
  <c r="E12" i="25"/>
  <c r="F12" i="25"/>
  <c r="G12" i="25"/>
  <c r="H12" i="25"/>
  <c r="I12" i="25"/>
  <c r="A13" i="25"/>
  <c r="B13" i="25"/>
  <c r="C13" i="25"/>
  <c r="D13" i="25"/>
  <c r="E13" i="25"/>
  <c r="F13" i="25"/>
  <c r="G13" i="25"/>
  <c r="H13" i="25"/>
  <c r="I13" i="25"/>
  <c r="A14" i="25"/>
  <c r="B14" i="25"/>
  <c r="C14" i="25"/>
  <c r="D14" i="25"/>
  <c r="E14" i="25"/>
  <c r="F14" i="25"/>
  <c r="G14" i="25"/>
  <c r="H14" i="25"/>
  <c r="I14" i="25"/>
  <c r="A15" i="25"/>
  <c r="B15" i="25"/>
  <c r="C15" i="25"/>
  <c r="D15" i="25"/>
  <c r="E15" i="25"/>
  <c r="F15" i="25"/>
  <c r="G15" i="25"/>
  <c r="H15" i="25"/>
  <c r="I15" i="25"/>
  <c r="A16" i="25"/>
  <c r="B16" i="25"/>
  <c r="C16" i="25"/>
  <c r="D16" i="25"/>
  <c r="E16" i="25"/>
  <c r="F16" i="25"/>
  <c r="G16" i="25"/>
  <c r="H16" i="25"/>
  <c r="I16" i="25"/>
  <c r="A17" i="25"/>
  <c r="B17" i="25"/>
  <c r="C17" i="25"/>
  <c r="D17" i="25"/>
  <c r="E17" i="25"/>
  <c r="F17" i="25"/>
  <c r="G17" i="25"/>
  <c r="H17" i="25"/>
  <c r="I17" i="25"/>
  <c r="B7" i="25"/>
  <c r="C7" i="25"/>
  <c r="D7" i="25"/>
  <c r="E7" i="25"/>
  <c r="F7" i="25"/>
  <c r="G7" i="25"/>
  <c r="H7" i="25"/>
  <c r="I7" i="25"/>
  <c r="A7" i="25"/>
  <c r="R8" i="24"/>
  <c r="S8" i="24"/>
  <c r="T8" i="24"/>
  <c r="R9" i="24"/>
  <c r="S9" i="24"/>
  <c r="T9" i="24"/>
  <c r="R10" i="24"/>
  <c r="S10" i="24"/>
  <c r="T10" i="24"/>
  <c r="R11" i="24"/>
  <c r="S11" i="24"/>
  <c r="T11" i="24"/>
  <c r="R12" i="24"/>
  <c r="S12" i="24"/>
  <c r="T12" i="24"/>
  <c r="R13" i="24"/>
  <c r="S13" i="24"/>
  <c r="T13" i="24"/>
  <c r="R14" i="24"/>
  <c r="S14" i="24"/>
  <c r="T14" i="24"/>
  <c r="R15" i="24"/>
  <c r="S15" i="24"/>
  <c r="T15" i="24"/>
  <c r="R16" i="24"/>
  <c r="S16" i="24"/>
  <c r="T16" i="24"/>
  <c r="R17" i="24"/>
  <c r="S17" i="24"/>
  <c r="T17" i="24"/>
  <c r="T7" i="24"/>
  <c r="S7" i="24"/>
  <c r="R7" i="24"/>
  <c r="K8" i="24"/>
  <c r="L8" i="24"/>
  <c r="K9" i="24"/>
  <c r="L9" i="24"/>
  <c r="K10" i="24"/>
  <c r="L10" i="24"/>
  <c r="K11" i="24"/>
  <c r="L11" i="24"/>
  <c r="K12" i="24"/>
  <c r="L12" i="24"/>
  <c r="K13" i="24"/>
  <c r="L13" i="24"/>
  <c r="K14" i="24"/>
  <c r="L14" i="24"/>
  <c r="K15" i="24"/>
  <c r="L15" i="24"/>
  <c r="K16" i="24"/>
  <c r="L16" i="24"/>
  <c r="K17" i="24"/>
  <c r="L17" i="24"/>
  <c r="L7" i="24"/>
  <c r="K7" i="24"/>
  <c r="M7" i="24"/>
  <c r="A17" i="24"/>
  <c r="B17" i="24"/>
  <c r="C17" i="24"/>
  <c r="D17" i="24"/>
  <c r="E17" i="24"/>
  <c r="F17" i="24"/>
  <c r="G17" i="24"/>
  <c r="H17" i="24"/>
  <c r="I17" i="24"/>
  <c r="A8" i="24"/>
  <c r="B8" i="24"/>
  <c r="C8" i="24"/>
  <c r="D8" i="24"/>
  <c r="E8" i="24"/>
  <c r="F8" i="24"/>
  <c r="G8" i="24"/>
  <c r="H8" i="24"/>
  <c r="I8" i="24"/>
  <c r="A9" i="24"/>
  <c r="B9" i="24"/>
  <c r="C9" i="24"/>
  <c r="D9" i="24"/>
  <c r="E9" i="24"/>
  <c r="F9" i="24"/>
  <c r="G9" i="24"/>
  <c r="H9" i="24"/>
  <c r="I9" i="24"/>
  <c r="A10" i="24"/>
  <c r="B10" i="24"/>
  <c r="C10" i="24"/>
  <c r="D10" i="24"/>
  <c r="E10" i="24"/>
  <c r="F10" i="24"/>
  <c r="G10" i="24"/>
  <c r="H10" i="24"/>
  <c r="I10" i="24"/>
  <c r="A11" i="24"/>
  <c r="B11" i="24"/>
  <c r="C11" i="24"/>
  <c r="D11" i="24"/>
  <c r="E11" i="24"/>
  <c r="F11" i="24"/>
  <c r="G11" i="24"/>
  <c r="H11" i="24"/>
  <c r="I11" i="24"/>
  <c r="A12" i="24"/>
  <c r="B12" i="24"/>
  <c r="C12" i="24"/>
  <c r="D12" i="24"/>
  <c r="E12" i="24"/>
  <c r="F12" i="24"/>
  <c r="G12" i="24"/>
  <c r="H12" i="24"/>
  <c r="I12" i="24"/>
  <c r="A13" i="24"/>
  <c r="B13" i="24"/>
  <c r="C13" i="24"/>
  <c r="D13" i="24"/>
  <c r="E13" i="24"/>
  <c r="F13" i="24"/>
  <c r="G13" i="24"/>
  <c r="H13" i="24"/>
  <c r="I13" i="24"/>
  <c r="A14" i="24"/>
  <c r="B14" i="24"/>
  <c r="C14" i="24"/>
  <c r="D14" i="24"/>
  <c r="E14" i="24"/>
  <c r="F14" i="24"/>
  <c r="G14" i="24"/>
  <c r="H14" i="24"/>
  <c r="I14" i="24"/>
  <c r="A15" i="24"/>
  <c r="B15" i="24"/>
  <c r="C15" i="24"/>
  <c r="D15" i="24"/>
  <c r="E15" i="24"/>
  <c r="F15" i="24"/>
  <c r="G15" i="24"/>
  <c r="H15" i="24"/>
  <c r="I15" i="24"/>
  <c r="A16" i="24"/>
  <c r="B16" i="24"/>
  <c r="C16" i="24"/>
  <c r="D16" i="24"/>
  <c r="E16" i="24"/>
  <c r="F16" i="24"/>
  <c r="G16" i="24"/>
  <c r="H16" i="24"/>
  <c r="I16" i="24"/>
  <c r="B7" i="24"/>
  <c r="C7" i="24"/>
  <c r="D7" i="24"/>
  <c r="E7" i="24"/>
  <c r="F7" i="24"/>
  <c r="G7" i="24"/>
  <c r="H7" i="24"/>
  <c r="I7" i="24"/>
  <c r="A7" i="24"/>
  <c r="T7" i="23"/>
  <c r="T8" i="23"/>
  <c r="T9" i="23"/>
  <c r="T10" i="23"/>
  <c r="T11" i="23"/>
  <c r="T12" i="23"/>
  <c r="T13" i="23"/>
  <c r="T14" i="23"/>
  <c r="T15" i="23"/>
  <c r="T16" i="23"/>
  <c r="T17" i="23"/>
  <c r="S17" i="23"/>
  <c r="R17" i="23"/>
  <c r="S16" i="23"/>
  <c r="R16" i="23"/>
  <c r="S15" i="23"/>
  <c r="R15" i="23"/>
  <c r="S14" i="23"/>
  <c r="R14" i="23"/>
  <c r="S13" i="23"/>
  <c r="R13" i="23"/>
  <c r="S12" i="23"/>
  <c r="R12" i="23"/>
  <c r="S11" i="23"/>
  <c r="R11" i="23"/>
  <c r="S10" i="23"/>
  <c r="R10" i="23"/>
  <c r="S9" i="23"/>
  <c r="R9" i="23"/>
  <c r="S8" i="23"/>
  <c r="R8" i="23"/>
  <c r="S7" i="23"/>
  <c r="R7" i="23"/>
  <c r="K8" i="23"/>
  <c r="L8" i="23"/>
  <c r="K9" i="23"/>
  <c r="L9" i="23"/>
  <c r="K10" i="23"/>
  <c r="L10" i="23"/>
  <c r="K11" i="23"/>
  <c r="L11" i="23"/>
  <c r="K12" i="23"/>
  <c r="L12" i="23"/>
  <c r="K13" i="23"/>
  <c r="L13" i="23"/>
  <c r="K14" i="23"/>
  <c r="L14" i="23"/>
  <c r="K15" i="23"/>
  <c r="L15" i="23"/>
  <c r="K16" i="23"/>
  <c r="L16" i="23"/>
  <c r="K17" i="23"/>
  <c r="L17" i="23"/>
  <c r="L7" i="23"/>
  <c r="K7" i="23"/>
  <c r="A8" i="23"/>
  <c r="B8" i="23"/>
  <c r="C8" i="23"/>
  <c r="D8" i="23"/>
  <c r="E8" i="23"/>
  <c r="F8" i="23"/>
  <c r="G8" i="23"/>
  <c r="H8" i="23"/>
  <c r="I8" i="23"/>
  <c r="A9" i="23"/>
  <c r="B9" i="23"/>
  <c r="C9" i="23"/>
  <c r="D9" i="23"/>
  <c r="E9" i="23"/>
  <c r="F9" i="23"/>
  <c r="G9" i="23"/>
  <c r="H9" i="23"/>
  <c r="I9" i="23"/>
  <c r="A10" i="23"/>
  <c r="B10" i="23"/>
  <c r="C10" i="23"/>
  <c r="D10" i="23"/>
  <c r="E10" i="23"/>
  <c r="F10" i="23"/>
  <c r="G10" i="23"/>
  <c r="H10" i="23"/>
  <c r="I10" i="23"/>
  <c r="A11" i="23"/>
  <c r="B11" i="23"/>
  <c r="C11" i="23"/>
  <c r="D11" i="23"/>
  <c r="E11" i="23"/>
  <c r="F11" i="23"/>
  <c r="G11" i="23"/>
  <c r="H11" i="23"/>
  <c r="I11" i="23"/>
  <c r="A12" i="23"/>
  <c r="B12" i="23"/>
  <c r="C12" i="23"/>
  <c r="D12" i="23"/>
  <c r="E12" i="23"/>
  <c r="F12" i="23"/>
  <c r="G12" i="23"/>
  <c r="H12" i="23"/>
  <c r="I12" i="23"/>
  <c r="A13" i="23"/>
  <c r="B13" i="23"/>
  <c r="C13" i="23"/>
  <c r="D13" i="23"/>
  <c r="E13" i="23"/>
  <c r="F13" i="23"/>
  <c r="G13" i="23"/>
  <c r="H13" i="23"/>
  <c r="I13" i="23"/>
  <c r="A14" i="23"/>
  <c r="B14" i="23"/>
  <c r="C14" i="23"/>
  <c r="D14" i="23"/>
  <c r="E14" i="23"/>
  <c r="F14" i="23"/>
  <c r="G14" i="23"/>
  <c r="H14" i="23"/>
  <c r="I14" i="23"/>
  <c r="A15" i="23"/>
  <c r="B15" i="23"/>
  <c r="C15" i="23"/>
  <c r="D15" i="23"/>
  <c r="E15" i="23"/>
  <c r="F15" i="23"/>
  <c r="G15" i="23"/>
  <c r="H15" i="23"/>
  <c r="I15" i="23"/>
  <c r="A16" i="23"/>
  <c r="B16" i="23"/>
  <c r="C16" i="23"/>
  <c r="D16" i="23"/>
  <c r="E16" i="23"/>
  <c r="F16" i="23"/>
  <c r="G16" i="23"/>
  <c r="H16" i="23"/>
  <c r="I16" i="23"/>
  <c r="A17" i="23"/>
  <c r="B17" i="23"/>
  <c r="C17" i="23"/>
  <c r="D17" i="23"/>
  <c r="E17" i="23"/>
  <c r="F17" i="23"/>
  <c r="G17" i="23"/>
  <c r="H17" i="23"/>
  <c r="I17" i="23"/>
  <c r="B7" i="23"/>
  <c r="C7" i="23"/>
  <c r="D7" i="23"/>
  <c r="E7" i="23"/>
  <c r="F7" i="23"/>
  <c r="G7" i="23"/>
  <c r="H7" i="23"/>
  <c r="I7" i="23"/>
  <c r="A7" i="23"/>
  <c r="T7" i="22"/>
  <c r="T8" i="22"/>
  <c r="T9" i="22"/>
  <c r="T10" i="22"/>
  <c r="T11" i="22"/>
  <c r="T12" i="22"/>
  <c r="T13" i="22"/>
  <c r="T14" i="22"/>
  <c r="T15" i="22"/>
  <c r="T16" i="22"/>
  <c r="T17" i="22"/>
  <c r="S17" i="22"/>
  <c r="R17" i="22"/>
  <c r="S16" i="22"/>
  <c r="R16" i="22"/>
  <c r="S15" i="22"/>
  <c r="R15" i="22"/>
  <c r="S14" i="22"/>
  <c r="R14" i="22"/>
  <c r="S13" i="22"/>
  <c r="R13" i="22"/>
  <c r="S12" i="22"/>
  <c r="R12" i="22"/>
  <c r="S11" i="22"/>
  <c r="R11" i="22"/>
  <c r="S10" i="22"/>
  <c r="R10" i="22"/>
  <c r="S9" i="22"/>
  <c r="R9" i="22"/>
  <c r="S8" i="22"/>
  <c r="R8" i="22"/>
  <c r="S7" i="22"/>
  <c r="R7" i="22"/>
  <c r="K8" i="22"/>
  <c r="L8" i="22"/>
  <c r="K9" i="22"/>
  <c r="L9" i="22"/>
  <c r="K10" i="22"/>
  <c r="L10" i="22"/>
  <c r="K11" i="22"/>
  <c r="L11" i="22"/>
  <c r="K12" i="22"/>
  <c r="L12" i="22"/>
  <c r="K13" i="22"/>
  <c r="L13" i="22"/>
  <c r="K14" i="22"/>
  <c r="L14" i="22"/>
  <c r="K15" i="22"/>
  <c r="L15" i="22"/>
  <c r="K16" i="22"/>
  <c r="L16" i="22"/>
  <c r="K17" i="22"/>
  <c r="L17" i="22"/>
  <c r="L7" i="22"/>
  <c r="K7" i="22"/>
  <c r="A8" i="22"/>
  <c r="B8" i="22"/>
  <c r="C8" i="22"/>
  <c r="D8" i="22"/>
  <c r="E8" i="22"/>
  <c r="F8" i="22"/>
  <c r="G8" i="22"/>
  <c r="H8" i="22"/>
  <c r="I8" i="22"/>
  <c r="A9" i="22"/>
  <c r="B9" i="22"/>
  <c r="C9" i="22"/>
  <c r="D9" i="22"/>
  <c r="E9" i="22"/>
  <c r="F9" i="22"/>
  <c r="G9" i="22"/>
  <c r="H9" i="22"/>
  <c r="I9" i="22"/>
  <c r="A10" i="22"/>
  <c r="B10" i="22"/>
  <c r="C10" i="22"/>
  <c r="D10" i="22"/>
  <c r="E10" i="22"/>
  <c r="F10" i="22"/>
  <c r="G10" i="22"/>
  <c r="H10" i="22"/>
  <c r="I10" i="22"/>
  <c r="A11" i="22"/>
  <c r="B11" i="22"/>
  <c r="C11" i="22"/>
  <c r="D11" i="22"/>
  <c r="E11" i="22"/>
  <c r="F11" i="22"/>
  <c r="G11" i="22"/>
  <c r="H11" i="22"/>
  <c r="I11" i="22"/>
  <c r="A12" i="22"/>
  <c r="B12" i="22"/>
  <c r="C12" i="22"/>
  <c r="D12" i="22"/>
  <c r="E12" i="22"/>
  <c r="F12" i="22"/>
  <c r="G12" i="22"/>
  <c r="H12" i="22"/>
  <c r="I12" i="22"/>
  <c r="A13" i="22"/>
  <c r="B13" i="22"/>
  <c r="C13" i="22"/>
  <c r="D13" i="22"/>
  <c r="E13" i="22"/>
  <c r="F13" i="22"/>
  <c r="G13" i="22"/>
  <c r="H13" i="22"/>
  <c r="I13" i="22"/>
  <c r="A14" i="22"/>
  <c r="B14" i="22"/>
  <c r="C14" i="22"/>
  <c r="D14" i="22"/>
  <c r="E14" i="22"/>
  <c r="F14" i="22"/>
  <c r="G14" i="22"/>
  <c r="H14" i="22"/>
  <c r="I14" i="22"/>
  <c r="A15" i="22"/>
  <c r="B15" i="22"/>
  <c r="C15" i="22"/>
  <c r="D15" i="22"/>
  <c r="E15" i="22"/>
  <c r="F15" i="22"/>
  <c r="G15" i="22"/>
  <c r="H15" i="22"/>
  <c r="I15" i="22"/>
  <c r="A16" i="22"/>
  <c r="B16" i="22"/>
  <c r="C16" i="22"/>
  <c r="D16" i="22"/>
  <c r="E16" i="22"/>
  <c r="F16" i="22"/>
  <c r="G16" i="22"/>
  <c r="H16" i="22"/>
  <c r="I16" i="22"/>
  <c r="A17" i="22"/>
  <c r="B17" i="22"/>
  <c r="C17" i="22"/>
  <c r="D17" i="22"/>
  <c r="E17" i="22"/>
  <c r="F17" i="22"/>
  <c r="G17" i="22"/>
  <c r="H17" i="22"/>
  <c r="I17" i="22"/>
  <c r="B7" i="22"/>
  <c r="C7" i="22"/>
  <c r="D7" i="22"/>
  <c r="E7" i="22"/>
  <c r="F7" i="22"/>
  <c r="G7" i="22"/>
  <c r="H7" i="22"/>
  <c r="I7" i="22"/>
  <c r="A7" i="22"/>
  <c r="R8" i="21"/>
  <c r="S8" i="21"/>
  <c r="T8" i="21"/>
  <c r="R9" i="21"/>
  <c r="S9" i="21"/>
  <c r="T9" i="21"/>
  <c r="R10" i="21"/>
  <c r="S10" i="21"/>
  <c r="T10" i="21"/>
  <c r="R11" i="21"/>
  <c r="S11" i="21"/>
  <c r="T11" i="21"/>
  <c r="R12" i="21"/>
  <c r="S12" i="21"/>
  <c r="T12" i="21"/>
  <c r="R13" i="21"/>
  <c r="S13" i="21"/>
  <c r="T13" i="21"/>
  <c r="R14" i="21"/>
  <c r="S14" i="21"/>
  <c r="T14" i="21"/>
  <c r="R15" i="21"/>
  <c r="S15" i="21"/>
  <c r="T15" i="21"/>
  <c r="R16" i="21"/>
  <c r="S16" i="21"/>
  <c r="T16" i="21"/>
  <c r="R17" i="21"/>
  <c r="S17" i="21"/>
  <c r="T17" i="21"/>
  <c r="T7" i="21"/>
  <c r="S7" i="21"/>
  <c r="R7" i="21"/>
  <c r="K17" i="21"/>
  <c r="L17" i="21"/>
  <c r="K8" i="21"/>
  <c r="L8" i="21"/>
  <c r="K9" i="21"/>
  <c r="L9" i="21"/>
  <c r="K10" i="21"/>
  <c r="L10" i="21"/>
  <c r="K11" i="21"/>
  <c r="L11" i="21"/>
  <c r="K12" i="21"/>
  <c r="L12" i="21"/>
  <c r="K13" i="21"/>
  <c r="L13" i="21"/>
  <c r="K14" i="21"/>
  <c r="L14" i="21"/>
  <c r="K15" i="21"/>
  <c r="L15" i="21"/>
  <c r="K16" i="21"/>
  <c r="L16" i="21"/>
  <c r="L7" i="21"/>
  <c r="K7" i="21"/>
  <c r="F7" i="21"/>
  <c r="G7" i="21"/>
  <c r="H7" i="21"/>
  <c r="I7" i="21"/>
  <c r="F8" i="21"/>
  <c r="G8" i="21"/>
  <c r="H8" i="21"/>
  <c r="I8" i="21"/>
  <c r="F9" i="21"/>
  <c r="G9" i="21"/>
  <c r="H9" i="21"/>
  <c r="I9" i="21"/>
  <c r="F10" i="21"/>
  <c r="G10" i="21"/>
  <c r="I10" i="21"/>
  <c r="F11" i="21"/>
  <c r="G11" i="21"/>
  <c r="H11" i="21"/>
  <c r="I11" i="21"/>
  <c r="F12" i="21"/>
  <c r="G12" i="21"/>
  <c r="I12" i="21"/>
  <c r="F13" i="21"/>
  <c r="G13" i="21"/>
  <c r="H13" i="21"/>
  <c r="I13" i="21"/>
  <c r="F14" i="21"/>
  <c r="G14" i="21"/>
  <c r="H14" i="21"/>
  <c r="I14" i="21"/>
  <c r="F15" i="21"/>
  <c r="G15" i="21"/>
  <c r="H15" i="21"/>
  <c r="I15" i="21"/>
  <c r="F16" i="21"/>
  <c r="G16" i="21"/>
  <c r="H16" i="21"/>
  <c r="I16" i="21"/>
  <c r="F17" i="21"/>
  <c r="G17" i="21"/>
  <c r="H17" i="21"/>
  <c r="I17" i="21"/>
  <c r="A8" i="21"/>
  <c r="B8" i="21"/>
  <c r="C8" i="21"/>
  <c r="D8" i="21"/>
  <c r="E8" i="21"/>
  <c r="A9" i="21"/>
  <c r="B9" i="21"/>
  <c r="C9" i="21"/>
  <c r="D9" i="21"/>
  <c r="E9" i="21"/>
  <c r="A10" i="21"/>
  <c r="B10" i="21"/>
  <c r="C10" i="21"/>
  <c r="D10" i="21"/>
  <c r="E10" i="21"/>
  <c r="A11" i="21"/>
  <c r="B11" i="21"/>
  <c r="C11" i="21"/>
  <c r="D11" i="21"/>
  <c r="E11" i="21"/>
  <c r="A12" i="21"/>
  <c r="B12" i="21"/>
  <c r="C12" i="21"/>
  <c r="D12" i="21"/>
  <c r="E12" i="21"/>
  <c r="A13" i="21"/>
  <c r="B13" i="21"/>
  <c r="C13" i="21"/>
  <c r="D13" i="21"/>
  <c r="E13" i="21"/>
  <c r="A14" i="21"/>
  <c r="B14" i="21"/>
  <c r="C14" i="21"/>
  <c r="D14" i="21"/>
  <c r="E14" i="21"/>
  <c r="A15" i="21"/>
  <c r="B15" i="21"/>
  <c r="C15" i="21"/>
  <c r="D15" i="21"/>
  <c r="E15" i="21"/>
  <c r="A16" i="21"/>
  <c r="B16" i="21"/>
  <c r="C16" i="21"/>
  <c r="D16" i="21"/>
  <c r="E16" i="21"/>
  <c r="A17" i="21"/>
  <c r="B17" i="21"/>
  <c r="C17" i="21"/>
  <c r="D17" i="21"/>
  <c r="E17" i="21"/>
  <c r="B7" i="21"/>
  <c r="C7" i="21"/>
  <c r="D7" i="21"/>
  <c r="E7" i="21"/>
  <c r="A7" i="21"/>
  <c r="T7" i="20"/>
  <c r="T8" i="20"/>
  <c r="T9" i="20"/>
  <c r="T10" i="20"/>
  <c r="T11" i="20"/>
  <c r="T12" i="20"/>
  <c r="T13" i="20"/>
  <c r="T14" i="20"/>
  <c r="T15" i="20"/>
  <c r="T16" i="20"/>
  <c r="T17" i="20"/>
  <c r="S17" i="20"/>
  <c r="R17" i="20"/>
  <c r="S16" i="20"/>
  <c r="R16" i="20"/>
  <c r="S15" i="20"/>
  <c r="R15" i="20"/>
  <c r="S14" i="20"/>
  <c r="R14" i="20"/>
  <c r="S13" i="20"/>
  <c r="R13" i="20"/>
  <c r="S12" i="20"/>
  <c r="R12" i="20"/>
  <c r="S11" i="20"/>
  <c r="R11" i="20"/>
  <c r="S10" i="20"/>
  <c r="R10" i="20"/>
  <c r="S9" i="20"/>
  <c r="R9" i="20"/>
  <c r="S8" i="20"/>
  <c r="R8" i="20"/>
  <c r="S7" i="20"/>
  <c r="R7" i="20"/>
  <c r="K8" i="20"/>
  <c r="L8" i="20"/>
  <c r="K9" i="20"/>
  <c r="L9" i="20"/>
  <c r="K10" i="20"/>
  <c r="L10" i="20"/>
  <c r="K11" i="20"/>
  <c r="L11" i="20"/>
  <c r="K12" i="20"/>
  <c r="L12" i="20"/>
  <c r="K13" i="20"/>
  <c r="L13" i="20"/>
  <c r="K14" i="20"/>
  <c r="L14" i="20"/>
  <c r="K15" i="20"/>
  <c r="L15" i="20"/>
  <c r="K16" i="20"/>
  <c r="L16" i="20"/>
  <c r="K17" i="20"/>
  <c r="L17" i="20"/>
  <c r="L7" i="20"/>
  <c r="K7" i="20"/>
  <c r="F8" i="20"/>
  <c r="G8" i="20"/>
  <c r="H8" i="20"/>
  <c r="I8" i="20"/>
  <c r="F9" i="20"/>
  <c r="G9" i="20"/>
  <c r="H9" i="20"/>
  <c r="I9" i="20"/>
  <c r="F10" i="20"/>
  <c r="G10" i="20"/>
  <c r="H10" i="20"/>
  <c r="I10" i="20"/>
  <c r="F11" i="20"/>
  <c r="G11" i="20"/>
  <c r="H11" i="20"/>
  <c r="I11" i="20"/>
  <c r="F12" i="20"/>
  <c r="G12" i="20"/>
  <c r="H12" i="20"/>
  <c r="I12" i="20"/>
  <c r="F13" i="20"/>
  <c r="G13" i="20"/>
  <c r="H13" i="20"/>
  <c r="I13" i="20"/>
  <c r="F14" i="20"/>
  <c r="G14" i="20"/>
  <c r="H14" i="20"/>
  <c r="I14" i="20"/>
  <c r="F15" i="20"/>
  <c r="G15" i="20"/>
  <c r="H15" i="20"/>
  <c r="I15" i="20"/>
  <c r="F16" i="20"/>
  <c r="G16" i="20"/>
  <c r="H16" i="20"/>
  <c r="I16" i="20"/>
  <c r="F17" i="20"/>
  <c r="G17" i="20"/>
  <c r="H17" i="20"/>
  <c r="I17" i="20"/>
  <c r="G7" i="20"/>
  <c r="H7" i="20"/>
  <c r="I7" i="20"/>
  <c r="F7" i="20"/>
  <c r="A8" i="20"/>
  <c r="B8" i="20"/>
  <c r="C8" i="20"/>
  <c r="D8" i="20"/>
  <c r="E8" i="20"/>
  <c r="A9" i="20"/>
  <c r="B9" i="20"/>
  <c r="C9" i="20"/>
  <c r="D9" i="20"/>
  <c r="E9" i="20"/>
  <c r="A10" i="20"/>
  <c r="B10" i="20"/>
  <c r="C10" i="20"/>
  <c r="D10" i="20"/>
  <c r="E10" i="20"/>
  <c r="A11" i="20"/>
  <c r="B11" i="20"/>
  <c r="C11" i="20"/>
  <c r="D11" i="20"/>
  <c r="E11" i="20"/>
  <c r="A12" i="20"/>
  <c r="B12" i="20"/>
  <c r="C12" i="20"/>
  <c r="D12" i="20"/>
  <c r="E12" i="20"/>
  <c r="A13" i="20"/>
  <c r="B13" i="20"/>
  <c r="C13" i="20"/>
  <c r="D13" i="20"/>
  <c r="E13" i="20"/>
  <c r="A14" i="20"/>
  <c r="B14" i="20"/>
  <c r="C14" i="20"/>
  <c r="D14" i="20"/>
  <c r="E14" i="20"/>
  <c r="A15" i="20"/>
  <c r="B15" i="20"/>
  <c r="C15" i="20"/>
  <c r="D15" i="20"/>
  <c r="E15" i="20"/>
  <c r="A16" i="20"/>
  <c r="B16" i="20"/>
  <c r="C16" i="20"/>
  <c r="D16" i="20"/>
  <c r="E16" i="20"/>
  <c r="A17" i="20"/>
  <c r="B17" i="20"/>
  <c r="C17" i="20"/>
  <c r="D17" i="20"/>
  <c r="E17" i="20"/>
  <c r="B7" i="20"/>
  <c r="C7" i="20"/>
  <c r="D7" i="20"/>
  <c r="E7" i="20"/>
  <c r="A7" i="20"/>
  <c r="T7" i="18"/>
  <c r="T8" i="18"/>
  <c r="T9" i="18"/>
  <c r="T10" i="18"/>
  <c r="T11" i="18"/>
  <c r="T12" i="18"/>
  <c r="T13" i="18"/>
  <c r="T14" i="18"/>
  <c r="T15" i="18"/>
  <c r="T16" i="18"/>
  <c r="T17" i="18"/>
  <c r="S17" i="18"/>
  <c r="R17" i="18"/>
  <c r="S16" i="18"/>
  <c r="R16" i="18"/>
  <c r="S15" i="18"/>
  <c r="R15" i="18"/>
  <c r="S14" i="18"/>
  <c r="R14" i="18"/>
  <c r="S13" i="18"/>
  <c r="R13" i="18"/>
  <c r="S12" i="18"/>
  <c r="R12" i="18"/>
  <c r="S11" i="18"/>
  <c r="R11" i="18"/>
  <c r="S10" i="18"/>
  <c r="R10" i="18"/>
  <c r="S9" i="18"/>
  <c r="R9" i="18"/>
  <c r="S8" i="18"/>
  <c r="R8" i="18"/>
  <c r="S7" i="18"/>
  <c r="R7" i="18"/>
  <c r="K8" i="18"/>
  <c r="L8" i="18"/>
  <c r="K9" i="18"/>
  <c r="L9" i="18"/>
  <c r="K10" i="18"/>
  <c r="L10" i="18"/>
  <c r="K11" i="18"/>
  <c r="L11" i="18"/>
  <c r="K12" i="18"/>
  <c r="L12" i="18"/>
  <c r="K13" i="18"/>
  <c r="L13" i="18"/>
  <c r="K14" i="18"/>
  <c r="L14" i="18"/>
  <c r="K15" i="18"/>
  <c r="L15" i="18"/>
  <c r="K16" i="18"/>
  <c r="L16" i="18"/>
  <c r="K17" i="18"/>
  <c r="L17" i="18"/>
  <c r="L7" i="18"/>
  <c r="K7" i="18"/>
  <c r="A8" i="18"/>
  <c r="B8" i="18"/>
  <c r="C8" i="18"/>
  <c r="D8" i="18"/>
  <c r="E8" i="18"/>
  <c r="F8" i="18"/>
  <c r="G8" i="18"/>
  <c r="H8" i="18"/>
  <c r="I8" i="18"/>
  <c r="A9" i="18"/>
  <c r="B9" i="18"/>
  <c r="C9" i="18"/>
  <c r="D9" i="18"/>
  <c r="E9" i="18"/>
  <c r="F9" i="18"/>
  <c r="G9" i="18"/>
  <c r="H9" i="18"/>
  <c r="I9" i="18"/>
  <c r="A10" i="18"/>
  <c r="B10" i="18"/>
  <c r="C10" i="18"/>
  <c r="D10" i="18"/>
  <c r="E10" i="18"/>
  <c r="F10" i="18"/>
  <c r="G10" i="18"/>
  <c r="H10" i="18"/>
  <c r="I10" i="18"/>
  <c r="A11" i="18"/>
  <c r="B11" i="18"/>
  <c r="C11" i="18"/>
  <c r="D11" i="18"/>
  <c r="E11" i="18"/>
  <c r="F11" i="18"/>
  <c r="G11" i="18"/>
  <c r="H11" i="18"/>
  <c r="I11" i="18"/>
  <c r="A12" i="18"/>
  <c r="B12" i="18"/>
  <c r="C12" i="18"/>
  <c r="D12" i="18"/>
  <c r="E12" i="18"/>
  <c r="F12" i="18"/>
  <c r="G12" i="18"/>
  <c r="H12" i="18"/>
  <c r="I12" i="18"/>
  <c r="A13" i="18"/>
  <c r="B13" i="18"/>
  <c r="C13" i="18"/>
  <c r="D13" i="18"/>
  <c r="E13" i="18"/>
  <c r="F13" i="18"/>
  <c r="G13" i="18"/>
  <c r="H13" i="18"/>
  <c r="I13" i="18"/>
  <c r="A14" i="18"/>
  <c r="B14" i="18"/>
  <c r="C14" i="18"/>
  <c r="D14" i="18"/>
  <c r="E14" i="18"/>
  <c r="F14" i="18"/>
  <c r="G14" i="18"/>
  <c r="H14" i="18"/>
  <c r="I14" i="18"/>
  <c r="A15" i="18"/>
  <c r="B15" i="18"/>
  <c r="C15" i="18"/>
  <c r="D15" i="18"/>
  <c r="E15" i="18"/>
  <c r="F15" i="18"/>
  <c r="G15" i="18"/>
  <c r="H15" i="18"/>
  <c r="I15" i="18"/>
  <c r="A16" i="18"/>
  <c r="B16" i="18"/>
  <c r="C16" i="18"/>
  <c r="D16" i="18"/>
  <c r="E16" i="18"/>
  <c r="F16" i="18"/>
  <c r="G16" i="18"/>
  <c r="H16" i="18"/>
  <c r="I16" i="18"/>
  <c r="A17" i="18"/>
  <c r="B17" i="18"/>
  <c r="C17" i="18"/>
  <c r="D17" i="18"/>
  <c r="E17" i="18"/>
  <c r="F17" i="18"/>
  <c r="G17" i="18"/>
  <c r="H17" i="18"/>
  <c r="I17" i="18"/>
  <c r="B7" i="18"/>
  <c r="C7" i="18"/>
  <c r="D7" i="18"/>
  <c r="E7" i="18"/>
  <c r="F7" i="18"/>
  <c r="G7" i="18"/>
  <c r="H7" i="18"/>
  <c r="I7" i="18"/>
  <c r="A7" i="18"/>
  <c r="T17" i="17"/>
  <c r="S17" i="17"/>
  <c r="R17" i="17"/>
  <c r="T16" i="17"/>
  <c r="S16" i="17"/>
  <c r="R16" i="17"/>
  <c r="T15" i="17"/>
  <c r="S15" i="17"/>
  <c r="R15" i="17"/>
  <c r="T14" i="17"/>
  <c r="S14" i="17"/>
  <c r="R14" i="17"/>
  <c r="T13" i="17"/>
  <c r="S13" i="17"/>
  <c r="R13" i="17"/>
  <c r="T12" i="17"/>
  <c r="S12" i="17"/>
  <c r="R12" i="17"/>
  <c r="T11" i="17"/>
  <c r="S11" i="17"/>
  <c r="R11" i="17"/>
  <c r="T10" i="17"/>
  <c r="S10" i="17"/>
  <c r="R10" i="17"/>
  <c r="T9" i="17"/>
  <c r="S9" i="17"/>
  <c r="R9" i="17"/>
  <c r="T8" i="17"/>
  <c r="S8" i="17"/>
  <c r="R8" i="17"/>
  <c r="S7" i="17"/>
  <c r="T7" i="17"/>
  <c r="R7" i="17"/>
  <c r="K8" i="17"/>
  <c r="L8" i="17"/>
  <c r="K9" i="17"/>
  <c r="L9" i="17"/>
  <c r="K10" i="17"/>
  <c r="L10" i="17"/>
  <c r="K11" i="17"/>
  <c r="L11" i="17"/>
  <c r="K12" i="17"/>
  <c r="L12" i="17"/>
  <c r="K13" i="17"/>
  <c r="L13" i="17"/>
  <c r="K14" i="17"/>
  <c r="L14" i="17"/>
  <c r="K15" i="17"/>
  <c r="L15" i="17"/>
  <c r="K16" i="17"/>
  <c r="L16" i="17"/>
  <c r="K17" i="17"/>
  <c r="L17" i="17"/>
  <c r="L7" i="17"/>
  <c r="K7" i="17"/>
  <c r="A8" i="17"/>
  <c r="B8" i="17"/>
  <c r="C8" i="17"/>
  <c r="D8" i="17"/>
  <c r="E8" i="17"/>
  <c r="F8" i="17"/>
  <c r="G8" i="17"/>
  <c r="H8" i="17"/>
  <c r="I8" i="17"/>
  <c r="A9" i="17"/>
  <c r="B9" i="17"/>
  <c r="C9" i="17"/>
  <c r="D9" i="17"/>
  <c r="E9" i="17"/>
  <c r="F9" i="17"/>
  <c r="G9" i="17"/>
  <c r="H9" i="17"/>
  <c r="I9" i="17"/>
  <c r="A10" i="17"/>
  <c r="B10" i="17"/>
  <c r="C10" i="17"/>
  <c r="D10" i="17"/>
  <c r="E10" i="17"/>
  <c r="F10" i="17"/>
  <c r="G10" i="17"/>
  <c r="H10" i="17"/>
  <c r="I10" i="17"/>
  <c r="A11" i="17"/>
  <c r="B11" i="17"/>
  <c r="C11" i="17"/>
  <c r="D11" i="17"/>
  <c r="E11" i="17"/>
  <c r="F11" i="17"/>
  <c r="G11" i="17"/>
  <c r="H11" i="17"/>
  <c r="I11" i="17"/>
  <c r="A12" i="17"/>
  <c r="B12" i="17"/>
  <c r="C12" i="17"/>
  <c r="D12" i="17"/>
  <c r="E12" i="17"/>
  <c r="F12" i="17"/>
  <c r="G12" i="17"/>
  <c r="H12" i="17"/>
  <c r="I12" i="17"/>
  <c r="A13" i="17"/>
  <c r="B13" i="17"/>
  <c r="C13" i="17"/>
  <c r="D13" i="17"/>
  <c r="E13" i="17"/>
  <c r="F13" i="17"/>
  <c r="G13" i="17"/>
  <c r="H13" i="17"/>
  <c r="I13" i="17"/>
  <c r="A14" i="17"/>
  <c r="B14" i="17"/>
  <c r="C14" i="17"/>
  <c r="D14" i="17"/>
  <c r="E14" i="17"/>
  <c r="F14" i="17"/>
  <c r="G14" i="17"/>
  <c r="H14" i="17"/>
  <c r="I14" i="17"/>
  <c r="A15" i="17"/>
  <c r="B15" i="17"/>
  <c r="C15" i="17"/>
  <c r="D15" i="17"/>
  <c r="E15" i="17"/>
  <c r="F15" i="17"/>
  <c r="G15" i="17"/>
  <c r="H15" i="17"/>
  <c r="I15" i="17"/>
  <c r="A16" i="17"/>
  <c r="B16" i="17"/>
  <c r="C16" i="17"/>
  <c r="D16" i="17"/>
  <c r="E16" i="17"/>
  <c r="F16" i="17"/>
  <c r="G16" i="17"/>
  <c r="H16" i="17"/>
  <c r="I16" i="17"/>
  <c r="A17" i="17"/>
  <c r="B17" i="17"/>
  <c r="C17" i="17"/>
  <c r="D17" i="17"/>
  <c r="E17" i="17"/>
  <c r="F17" i="17"/>
  <c r="G17" i="17"/>
  <c r="H17" i="17"/>
  <c r="I17" i="17"/>
  <c r="B7" i="17"/>
  <c r="C7" i="17"/>
  <c r="D7" i="17"/>
  <c r="E7" i="17"/>
  <c r="F7" i="17"/>
  <c r="G7" i="17"/>
  <c r="H7" i="17"/>
  <c r="I7" i="17"/>
  <c r="A7" i="17"/>
  <c r="R8" i="16"/>
  <c r="S8" i="16"/>
  <c r="T8" i="16"/>
  <c r="R9" i="16"/>
  <c r="S9" i="16"/>
  <c r="T9" i="16"/>
  <c r="R10" i="16"/>
  <c r="S10" i="16"/>
  <c r="T10" i="16"/>
  <c r="R11" i="16"/>
  <c r="S11" i="16"/>
  <c r="T11" i="16"/>
  <c r="R12" i="16"/>
  <c r="S12" i="16"/>
  <c r="T12" i="16"/>
  <c r="R13" i="16"/>
  <c r="S13" i="16"/>
  <c r="T13" i="16"/>
  <c r="R14" i="16"/>
  <c r="S14" i="16"/>
  <c r="T14" i="16"/>
  <c r="R15" i="16"/>
  <c r="S15" i="16"/>
  <c r="T15" i="16"/>
  <c r="R16" i="16"/>
  <c r="S16" i="16"/>
  <c r="T16" i="16"/>
  <c r="R17" i="16"/>
  <c r="S17" i="16"/>
  <c r="T17" i="16"/>
  <c r="S7" i="16"/>
  <c r="T7" i="16"/>
  <c r="R7" i="16"/>
  <c r="K8" i="16"/>
  <c r="L8" i="16"/>
  <c r="K9" i="16"/>
  <c r="L9" i="16"/>
  <c r="K10" i="16"/>
  <c r="L10" i="16"/>
  <c r="K11" i="16"/>
  <c r="L11" i="16"/>
  <c r="K12" i="16"/>
  <c r="L12" i="16"/>
  <c r="K13" i="16"/>
  <c r="L13" i="16"/>
  <c r="K14" i="16"/>
  <c r="L14" i="16"/>
  <c r="K15" i="16"/>
  <c r="L15" i="16"/>
  <c r="K16" i="16"/>
  <c r="L16" i="16"/>
  <c r="K17" i="16"/>
  <c r="L17" i="16"/>
  <c r="L7" i="16"/>
  <c r="K7" i="16"/>
  <c r="A8" i="16"/>
  <c r="B8" i="16"/>
  <c r="C8" i="16"/>
  <c r="D8" i="16"/>
  <c r="E8" i="16"/>
  <c r="F8" i="16"/>
  <c r="G8" i="16"/>
  <c r="H8" i="16"/>
  <c r="I8" i="16"/>
  <c r="A9" i="16"/>
  <c r="B9" i="16"/>
  <c r="C9" i="16"/>
  <c r="D9" i="16"/>
  <c r="E9" i="16"/>
  <c r="F9" i="16"/>
  <c r="G9" i="16"/>
  <c r="H9" i="16"/>
  <c r="I9" i="16"/>
  <c r="A10" i="16"/>
  <c r="B10" i="16"/>
  <c r="C10" i="16"/>
  <c r="D10" i="16"/>
  <c r="E10" i="16"/>
  <c r="F10" i="16"/>
  <c r="G10" i="16"/>
  <c r="H10" i="16"/>
  <c r="I10" i="16"/>
  <c r="A11" i="16"/>
  <c r="B11" i="16"/>
  <c r="C11" i="16"/>
  <c r="D11" i="16"/>
  <c r="E11" i="16"/>
  <c r="F11" i="16"/>
  <c r="G11" i="16"/>
  <c r="H11" i="16"/>
  <c r="I11" i="16"/>
  <c r="A12" i="16"/>
  <c r="B12" i="16"/>
  <c r="C12" i="16"/>
  <c r="D12" i="16"/>
  <c r="E12" i="16"/>
  <c r="F12" i="16"/>
  <c r="G12" i="16"/>
  <c r="H12" i="16"/>
  <c r="I12" i="16"/>
  <c r="A13" i="16"/>
  <c r="B13" i="16"/>
  <c r="C13" i="16"/>
  <c r="D13" i="16"/>
  <c r="E13" i="16"/>
  <c r="F13" i="16"/>
  <c r="G13" i="16"/>
  <c r="H13" i="16"/>
  <c r="I13" i="16"/>
  <c r="A14" i="16"/>
  <c r="B14" i="16"/>
  <c r="C14" i="16"/>
  <c r="D14" i="16"/>
  <c r="E14" i="16"/>
  <c r="F14" i="16"/>
  <c r="G14" i="16"/>
  <c r="H14" i="16"/>
  <c r="I14" i="16"/>
  <c r="A15" i="16"/>
  <c r="B15" i="16"/>
  <c r="C15" i="16"/>
  <c r="D15" i="16"/>
  <c r="E15" i="16"/>
  <c r="F15" i="16"/>
  <c r="G15" i="16"/>
  <c r="H15" i="16"/>
  <c r="I15" i="16"/>
  <c r="A16" i="16"/>
  <c r="B16" i="16"/>
  <c r="C16" i="16"/>
  <c r="D16" i="16"/>
  <c r="E16" i="16"/>
  <c r="F16" i="16"/>
  <c r="G16" i="16"/>
  <c r="H16" i="16"/>
  <c r="I16" i="16"/>
  <c r="A17" i="16"/>
  <c r="B17" i="16"/>
  <c r="C17" i="16"/>
  <c r="D17" i="16"/>
  <c r="E17" i="16"/>
  <c r="F17" i="16"/>
  <c r="G17" i="16"/>
  <c r="H17" i="16"/>
  <c r="I17" i="16"/>
  <c r="B7" i="16"/>
  <c r="C7" i="16"/>
  <c r="D7" i="16"/>
  <c r="E7" i="16"/>
  <c r="F7" i="16"/>
  <c r="G7" i="16"/>
  <c r="H7" i="16"/>
  <c r="I7" i="16"/>
  <c r="A7" i="16"/>
  <c r="R8" i="15"/>
  <c r="S8" i="15"/>
  <c r="T8" i="15"/>
  <c r="R9" i="15"/>
  <c r="S9" i="15"/>
  <c r="T9" i="15"/>
  <c r="R10" i="15"/>
  <c r="S10" i="15"/>
  <c r="T10" i="15"/>
  <c r="R11" i="15"/>
  <c r="S11" i="15"/>
  <c r="T11" i="15"/>
  <c r="R12" i="15"/>
  <c r="S12" i="15"/>
  <c r="T12" i="15"/>
  <c r="R13" i="15"/>
  <c r="S13" i="15"/>
  <c r="T13" i="15"/>
  <c r="R14" i="15"/>
  <c r="S14" i="15"/>
  <c r="T14" i="15"/>
  <c r="R15" i="15"/>
  <c r="S15" i="15"/>
  <c r="T15" i="15"/>
  <c r="R16" i="15"/>
  <c r="S16" i="15"/>
  <c r="T16" i="15"/>
  <c r="R17" i="15"/>
  <c r="S17" i="15"/>
  <c r="T17" i="15"/>
  <c r="S7" i="15"/>
  <c r="T7" i="15"/>
  <c r="R7" i="15"/>
  <c r="K8" i="15"/>
  <c r="L8" i="15"/>
  <c r="K9" i="15"/>
  <c r="L9" i="15"/>
  <c r="K10" i="15"/>
  <c r="L10" i="15"/>
  <c r="K11" i="15"/>
  <c r="L11" i="15"/>
  <c r="K12" i="15"/>
  <c r="L12" i="15"/>
  <c r="K13" i="15"/>
  <c r="L13" i="15"/>
  <c r="K14" i="15"/>
  <c r="L14" i="15"/>
  <c r="K15" i="15"/>
  <c r="L15" i="15"/>
  <c r="K16" i="15"/>
  <c r="L16" i="15"/>
  <c r="K17" i="15"/>
  <c r="L17" i="15"/>
  <c r="L7" i="15"/>
  <c r="K7" i="15"/>
  <c r="A8" i="15"/>
  <c r="B8" i="15"/>
  <c r="C8" i="15"/>
  <c r="D8" i="15"/>
  <c r="E8" i="15"/>
  <c r="F8" i="15"/>
  <c r="G8" i="15"/>
  <c r="H8" i="15"/>
  <c r="I8" i="15"/>
  <c r="A9" i="15"/>
  <c r="B9" i="15"/>
  <c r="C9" i="15"/>
  <c r="D9" i="15"/>
  <c r="E9" i="15"/>
  <c r="F9" i="15"/>
  <c r="G9" i="15"/>
  <c r="H9" i="15"/>
  <c r="I9" i="15"/>
  <c r="A10" i="15"/>
  <c r="B10" i="15"/>
  <c r="C10" i="15"/>
  <c r="D10" i="15"/>
  <c r="E10" i="15"/>
  <c r="F10" i="15"/>
  <c r="G10" i="15"/>
  <c r="H10" i="15"/>
  <c r="I10" i="15"/>
  <c r="A11" i="15"/>
  <c r="B11" i="15"/>
  <c r="C11" i="15"/>
  <c r="D11" i="15"/>
  <c r="E11" i="15"/>
  <c r="F11" i="15"/>
  <c r="G11" i="15"/>
  <c r="H11" i="15"/>
  <c r="I11" i="15"/>
  <c r="A12" i="15"/>
  <c r="B12" i="15"/>
  <c r="C12" i="15"/>
  <c r="D12" i="15"/>
  <c r="E12" i="15"/>
  <c r="F12" i="15"/>
  <c r="G12" i="15"/>
  <c r="H12" i="15"/>
  <c r="I12" i="15"/>
  <c r="A13" i="15"/>
  <c r="B13" i="15"/>
  <c r="C13" i="15"/>
  <c r="D13" i="15"/>
  <c r="E13" i="15"/>
  <c r="F13" i="15"/>
  <c r="G13" i="15"/>
  <c r="H13" i="15"/>
  <c r="I13" i="15"/>
  <c r="A14" i="15"/>
  <c r="B14" i="15"/>
  <c r="C14" i="15"/>
  <c r="D14" i="15"/>
  <c r="E14" i="15"/>
  <c r="F14" i="15"/>
  <c r="G14" i="15"/>
  <c r="H14" i="15"/>
  <c r="I14" i="15"/>
  <c r="A15" i="15"/>
  <c r="B15" i="15"/>
  <c r="C15" i="15"/>
  <c r="D15" i="15"/>
  <c r="E15" i="15"/>
  <c r="F15" i="15"/>
  <c r="G15" i="15"/>
  <c r="H15" i="15"/>
  <c r="I15" i="15"/>
  <c r="A16" i="15"/>
  <c r="B16" i="15"/>
  <c r="C16" i="15"/>
  <c r="D16" i="15"/>
  <c r="E16" i="15"/>
  <c r="F16" i="15"/>
  <c r="G16" i="15"/>
  <c r="H16" i="15"/>
  <c r="I16" i="15"/>
  <c r="A17" i="15"/>
  <c r="B17" i="15"/>
  <c r="C17" i="15"/>
  <c r="D17" i="15"/>
  <c r="E17" i="15"/>
  <c r="F17" i="15"/>
  <c r="G17" i="15"/>
  <c r="H17" i="15"/>
  <c r="I17" i="15"/>
  <c r="B7" i="15"/>
  <c r="C7" i="15"/>
  <c r="D7" i="15"/>
  <c r="E7" i="15"/>
  <c r="F7" i="15"/>
  <c r="G7" i="15"/>
  <c r="H7" i="15"/>
  <c r="I7" i="15"/>
  <c r="A7" i="15"/>
  <c r="R8" i="14"/>
  <c r="S8" i="14"/>
  <c r="T8" i="14"/>
  <c r="R9" i="14"/>
  <c r="S9" i="14"/>
  <c r="T9" i="14"/>
  <c r="R10" i="14"/>
  <c r="S10" i="14"/>
  <c r="T10" i="14"/>
  <c r="R11" i="14"/>
  <c r="S11" i="14"/>
  <c r="T11" i="14"/>
  <c r="R12" i="14"/>
  <c r="S12" i="14"/>
  <c r="T12" i="14"/>
  <c r="R13" i="14"/>
  <c r="S13" i="14"/>
  <c r="T13" i="14"/>
  <c r="R14" i="14"/>
  <c r="S14" i="14"/>
  <c r="T14" i="14"/>
  <c r="R15" i="14"/>
  <c r="S15" i="14"/>
  <c r="T15" i="14"/>
  <c r="R16" i="14"/>
  <c r="S16" i="14"/>
  <c r="T16" i="14"/>
  <c r="R17" i="14"/>
  <c r="S17" i="14"/>
  <c r="T17" i="14"/>
  <c r="S7" i="14"/>
  <c r="T7" i="14"/>
  <c r="R7" i="14"/>
  <c r="K8" i="14"/>
  <c r="L8" i="14"/>
  <c r="K9" i="14"/>
  <c r="L9" i="14"/>
  <c r="K10" i="14"/>
  <c r="L10" i="14"/>
  <c r="K11" i="14"/>
  <c r="L11" i="14"/>
  <c r="K12" i="14"/>
  <c r="L12" i="14"/>
  <c r="K13" i="14"/>
  <c r="L13" i="14"/>
  <c r="K14" i="14"/>
  <c r="L14" i="14"/>
  <c r="K15" i="14"/>
  <c r="L15" i="14"/>
  <c r="K16" i="14"/>
  <c r="L16" i="14"/>
  <c r="K17" i="14"/>
  <c r="L17" i="14"/>
  <c r="L7" i="14"/>
  <c r="K7" i="14"/>
  <c r="A8" i="14"/>
  <c r="B8" i="14"/>
  <c r="C8" i="14"/>
  <c r="D8" i="14"/>
  <c r="E8" i="14"/>
  <c r="F8" i="14"/>
  <c r="G8" i="14"/>
  <c r="H8" i="14"/>
  <c r="I8" i="14"/>
  <c r="A9" i="14"/>
  <c r="B9" i="14"/>
  <c r="C9" i="14"/>
  <c r="D9" i="14"/>
  <c r="E9" i="14"/>
  <c r="F9" i="14"/>
  <c r="G9" i="14"/>
  <c r="H9" i="14"/>
  <c r="I9" i="14"/>
  <c r="A10" i="14"/>
  <c r="B10" i="14"/>
  <c r="C10" i="14"/>
  <c r="D10" i="14"/>
  <c r="E10" i="14"/>
  <c r="F10" i="14"/>
  <c r="G10" i="14"/>
  <c r="H10" i="14"/>
  <c r="I10" i="14"/>
  <c r="A11" i="14"/>
  <c r="B11" i="14"/>
  <c r="C11" i="14"/>
  <c r="D11" i="14"/>
  <c r="E11" i="14"/>
  <c r="F11" i="14"/>
  <c r="G11" i="14"/>
  <c r="H11" i="14"/>
  <c r="I11" i="14"/>
  <c r="A12" i="14"/>
  <c r="B12" i="14"/>
  <c r="C12" i="14"/>
  <c r="D12" i="14"/>
  <c r="E12" i="14"/>
  <c r="F12" i="14"/>
  <c r="G12" i="14"/>
  <c r="H12" i="14"/>
  <c r="I12" i="14"/>
  <c r="A13" i="14"/>
  <c r="B13" i="14"/>
  <c r="C13" i="14"/>
  <c r="D13" i="14"/>
  <c r="E13" i="14"/>
  <c r="F13" i="14"/>
  <c r="G13" i="14"/>
  <c r="H13" i="14"/>
  <c r="I13" i="14"/>
  <c r="A14" i="14"/>
  <c r="B14" i="14"/>
  <c r="C14" i="14"/>
  <c r="D14" i="14"/>
  <c r="E14" i="14"/>
  <c r="F14" i="14"/>
  <c r="G14" i="14"/>
  <c r="H14" i="14"/>
  <c r="I14" i="14"/>
  <c r="A15" i="14"/>
  <c r="B15" i="14"/>
  <c r="C15" i="14"/>
  <c r="D15" i="14"/>
  <c r="E15" i="14"/>
  <c r="F15" i="14"/>
  <c r="G15" i="14"/>
  <c r="H15" i="14"/>
  <c r="I15" i="14"/>
  <c r="A16" i="14"/>
  <c r="B16" i="14"/>
  <c r="C16" i="14"/>
  <c r="D16" i="14"/>
  <c r="E16" i="14"/>
  <c r="F16" i="14"/>
  <c r="G16" i="14"/>
  <c r="H16" i="14"/>
  <c r="I16" i="14"/>
  <c r="A17" i="14"/>
  <c r="B17" i="14"/>
  <c r="C17" i="14"/>
  <c r="D17" i="14"/>
  <c r="E17" i="14"/>
  <c r="F17" i="14"/>
  <c r="G17" i="14"/>
  <c r="H17" i="14"/>
  <c r="I17" i="14"/>
  <c r="B7" i="14"/>
  <c r="C7" i="14"/>
  <c r="D7" i="14"/>
  <c r="E7" i="14"/>
  <c r="F7" i="14"/>
  <c r="G7" i="14"/>
  <c r="H7" i="14"/>
  <c r="I7" i="14"/>
  <c r="A7" i="14"/>
  <c r="R8" i="13"/>
  <c r="S8" i="13"/>
  <c r="T8" i="13"/>
  <c r="R9" i="13"/>
  <c r="S9" i="13"/>
  <c r="T9" i="13"/>
  <c r="R10" i="13"/>
  <c r="S10" i="13"/>
  <c r="T10" i="13"/>
  <c r="R11" i="13"/>
  <c r="S11" i="13"/>
  <c r="T11" i="13"/>
  <c r="R12" i="13"/>
  <c r="S12" i="13"/>
  <c r="T12" i="13"/>
  <c r="R13" i="13"/>
  <c r="S13" i="13"/>
  <c r="T13" i="13"/>
  <c r="R14" i="13"/>
  <c r="S14" i="13"/>
  <c r="T14" i="13"/>
  <c r="R15" i="13"/>
  <c r="S15" i="13"/>
  <c r="T15" i="13"/>
  <c r="R16" i="13"/>
  <c r="S16" i="13"/>
  <c r="T16" i="13"/>
  <c r="R17" i="13"/>
  <c r="S17" i="13"/>
  <c r="T17" i="13"/>
  <c r="S7" i="13"/>
  <c r="T7" i="13"/>
  <c r="R7" i="13"/>
  <c r="K8" i="13"/>
  <c r="L8" i="13"/>
  <c r="K9" i="13"/>
  <c r="L9" i="13"/>
  <c r="K10" i="13"/>
  <c r="L10" i="13"/>
  <c r="K11" i="13"/>
  <c r="L11" i="13"/>
  <c r="K12" i="13"/>
  <c r="L12" i="13"/>
  <c r="K13" i="13"/>
  <c r="L13" i="13"/>
  <c r="K14" i="13"/>
  <c r="L14" i="13"/>
  <c r="K15" i="13"/>
  <c r="L15" i="13"/>
  <c r="K16" i="13"/>
  <c r="L16" i="13"/>
  <c r="K17" i="13"/>
  <c r="L17" i="13"/>
  <c r="L7" i="13"/>
  <c r="K7" i="13"/>
  <c r="A8" i="13"/>
  <c r="B8" i="13"/>
  <c r="C8" i="13"/>
  <c r="D8" i="13"/>
  <c r="E8" i="13"/>
  <c r="F8" i="13"/>
  <c r="G8" i="13"/>
  <c r="H8" i="13"/>
  <c r="I8" i="13"/>
  <c r="A9" i="13"/>
  <c r="B9" i="13"/>
  <c r="C9" i="13"/>
  <c r="D9" i="13"/>
  <c r="E9" i="13"/>
  <c r="F9" i="13"/>
  <c r="G9" i="13"/>
  <c r="H9" i="13"/>
  <c r="I9" i="13"/>
  <c r="A10" i="13"/>
  <c r="B10" i="13"/>
  <c r="C10" i="13"/>
  <c r="D10" i="13"/>
  <c r="E10" i="13"/>
  <c r="F10" i="13"/>
  <c r="G10" i="13"/>
  <c r="H10" i="13"/>
  <c r="I10" i="13"/>
  <c r="A11" i="13"/>
  <c r="B11" i="13"/>
  <c r="C11" i="13"/>
  <c r="D11" i="13"/>
  <c r="E11" i="13"/>
  <c r="F11" i="13"/>
  <c r="G11" i="13"/>
  <c r="H11" i="13"/>
  <c r="I11" i="13"/>
  <c r="A12" i="13"/>
  <c r="B12" i="13"/>
  <c r="C12" i="13"/>
  <c r="D12" i="13"/>
  <c r="E12" i="13"/>
  <c r="F12" i="13"/>
  <c r="G12" i="13"/>
  <c r="H12" i="13"/>
  <c r="I12" i="13"/>
  <c r="A13" i="13"/>
  <c r="B13" i="13"/>
  <c r="C13" i="13"/>
  <c r="D13" i="13"/>
  <c r="E13" i="13"/>
  <c r="F13" i="13"/>
  <c r="G13" i="13"/>
  <c r="H13" i="13"/>
  <c r="I13" i="13"/>
  <c r="A14" i="13"/>
  <c r="B14" i="13"/>
  <c r="C14" i="13"/>
  <c r="D14" i="13"/>
  <c r="E14" i="13"/>
  <c r="F14" i="13"/>
  <c r="G14" i="13"/>
  <c r="H14" i="13"/>
  <c r="I14" i="13"/>
  <c r="A15" i="13"/>
  <c r="B15" i="13"/>
  <c r="C15" i="13"/>
  <c r="D15" i="13"/>
  <c r="E15" i="13"/>
  <c r="F15" i="13"/>
  <c r="G15" i="13"/>
  <c r="H15" i="13"/>
  <c r="I15" i="13"/>
  <c r="A16" i="13"/>
  <c r="B16" i="13"/>
  <c r="C16" i="13"/>
  <c r="D16" i="13"/>
  <c r="E16" i="13"/>
  <c r="F16" i="13"/>
  <c r="G16" i="13"/>
  <c r="H16" i="13"/>
  <c r="I16" i="13"/>
  <c r="A17" i="13"/>
  <c r="B17" i="13"/>
  <c r="C17" i="13"/>
  <c r="D17" i="13"/>
  <c r="E17" i="13"/>
  <c r="F17" i="13"/>
  <c r="G17" i="13"/>
  <c r="H17" i="13"/>
  <c r="I17" i="13"/>
  <c r="B7" i="13"/>
  <c r="C7" i="13"/>
  <c r="D7" i="13"/>
  <c r="E7" i="13"/>
  <c r="F7" i="13"/>
  <c r="G7" i="13"/>
  <c r="H7" i="13"/>
  <c r="I7" i="13"/>
  <c r="A7" i="13"/>
  <c r="R8" i="12"/>
  <c r="S8" i="12"/>
  <c r="T8" i="12"/>
  <c r="R9" i="12"/>
  <c r="S9" i="12"/>
  <c r="T9" i="12"/>
  <c r="R10" i="12"/>
  <c r="S10" i="12"/>
  <c r="T10" i="12"/>
  <c r="R11" i="12"/>
  <c r="S11" i="12"/>
  <c r="T11" i="12"/>
  <c r="R12" i="12"/>
  <c r="S12" i="12"/>
  <c r="T12" i="12"/>
  <c r="R13" i="12"/>
  <c r="S13" i="12"/>
  <c r="T13" i="12"/>
  <c r="R14" i="12"/>
  <c r="S14" i="12"/>
  <c r="T14" i="12"/>
  <c r="R15" i="12"/>
  <c r="S15" i="12"/>
  <c r="T15" i="12"/>
  <c r="R16" i="12"/>
  <c r="S16" i="12"/>
  <c r="T16" i="12"/>
  <c r="R17" i="12"/>
  <c r="S17" i="12"/>
  <c r="T17" i="12"/>
  <c r="S7" i="12"/>
  <c r="T7" i="12"/>
  <c r="R7" i="12"/>
  <c r="K8" i="12"/>
  <c r="L8" i="12"/>
  <c r="K9" i="12"/>
  <c r="L9" i="12"/>
  <c r="K10" i="12"/>
  <c r="L10" i="12"/>
  <c r="K11" i="12"/>
  <c r="L11" i="12"/>
  <c r="K12" i="12"/>
  <c r="L12" i="12"/>
  <c r="K13" i="12"/>
  <c r="L13" i="12"/>
  <c r="K14" i="12"/>
  <c r="L14" i="12"/>
  <c r="K15" i="12"/>
  <c r="L15" i="12"/>
  <c r="K16" i="12"/>
  <c r="L16" i="12"/>
  <c r="K17" i="12"/>
  <c r="L17" i="12"/>
  <c r="L7" i="12"/>
  <c r="K7" i="12"/>
  <c r="A8" i="12"/>
  <c r="B8" i="12"/>
  <c r="C8" i="12"/>
  <c r="D8" i="12"/>
  <c r="E8" i="12"/>
  <c r="F8" i="12"/>
  <c r="G8" i="12"/>
  <c r="H8" i="12"/>
  <c r="I8" i="12"/>
  <c r="A9" i="12"/>
  <c r="B9" i="12"/>
  <c r="C9" i="12"/>
  <c r="D9" i="12"/>
  <c r="E9" i="12"/>
  <c r="F9" i="12"/>
  <c r="G9" i="12"/>
  <c r="H9" i="12"/>
  <c r="I9" i="12"/>
  <c r="A10" i="12"/>
  <c r="B10" i="12"/>
  <c r="C10" i="12"/>
  <c r="D10" i="12"/>
  <c r="E10" i="12"/>
  <c r="F10" i="12"/>
  <c r="G10" i="12"/>
  <c r="H10" i="12"/>
  <c r="I10" i="12"/>
  <c r="A11" i="12"/>
  <c r="B11" i="12"/>
  <c r="C11" i="12"/>
  <c r="D11" i="12"/>
  <c r="E11" i="12"/>
  <c r="F11" i="12"/>
  <c r="G11" i="12"/>
  <c r="H11" i="12"/>
  <c r="I11" i="12"/>
  <c r="A12" i="12"/>
  <c r="B12" i="12"/>
  <c r="C12" i="12"/>
  <c r="D12" i="12"/>
  <c r="E12" i="12"/>
  <c r="F12" i="12"/>
  <c r="G12" i="12"/>
  <c r="H12" i="12"/>
  <c r="I12" i="12"/>
  <c r="A13" i="12"/>
  <c r="B13" i="12"/>
  <c r="C13" i="12"/>
  <c r="D13" i="12"/>
  <c r="E13" i="12"/>
  <c r="F13" i="12"/>
  <c r="G13" i="12"/>
  <c r="H13" i="12"/>
  <c r="I13" i="12"/>
  <c r="A14" i="12"/>
  <c r="B14" i="12"/>
  <c r="C14" i="12"/>
  <c r="D14" i="12"/>
  <c r="E14" i="12"/>
  <c r="F14" i="12"/>
  <c r="G14" i="12"/>
  <c r="H14" i="12"/>
  <c r="I14" i="12"/>
  <c r="A15" i="12"/>
  <c r="B15" i="12"/>
  <c r="C15" i="12"/>
  <c r="D15" i="12"/>
  <c r="E15" i="12"/>
  <c r="F15" i="12"/>
  <c r="G15" i="12"/>
  <c r="H15" i="12"/>
  <c r="I15" i="12"/>
  <c r="A16" i="12"/>
  <c r="B16" i="12"/>
  <c r="C16" i="12"/>
  <c r="D16" i="12"/>
  <c r="E16" i="12"/>
  <c r="F16" i="12"/>
  <c r="G16" i="12"/>
  <c r="H16" i="12"/>
  <c r="I16" i="12"/>
  <c r="A17" i="12"/>
  <c r="B17" i="12"/>
  <c r="C17" i="12"/>
  <c r="D17" i="12"/>
  <c r="E17" i="12"/>
  <c r="F17" i="12"/>
  <c r="G17" i="12"/>
  <c r="H17" i="12"/>
  <c r="I17" i="12"/>
  <c r="B7" i="12"/>
  <c r="C7" i="12"/>
  <c r="D7" i="12"/>
  <c r="E7" i="12"/>
  <c r="F7" i="12"/>
  <c r="G7" i="12"/>
  <c r="H7" i="12"/>
  <c r="I7" i="12"/>
  <c r="A7" i="12"/>
  <c r="T17" i="10"/>
  <c r="S17" i="10"/>
  <c r="T16" i="10"/>
  <c r="S16" i="10"/>
  <c r="T15" i="10"/>
  <c r="S15" i="10"/>
  <c r="T14" i="10"/>
  <c r="S14" i="10"/>
  <c r="T13" i="10"/>
  <c r="S13" i="10"/>
  <c r="T12" i="10"/>
  <c r="S12" i="10"/>
  <c r="T11" i="10"/>
  <c r="S11" i="10"/>
  <c r="T10" i="10"/>
  <c r="S10" i="10"/>
  <c r="T9" i="10"/>
  <c r="S9" i="10"/>
  <c r="T8" i="10"/>
  <c r="S8" i="10"/>
  <c r="T7" i="10"/>
  <c r="S7" i="10"/>
  <c r="L17" i="10"/>
  <c r="K17" i="10"/>
  <c r="L16" i="10"/>
  <c r="K16" i="10"/>
  <c r="L15" i="10"/>
  <c r="K15" i="10"/>
  <c r="L14" i="10"/>
  <c r="K14" i="10"/>
  <c r="L13" i="10"/>
  <c r="K13" i="10"/>
  <c r="L12" i="10"/>
  <c r="K12" i="10"/>
  <c r="L11" i="10"/>
  <c r="K11" i="10"/>
  <c r="L10" i="10"/>
  <c r="K10" i="10"/>
  <c r="L9" i="10"/>
  <c r="K9" i="10"/>
  <c r="L8" i="10"/>
  <c r="K8" i="10"/>
  <c r="L7" i="10"/>
  <c r="K7" i="10"/>
  <c r="A8" i="10"/>
  <c r="B8" i="10"/>
  <c r="C8" i="10"/>
  <c r="D8" i="10"/>
  <c r="E8" i="10"/>
  <c r="F8" i="10"/>
  <c r="G8" i="10"/>
  <c r="H8" i="10"/>
  <c r="I8" i="10"/>
  <c r="A9" i="10"/>
  <c r="B9" i="10"/>
  <c r="C9" i="10"/>
  <c r="D9" i="10"/>
  <c r="E9" i="10"/>
  <c r="F9" i="10"/>
  <c r="G9" i="10"/>
  <c r="H9" i="10"/>
  <c r="I9" i="10"/>
  <c r="A10" i="10"/>
  <c r="B10" i="10"/>
  <c r="C10" i="10"/>
  <c r="D10" i="10"/>
  <c r="E10" i="10"/>
  <c r="F10" i="10"/>
  <c r="G10" i="10"/>
  <c r="H10" i="10"/>
  <c r="I10" i="10"/>
  <c r="A11" i="10"/>
  <c r="B11" i="10"/>
  <c r="C11" i="10"/>
  <c r="D11" i="10"/>
  <c r="E11" i="10"/>
  <c r="F11" i="10"/>
  <c r="G11" i="10"/>
  <c r="H11" i="10"/>
  <c r="I11" i="10"/>
  <c r="A12" i="10"/>
  <c r="B12" i="10"/>
  <c r="C12" i="10"/>
  <c r="D12" i="10"/>
  <c r="E12" i="10"/>
  <c r="F12" i="10"/>
  <c r="G12" i="10"/>
  <c r="H12" i="10"/>
  <c r="I12" i="10"/>
  <c r="A13" i="10"/>
  <c r="B13" i="10"/>
  <c r="C13" i="10"/>
  <c r="D13" i="10"/>
  <c r="E13" i="10"/>
  <c r="F13" i="10"/>
  <c r="G13" i="10"/>
  <c r="H13" i="10"/>
  <c r="I13" i="10"/>
  <c r="A14" i="10"/>
  <c r="B14" i="10"/>
  <c r="C14" i="10"/>
  <c r="D14" i="10"/>
  <c r="E14" i="10"/>
  <c r="F14" i="10"/>
  <c r="G14" i="10"/>
  <c r="H14" i="10"/>
  <c r="I14" i="10"/>
  <c r="A15" i="10"/>
  <c r="B15" i="10"/>
  <c r="C15" i="10"/>
  <c r="D15" i="10"/>
  <c r="E15" i="10"/>
  <c r="F15" i="10"/>
  <c r="G15" i="10"/>
  <c r="H15" i="10"/>
  <c r="I15" i="10"/>
  <c r="A16" i="10"/>
  <c r="B16" i="10"/>
  <c r="C16" i="10"/>
  <c r="D16" i="10"/>
  <c r="E16" i="10"/>
  <c r="F16" i="10"/>
  <c r="G16" i="10"/>
  <c r="H16" i="10"/>
  <c r="I16" i="10"/>
  <c r="A17" i="10"/>
  <c r="B17" i="10"/>
  <c r="C17" i="10"/>
  <c r="D17" i="10"/>
  <c r="E17" i="10"/>
  <c r="F17" i="10"/>
  <c r="G17" i="10"/>
  <c r="H17" i="10"/>
  <c r="I17" i="10"/>
  <c r="B7" i="10"/>
  <c r="C7" i="10"/>
  <c r="D7" i="10"/>
  <c r="E7" i="10"/>
  <c r="F7" i="10"/>
  <c r="G7" i="10"/>
  <c r="H7" i="10"/>
  <c r="I7" i="10"/>
  <c r="A7" i="10"/>
  <c r="B69" i="32"/>
  <c r="L69" i="32" s="1"/>
  <c r="B70" i="32"/>
  <c r="L70" i="32" s="1"/>
  <c r="B71" i="32"/>
  <c r="L71" i="32" s="1"/>
  <c r="B72" i="32"/>
  <c r="L72" i="32" s="1"/>
  <c r="B73" i="32"/>
  <c r="L73" i="32" s="1"/>
  <c r="B74" i="32"/>
  <c r="L74" i="32" s="1"/>
  <c r="B75" i="32"/>
  <c r="L75" i="32" s="1"/>
  <c r="B76" i="32"/>
  <c r="L76" i="32" s="1"/>
  <c r="B77" i="32"/>
  <c r="L77" i="32" s="1"/>
  <c r="B78" i="32"/>
  <c r="L78" i="32" s="1"/>
  <c r="B79" i="32"/>
  <c r="L79" i="32" s="1"/>
  <c r="B80" i="32"/>
  <c r="L80" i="32" s="1"/>
  <c r="B81" i="32"/>
  <c r="L81" i="32" s="1"/>
  <c r="B82" i="32"/>
  <c r="L82" i="32" s="1"/>
  <c r="B83" i="32"/>
  <c r="L83" i="32" s="1"/>
  <c r="B84" i="32"/>
  <c r="L84" i="32" s="1"/>
  <c r="B85" i="32"/>
  <c r="L85" i="32" s="1"/>
  <c r="B86" i="32"/>
  <c r="L86" i="32" s="1"/>
  <c r="B87" i="32"/>
  <c r="L87" i="32" s="1"/>
  <c r="B68" i="32"/>
  <c r="L68" i="32" s="1"/>
  <c r="D69" i="32"/>
  <c r="D70" i="32"/>
  <c r="D71" i="32"/>
  <c r="D72" i="32"/>
  <c r="D73" i="32"/>
  <c r="D74" i="32"/>
  <c r="D75" i="32"/>
  <c r="D76" i="32"/>
  <c r="D77" i="32"/>
  <c r="D78" i="32"/>
  <c r="D79" i="32"/>
  <c r="D80" i="32"/>
  <c r="D81" i="32"/>
  <c r="D82" i="32"/>
  <c r="D83" i="32"/>
  <c r="D84" i="32"/>
  <c r="D85" i="32"/>
  <c r="D86" i="32"/>
  <c r="D87" i="32"/>
  <c r="D68" i="32"/>
  <c r="D3" i="32"/>
  <c r="B3" i="32"/>
  <c r="D1" i="31" s="1"/>
  <c r="D2" i="31" s="1"/>
  <c r="R8" i="7"/>
  <c r="S8" i="7"/>
  <c r="T8" i="7"/>
  <c r="R9" i="7"/>
  <c r="S9" i="7"/>
  <c r="T9" i="7"/>
  <c r="R10" i="7"/>
  <c r="S10" i="7"/>
  <c r="T10" i="7"/>
  <c r="R11" i="7"/>
  <c r="S11" i="7"/>
  <c r="T11" i="7"/>
  <c r="R12" i="7"/>
  <c r="S12" i="7"/>
  <c r="T12" i="7"/>
  <c r="R13" i="7"/>
  <c r="S13" i="7"/>
  <c r="T13" i="7"/>
  <c r="R14" i="7"/>
  <c r="S14" i="7"/>
  <c r="T14" i="7"/>
  <c r="R15" i="7"/>
  <c r="S15" i="7"/>
  <c r="T15" i="7"/>
  <c r="R16" i="7"/>
  <c r="S16" i="7"/>
  <c r="T16" i="7"/>
  <c r="R17" i="7"/>
  <c r="S17" i="7"/>
  <c r="T17" i="7"/>
  <c r="S7" i="7"/>
  <c r="T7" i="7"/>
  <c r="R7" i="7"/>
  <c r="K8" i="7"/>
  <c r="L8" i="7"/>
  <c r="K9" i="7"/>
  <c r="L9" i="7"/>
  <c r="K10" i="7"/>
  <c r="L10" i="7"/>
  <c r="K11" i="7"/>
  <c r="L11" i="7"/>
  <c r="K12" i="7"/>
  <c r="L12" i="7"/>
  <c r="K13" i="7"/>
  <c r="L13" i="7"/>
  <c r="K14" i="7"/>
  <c r="L14" i="7"/>
  <c r="K15" i="7"/>
  <c r="L15" i="7"/>
  <c r="K16" i="7"/>
  <c r="L16" i="7"/>
  <c r="K17" i="7"/>
  <c r="L17" i="7"/>
  <c r="L7" i="7"/>
  <c r="K7" i="7"/>
  <c r="A8" i="7"/>
  <c r="B8" i="7"/>
  <c r="C8" i="7"/>
  <c r="D8" i="7"/>
  <c r="E8" i="7"/>
  <c r="F8" i="7"/>
  <c r="G8" i="7"/>
  <c r="H8" i="7"/>
  <c r="I8" i="7"/>
  <c r="A9" i="7"/>
  <c r="B9" i="7"/>
  <c r="C9" i="7"/>
  <c r="D9" i="7"/>
  <c r="E9" i="7"/>
  <c r="F9" i="7"/>
  <c r="G9" i="7"/>
  <c r="H9" i="7"/>
  <c r="I9" i="7"/>
  <c r="A10" i="7"/>
  <c r="B10" i="7"/>
  <c r="C10" i="7"/>
  <c r="D10" i="7"/>
  <c r="E10" i="7"/>
  <c r="F10" i="7"/>
  <c r="G10" i="7"/>
  <c r="H10" i="7"/>
  <c r="I10" i="7"/>
  <c r="A11" i="7"/>
  <c r="B11" i="7"/>
  <c r="C11" i="7"/>
  <c r="D11" i="7"/>
  <c r="E11" i="7"/>
  <c r="F11" i="7"/>
  <c r="G11" i="7"/>
  <c r="H11" i="7"/>
  <c r="I11" i="7"/>
  <c r="A12" i="7"/>
  <c r="B12" i="7"/>
  <c r="C12" i="7"/>
  <c r="D12" i="7"/>
  <c r="E12" i="7"/>
  <c r="F12" i="7"/>
  <c r="G12" i="7"/>
  <c r="H12" i="7"/>
  <c r="I12" i="7"/>
  <c r="A13" i="7"/>
  <c r="B13" i="7"/>
  <c r="C13" i="7"/>
  <c r="D13" i="7"/>
  <c r="E13" i="7"/>
  <c r="F13" i="7"/>
  <c r="G13" i="7"/>
  <c r="H13" i="7"/>
  <c r="I13" i="7"/>
  <c r="A14" i="7"/>
  <c r="B14" i="7"/>
  <c r="C14" i="7"/>
  <c r="D14" i="7"/>
  <c r="E14" i="7"/>
  <c r="F14" i="7"/>
  <c r="G14" i="7"/>
  <c r="H14" i="7"/>
  <c r="I14" i="7"/>
  <c r="A15" i="7"/>
  <c r="B15" i="7"/>
  <c r="C15" i="7"/>
  <c r="D15" i="7"/>
  <c r="E15" i="7"/>
  <c r="F15" i="7"/>
  <c r="G15" i="7"/>
  <c r="H15" i="7"/>
  <c r="I15" i="7"/>
  <c r="A16" i="7"/>
  <c r="B16" i="7"/>
  <c r="C16" i="7"/>
  <c r="D16" i="7"/>
  <c r="E16" i="7"/>
  <c r="F16" i="7"/>
  <c r="G16" i="7"/>
  <c r="H16" i="7"/>
  <c r="I16" i="7"/>
  <c r="A17" i="7"/>
  <c r="B17" i="7"/>
  <c r="C17" i="7"/>
  <c r="D17" i="7"/>
  <c r="E17" i="7"/>
  <c r="F17" i="7"/>
  <c r="G17" i="7"/>
  <c r="H17" i="7"/>
  <c r="I17" i="7"/>
  <c r="B7" i="7"/>
  <c r="C7" i="7"/>
  <c r="D7" i="7"/>
  <c r="E7" i="7"/>
  <c r="F7" i="7"/>
  <c r="G7" i="7"/>
  <c r="H7" i="7"/>
  <c r="I7" i="7"/>
  <c r="A7" i="7"/>
  <c r="K8" i="9"/>
  <c r="L8" i="9"/>
  <c r="K9" i="9"/>
  <c r="L9" i="9"/>
  <c r="K10" i="9"/>
  <c r="L10" i="9"/>
  <c r="K11" i="9"/>
  <c r="L11" i="9"/>
  <c r="K12" i="9"/>
  <c r="L12" i="9"/>
  <c r="K13" i="9"/>
  <c r="L13" i="9"/>
  <c r="K14" i="9"/>
  <c r="L14" i="9"/>
  <c r="K15" i="9"/>
  <c r="L15" i="9"/>
  <c r="K16" i="9"/>
  <c r="L16" i="9"/>
  <c r="K17" i="9"/>
  <c r="L17" i="9"/>
  <c r="R8" i="9"/>
  <c r="R9" i="9"/>
  <c r="R10" i="9"/>
  <c r="R11" i="9"/>
  <c r="R12" i="9"/>
  <c r="R13" i="9"/>
  <c r="R14" i="9"/>
  <c r="R15" i="9"/>
  <c r="R16" i="9"/>
  <c r="R17" i="9"/>
  <c r="R7" i="9"/>
  <c r="S8" i="9"/>
  <c r="T8" i="9"/>
  <c r="S9" i="9"/>
  <c r="T9" i="9"/>
  <c r="S10" i="9"/>
  <c r="T10" i="9"/>
  <c r="S11" i="9"/>
  <c r="T11" i="9"/>
  <c r="S12" i="9"/>
  <c r="T12" i="9"/>
  <c r="S13" i="9"/>
  <c r="T13" i="9"/>
  <c r="S14" i="9"/>
  <c r="T14" i="9"/>
  <c r="S15" i="9"/>
  <c r="T15" i="9"/>
  <c r="S16" i="9"/>
  <c r="T16" i="9"/>
  <c r="S17" i="9"/>
  <c r="T17" i="9"/>
  <c r="T7" i="9"/>
  <c r="S7" i="9"/>
  <c r="L7" i="9"/>
  <c r="K7" i="9"/>
  <c r="A8" i="9"/>
  <c r="B8" i="9"/>
  <c r="C8" i="9"/>
  <c r="D8" i="9"/>
  <c r="E8" i="9"/>
  <c r="F8" i="9"/>
  <c r="G8" i="9"/>
  <c r="H8" i="9"/>
  <c r="I8" i="9"/>
  <c r="A9" i="9"/>
  <c r="B9" i="9"/>
  <c r="C9" i="9"/>
  <c r="D9" i="9"/>
  <c r="E9" i="9"/>
  <c r="F9" i="9"/>
  <c r="G9" i="9"/>
  <c r="H9" i="9"/>
  <c r="I9" i="9"/>
  <c r="A10" i="9"/>
  <c r="B10" i="9"/>
  <c r="C10" i="9"/>
  <c r="D10" i="9"/>
  <c r="E10" i="9"/>
  <c r="F10" i="9"/>
  <c r="G10" i="9"/>
  <c r="H10" i="9"/>
  <c r="I10" i="9"/>
  <c r="A11" i="9"/>
  <c r="B11" i="9"/>
  <c r="C11" i="9"/>
  <c r="D11" i="9"/>
  <c r="E11" i="9"/>
  <c r="F11" i="9"/>
  <c r="G11" i="9"/>
  <c r="H11" i="9"/>
  <c r="I11" i="9"/>
  <c r="A12" i="9"/>
  <c r="B12" i="9"/>
  <c r="C12" i="9"/>
  <c r="D12" i="9"/>
  <c r="E12" i="9"/>
  <c r="F12" i="9"/>
  <c r="G12" i="9"/>
  <c r="H12" i="9"/>
  <c r="I12" i="9"/>
  <c r="A13" i="9"/>
  <c r="B13" i="9"/>
  <c r="C13" i="9"/>
  <c r="D13" i="9"/>
  <c r="E13" i="9"/>
  <c r="F13" i="9"/>
  <c r="G13" i="9"/>
  <c r="H13" i="9"/>
  <c r="I13" i="9"/>
  <c r="A14" i="9"/>
  <c r="B14" i="9"/>
  <c r="C14" i="9"/>
  <c r="D14" i="9"/>
  <c r="E14" i="9"/>
  <c r="F14" i="9"/>
  <c r="G14" i="9"/>
  <c r="H14" i="9"/>
  <c r="I14" i="9"/>
  <c r="A15" i="9"/>
  <c r="B15" i="9"/>
  <c r="C15" i="9"/>
  <c r="D15" i="9"/>
  <c r="E15" i="9"/>
  <c r="F15" i="9"/>
  <c r="G15" i="9"/>
  <c r="H15" i="9"/>
  <c r="I15" i="9"/>
  <c r="A16" i="9"/>
  <c r="B16" i="9"/>
  <c r="C16" i="9"/>
  <c r="D16" i="9"/>
  <c r="E16" i="9"/>
  <c r="F16" i="9"/>
  <c r="G16" i="9"/>
  <c r="H16" i="9"/>
  <c r="I16" i="9"/>
  <c r="A17" i="9"/>
  <c r="B17" i="9"/>
  <c r="C17" i="9"/>
  <c r="D17" i="9"/>
  <c r="E17" i="9"/>
  <c r="F17" i="9"/>
  <c r="G17" i="9"/>
  <c r="H17" i="9"/>
  <c r="I17" i="9"/>
  <c r="B7" i="9"/>
  <c r="C7" i="9"/>
  <c r="D7" i="9"/>
  <c r="E7" i="9"/>
  <c r="F7" i="9"/>
  <c r="G7" i="9"/>
  <c r="H7" i="9"/>
  <c r="I7" i="9"/>
  <c r="A7" i="9"/>
  <c r="C20" i="2"/>
  <c r="O7" i="2"/>
  <c r="A8" i="6"/>
  <c r="B8" i="6"/>
  <c r="C8" i="6"/>
  <c r="D8" i="6"/>
  <c r="E8" i="6"/>
  <c r="F8" i="6"/>
  <c r="G8" i="6"/>
  <c r="H8" i="6"/>
  <c r="I8" i="6"/>
  <c r="A9" i="6"/>
  <c r="B9" i="6"/>
  <c r="C9" i="6"/>
  <c r="D9" i="6"/>
  <c r="E9" i="6"/>
  <c r="F9" i="6"/>
  <c r="G9" i="6"/>
  <c r="H9" i="6"/>
  <c r="I9" i="6"/>
  <c r="A10" i="6"/>
  <c r="B10" i="6"/>
  <c r="C10" i="6"/>
  <c r="D10" i="6"/>
  <c r="E10" i="6"/>
  <c r="F10" i="6"/>
  <c r="G10" i="6"/>
  <c r="H10" i="6"/>
  <c r="I10" i="6"/>
  <c r="A11" i="6"/>
  <c r="B11" i="6"/>
  <c r="C11" i="6"/>
  <c r="D11" i="6"/>
  <c r="E11" i="6"/>
  <c r="F11" i="6"/>
  <c r="G11" i="6"/>
  <c r="H11" i="6"/>
  <c r="I11" i="6"/>
  <c r="A12" i="6"/>
  <c r="B12" i="6"/>
  <c r="C12" i="6"/>
  <c r="D12" i="6"/>
  <c r="E12" i="6"/>
  <c r="F12" i="6"/>
  <c r="G12" i="6"/>
  <c r="H12" i="6"/>
  <c r="I12" i="6"/>
  <c r="A13" i="6"/>
  <c r="B13" i="6"/>
  <c r="C13" i="6"/>
  <c r="D13" i="6"/>
  <c r="E13" i="6"/>
  <c r="F13" i="6"/>
  <c r="G13" i="6"/>
  <c r="H13" i="6"/>
  <c r="I13" i="6"/>
  <c r="A14" i="6"/>
  <c r="B14" i="6"/>
  <c r="C14" i="6"/>
  <c r="D14" i="6"/>
  <c r="E14" i="6"/>
  <c r="F14" i="6"/>
  <c r="G14" i="6"/>
  <c r="H14" i="6"/>
  <c r="I14" i="6"/>
  <c r="A15" i="6"/>
  <c r="B15" i="6"/>
  <c r="C15" i="6"/>
  <c r="D15" i="6"/>
  <c r="E15" i="6"/>
  <c r="F15" i="6"/>
  <c r="G15" i="6"/>
  <c r="H15" i="6"/>
  <c r="I15" i="6"/>
  <c r="A16" i="6"/>
  <c r="B16" i="6"/>
  <c r="C16" i="6"/>
  <c r="D16" i="6"/>
  <c r="E16" i="6"/>
  <c r="F16" i="6"/>
  <c r="G16" i="6"/>
  <c r="H16" i="6"/>
  <c r="I16" i="6"/>
  <c r="A17" i="6"/>
  <c r="B17" i="6"/>
  <c r="C17" i="6"/>
  <c r="D17" i="6"/>
  <c r="E17" i="6"/>
  <c r="F17" i="6"/>
  <c r="G17" i="6"/>
  <c r="H17" i="6"/>
  <c r="I17" i="6"/>
  <c r="K8" i="6"/>
  <c r="L8" i="6"/>
  <c r="K9" i="6"/>
  <c r="L9" i="6"/>
  <c r="K10" i="6"/>
  <c r="L10" i="6"/>
  <c r="K11" i="6"/>
  <c r="L11" i="6"/>
  <c r="K12" i="6"/>
  <c r="L12" i="6"/>
  <c r="K13" i="6"/>
  <c r="L13" i="6"/>
  <c r="K14" i="6"/>
  <c r="L14" i="6"/>
  <c r="K15" i="6"/>
  <c r="L15" i="6"/>
  <c r="K16" i="6"/>
  <c r="L16" i="6"/>
  <c r="K17" i="6"/>
  <c r="L17" i="6"/>
  <c r="R8" i="6"/>
  <c r="S8" i="6"/>
  <c r="T8" i="6"/>
  <c r="R9" i="6"/>
  <c r="S9" i="6"/>
  <c r="T9" i="6"/>
  <c r="R10" i="6"/>
  <c r="S10" i="6"/>
  <c r="T10" i="6"/>
  <c r="R11" i="6"/>
  <c r="S11" i="6"/>
  <c r="T11" i="6"/>
  <c r="R12" i="6"/>
  <c r="S12" i="6"/>
  <c r="T12" i="6"/>
  <c r="R13" i="6"/>
  <c r="S13" i="6"/>
  <c r="T13" i="6"/>
  <c r="R14" i="6"/>
  <c r="S14" i="6"/>
  <c r="T14" i="6"/>
  <c r="R15" i="6"/>
  <c r="S15" i="6"/>
  <c r="T15" i="6"/>
  <c r="R16" i="6"/>
  <c r="S16" i="6"/>
  <c r="T16" i="6"/>
  <c r="R17" i="6"/>
  <c r="S17" i="6"/>
  <c r="T17" i="6"/>
  <c r="T7" i="6"/>
  <c r="S7" i="6"/>
  <c r="R7" i="6"/>
  <c r="L7" i="6"/>
  <c r="K7" i="6"/>
  <c r="B7" i="6"/>
  <c r="C7" i="6"/>
  <c r="D7" i="6"/>
  <c r="E7" i="6"/>
  <c r="F7" i="6"/>
  <c r="G7" i="6"/>
  <c r="H7" i="6"/>
  <c r="I7" i="6"/>
  <c r="A7" i="6"/>
  <c r="K8" i="4"/>
  <c r="L8" i="4"/>
  <c r="K9" i="4"/>
  <c r="L9" i="4"/>
  <c r="K10" i="4"/>
  <c r="L10" i="4"/>
  <c r="K11" i="4"/>
  <c r="L11" i="4"/>
  <c r="K12" i="4"/>
  <c r="L12" i="4"/>
  <c r="K13" i="4"/>
  <c r="L13" i="4"/>
  <c r="K14" i="4"/>
  <c r="L14" i="4"/>
  <c r="K15" i="4"/>
  <c r="L15" i="4"/>
  <c r="K16" i="4"/>
  <c r="L16" i="4"/>
  <c r="K17" i="4"/>
  <c r="L17" i="4"/>
  <c r="R8" i="4"/>
  <c r="S8" i="4"/>
  <c r="T8" i="4"/>
  <c r="R9" i="4"/>
  <c r="S9" i="4"/>
  <c r="T9" i="4"/>
  <c r="R10" i="4"/>
  <c r="S10" i="4"/>
  <c r="T10" i="4"/>
  <c r="R11" i="4"/>
  <c r="S11" i="4"/>
  <c r="T11" i="4"/>
  <c r="R12" i="4"/>
  <c r="S12" i="4"/>
  <c r="T12" i="4"/>
  <c r="R13" i="4"/>
  <c r="S13" i="4"/>
  <c r="T13" i="4"/>
  <c r="R14" i="4"/>
  <c r="S14" i="4"/>
  <c r="T14" i="4"/>
  <c r="R15" i="4"/>
  <c r="S15" i="4"/>
  <c r="T15" i="4"/>
  <c r="R16" i="4"/>
  <c r="S16" i="4"/>
  <c r="T16" i="4"/>
  <c r="R17" i="4"/>
  <c r="S17" i="4"/>
  <c r="T17" i="4"/>
  <c r="T7" i="4"/>
  <c r="S7" i="4"/>
  <c r="R7" i="4"/>
  <c r="L7" i="4"/>
  <c r="K7" i="4"/>
  <c r="A8" i="4"/>
  <c r="B8" i="4"/>
  <c r="C8" i="4"/>
  <c r="F8" i="4"/>
  <c r="G8" i="4"/>
  <c r="H8" i="4"/>
  <c r="I8" i="4"/>
  <c r="A9" i="4"/>
  <c r="B9" i="4"/>
  <c r="C9" i="4"/>
  <c r="D9" i="4"/>
  <c r="E9" i="4"/>
  <c r="F9" i="4"/>
  <c r="G9" i="4"/>
  <c r="H9" i="4"/>
  <c r="I9" i="4"/>
  <c r="A10" i="4"/>
  <c r="B10" i="4"/>
  <c r="C10" i="4"/>
  <c r="D10" i="4"/>
  <c r="E10" i="4"/>
  <c r="F10" i="4"/>
  <c r="G10" i="4"/>
  <c r="H10" i="4"/>
  <c r="I10" i="4"/>
  <c r="A11" i="4"/>
  <c r="B11" i="4"/>
  <c r="C11" i="4"/>
  <c r="D11" i="4"/>
  <c r="E11" i="4"/>
  <c r="F11" i="4"/>
  <c r="G11" i="4"/>
  <c r="H11" i="4"/>
  <c r="I11" i="4"/>
  <c r="A12" i="4"/>
  <c r="B12" i="4"/>
  <c r="C12" i="4"/>
  <c r="D12" i="4"/>
  <c r="E12" i="4"/>
  <c r="F12" i="4"/>
  <c r="G12" i="4"/>
  <c r="H12" i="4"/>
  <c r="I12" i="4"/>
  <c r="A13" i="4"/>
  <c r="B13" i="4"/>
  <c r="C13" i="4"/>
  <c r="D13" i="4"/>
  <c r="E13" i="4"/>
  <c r="F13" i="4"/>
  <c r="G13" i="4"/>
  <c r="H13" i="4"/>
  <c r="I13" i="4"/>
  <c r="A14" i="4"/>
  <c r="B14" i="4"/>
  <c r="C14" i="4"/>
  <c r="D14" i="4"/>
  <c r="E14" i="4"/>
  <c r="F14" i="4"/>
  <c r="G14" i="4"/>
  <c r="H14" i="4"/>
  <c r="I14" i="4"/>
  <c r="A15" i="4"/>
  <c r="B15" i="4"/>
  <c r="C15" i="4"/>
  <c r="D15" i="4"/>
  <c r="E15" i="4"/>
  <c r="F15" i="4"/>
  <c r="G15" i="4"/>
  <c r="H15" i="4"/>
  <c r="I15" i="4"/>
  <c r="A16" i="4"/>
  <c r="B16" i="4"/>
  <c r="C16" i="4"/>
  <c r="D16" i="4"/>
  <c r="E16" i="4"/>
  <c r="F16" i="4"/>
  <c r="G16" i="4"/>
  <c r="H16" i="4"/>
  <c r="I16" i="4"/>
  <c r="A17" i="4"/>
  <c r="B17" i="4"/>
  <c r="C17" i="4"/>
  <c r="D17" i="4"/>
  <c r="E17" i="4"/>
  <c r="F17" i="4"/>
  <c r="G17" i="4"/>
  <c r="H17" i="4"/>
  <c r="I17" i="4"/>
  <c r="B7" i="4"/>
  <c r="C7" i="4"/>
  <c r="D7" i="4"/>
  <c r="E7" i="4"/>
  <c r="F7" i="4"/>
  <c r="G7" i="4"/>
  <c r="H7" i="4"/>
  <c r="I7" i="4"/>
  <c r="A7" i="4"/>
  <c r="R8" i="3"/>
  <c r="R9" i="3"/>
  <c r="R10" i="3"/>
  <c r="R11" i="3"/>
  <c r="R12" i="3"/>
  <c r="R13" i="3"/>
  <c r="R14" i="3"/>
  <c r="R15" i="3"/>
  <c r="R16" i="3"/>
  <c r="R17" i="3"/>
  <c r="R7" i="3"/>
  <c r="U7" i="3"/>
  <c r="U8" i="3"/>
  <c r="S8" i="3"/>
  <c r="T8" i="3"/>
  <c r="S9" i="3"/>
  <c r="T9" i="3"/>
  <c r="S10" i="3"/>
  <c r="T10" i="3"/>
  <c r="S11" i="3"/>
  <c r="T11" i="3"/>
  <c r="S12" i="3"/>
  <c r="T12" i="3"/>
  <c r="S13" i="3"/>
  <c r="T13" i="3"/>
  <c r="S14" i="3"/>
  <c r="T14" i="3"/>
  <c r="S15" i="3"/>
  <c r="T15" i="3"/>
  <c r="S16" i="3"/>
  <c r="T16" i="3"/>
  <c r="S17" i="3"/>
  <c r="T17" i="3"/>
  <c r="T7" i="3"/>
  <c r="S7" i="3"/>
  <c r="I7" i="3"/>
  <c r="A8" i="3"/>
  <c r="B8" i="3"/>
  <c r="C8" i="3"/>
  <c r="D8" i="3"/>
  <c r="E8" i="3"/>
  <c r="F8" i="3"/>
  <c r="G8" i="3"/>
  <c r="H8" i="3"/>
  <c r="I8" i="3"/>
  <c r="A9" i="3"/>
  <c r="B9" i="3"/>
  <c r="C9" i="3"/>
  <c r="D9" i="3"/>
  <c r="E9" i="3"/>
  <c r="F9" i="3"/>
  <c r="G9" i="3"/>
  <c r="H9" i="3"/>
  <c r="A10" i="3"/>
  <c r="B10" i="3"/>
  <c r="C10" i="3"/>
  <c r="D10" i="3"/>
  <c r="G10" i="3"/>
  <c r="H10" i="3"/>
  <c r="I10" i="3"/>
  <c r="A11" i="3"/>
  <c r="B11" i="3"/>
  <c r="C11" i="3"/>
  <c r="D11" i="3"/>
  <c r="E11" i="3"/>
  <c r="F11" i="3"/>
  <c r="G11" i="3"/>
  <c r="H11" i="3"/>
  <c r="I11" i="3"/>
  <c r="A12" i="3"/>
  <c r="B12" i="3"/>
  <c r="E12" i="3"/>
  <c r="F12" i="3"/>
  <c r="G12" i="3"/>
  <c r="H12" i="3"/>
  <c r="I12" i="3"/>
  <c r="A13" i="3"/>
  <c r="B13" i="3"/>
  <c r="C13" i="3"/>
  <c r="D13" i="3"/>
  <c r="E13" i="3"/>
  <c r="F13" i="3"/>
  <c r="G13" i="3"/>
  <c r="H13" i="3"/>
  <c r="I13" i="3"/>
  <c r="A14" i="3"/>
  <c r="C14" i="3"/>
  <c r="D14" i="3"/>
  <c r="E14" i="3"/>
  <c r="F14" i="3"/>
  <c r="G14" i="3"/>
  <c r="H14" i="3"/>
  <c r="I14" i="3"/>
  <c r="A15" i="3"/>
  <c r="B15" i="3"/>
  <c r="C15" i="3"/>
  <c r="D15" i="3"/>
  <c r="E15" i="3"/>
  <c r="F15" i="3"/>
  <c r="G15" i="3"/>
  <c r="A16" i="3"/>
  <c r="B16" i="3"/>
  <c r="C16" i="3"/>
  <c r="D16" i="3"/>
  <c r="E16" i="3"/>
  <c r="F16" i="3"/>
  <c r="G16" i="3"/>
  <c r="H16" i="3"/>
  <c r="I16" i="3"/>
  <c r="A17" i="3"/>
  <c r="B17" i="3"/>
  <c r="C17" i="3"/>
  <c r="D17" i="3"/>
  <c r="E17" i="3"/>
  <c r="H17" i="3"/>
  <c r="I17" i="3"/>
  <c r="K8" i="3"/>
  <c r="L8" i="3"/>
  <c r="K9" i="3"/>
  <c r="L9" i="3"/>
  <c r="K10" i="3"/>
  <c r="L10" i="3"/>
  <c r="K11" i="3"/>
  <c r="L11" i="3"/>
  <c r="K12" i="3"/>
  <c r="L12" i="3"/>
  <c r="K13" i="3"/>
  <c r="L13" i="3"/>
  <c r="K14" i="3"/>
  <c r="L14" i="3"/>
  <c r="K15" i="3"/>
  <c r="L15" i="3"/>
  <c r="K16" i="3"/>
  <c r="L16" i="3"/>
  <c r="K17" i="3"/>
  <c r="L17" i="3"/>
  <c r="J7" i="3"/>
  <c r="K7" i="3"/>
  <c r="L7" i="3"/>
  <c r="B7" i="3"/>
  <c r="C7" i="3"/>
  <c r="D7" i="3"/>
  <c r="E7" i="3"/>
  <c r="F7" i="3"/>
  <c r="G7" i="3"/>
  <c r="H7" i="3"/>
  <c r="A7" i="3"/>
  <c r="L8" i="2"/>
  <c r="L9" i="2"/>
  <c r="L10" i="2"/>
  <c r="L11" i="2"/>
  <c r="L12" i="2"/>
  <c r="L13" i="2"/>
  <c r="L14" i="2"/>
  <c r="L15" i="2"/>
  <c r="L16" i="2"/>
  <c r="L17" i="2"/>
  <c r="K8" i="2"/>
  <c r="K9" i="2"/>
  <c r="K10" i="2"/>
  <c r="K11" i="2"/>
  <c r="K12" i="2"/>
  <c r="K13" i="2"/>
  <c r="K14" i="2"/>
  <c r="K15" i="2"/>
  <c r="K16" i="2"/>
  <c r="K17" i="2"/>
  <c r="J7" i="2"/>
  <c r="K7" i="2"/>
  <c r="L7" i="2"/>
  <c r="A8" i="2"/>
  <c r="B8" i="2"/>
  <c r="C8" i="2"/>
  <c r="D8" i="2"/>
  <c r="E8" i="2"/>
  <c r="F8" i="2"/>
  <c r="G8" i="2"/>
  <c r="H8" i="2"/>
  <c r="I8" i="2"/>
  <c r="A9" i="2"/>
  <c r="B9" i="2"/>
  <c r="C9" i="2"/>
  <c r="D9" i="2"/>
  <c r="E9" i="2"/>
  <c r="F9" i="2"/>
  <c r="G9" i="2"/>
  <c r="H9" i="2"/>
  <c r="I9" i="2"/>
  <c r="A10" i="2"/>
  <c r="B10" i="2"/>
  <c r="C10" i="2"/>
  <c r="D10" i="2"/>
  <c r="E10" i="2"/>
  <c r="F10" i="2"/>
  <c r="G10" i="2"/>
  <c r="H10" i="2"/>
  <c r="I10" i="2"/>
  <c r="A11" i="2"/>
  <c r="B11" i="2"/>
  <c r="C11" i="2"/>
  <c r="D11" i="2"/>
  <c r="E11" i="2"/>
  <c r="F11" i="2"/>
  <c r="G11" i="2"/>
  <c r="H11" i="2"/>
  <c r="I11" i="2"/>
  <c r="A12" i="2"/>
  <c r="B12" i="2"/>
  <c r="C12" i="2"/>
  <c r="D12" i="2"/>
  <c r="E12" i="2"/>
  <c r="F12" i="2"/>
  <c r="G12" i="2"/>
  <c r="H12" i="2"/>
  <c r="I12" i="2"/>
  <c r="A13" i="2"/>
  <c r="B13" i="2"/>
  <c r="C13" i="2"/>
  <c r="D13" i="2"/>
  <c r="E13" i="2"/>
  <c r="F13" i="2"/>
  <c r="G13" i="2"/>
  <c r="H13" i="2"/>
  <c r="I13" i="2"/>
  <c r="A14" i="2"/>
  <c r="B14" i="2"/>
  <c r="C14" i="2"/>
  <c r="D14" i="2"/>
  <c r="E14" i="2"/>
  <c r="F14" i="2"/>
  <c r="G14" i="2"/>
  <c r="H14" i="2"/>
  <c r="I14" i="2"/>
  <c r="A15" i="2"/>
  <c r="B15" i="2"/>
  <c r="C15" i="2"/>
  <c r="D15" i="2"/>
  <c r="E15" i="2"/>
  <c r="F15" i="2"/>
  <c r="G15" i="2"/>
  <c r="H15" i="2"/>
  <c r="I15" i="2"/>
  <c r="A16" i="2"/>
  <c r="B16" i="2"/>
  <c r="C16" i="2"/>
  <c r="D16" i="2"/>
  <c r="E16" i="2"/>
  <c r="F16" i="2"/>
  <c r="G16" i="2"/>
  <c r="H16" i="2"/>
  <c r="I16" i="2"/>
  <c r="A17" i="2"/>
  <c r="B17" i="2"/>
  <c r="C17" i="2"/>
  <c r="D17" i="2"/>
  <c r="E17" i="2"/>
  <c r="F17" i="2"/>
  <c r="G17" i="2"/>
  <c r="H17" i="2"/>
  <c r="I17" i="2"/>
  <c r="B7" i="2"/>
  <c r="C7" i="2"/>
  <c r="D7" i="2"/>
  <c r="E7" i="2"/>
  <c r="F7" i="2"/>
  <c r="M7" i="2" s="1"/>
  <c r="G7" i="2"/>
  <c r="H7" i="2"/>
  <c r="I7" i="2"/>
  <c r="A7" i="2"/>
  <c r="Z5" i="31"/>
  <c r="Z6" i="31"/>
  <c r="Z7" i="31"/>
  <c r="Z8" i="31"/>
  <c r="Z9" i="31"/>
  <c r="Z10" i="31"/>
  <c r="Z11" i="31"/>
  <c r="Z12" i="31"/>
  <c r="Z13" i="31"/>
  <c r="Z14" i="31"/>
  <c r="Z15" i="31"/>
  <c r="Z16" i="31"/>
  <c r="Z17" i="31"/>
  <c r="Z18" i="31"/>
  <c r="Z19" i="31"/>
  <c r="Z20" i="31"/>
  <c r="Z21" i="31"/>
  <c r="Z22" i="31"/>
  <c r="Z23" i="31"/>
  <c r="Z24" i="31"/>
  <c r="Z25" i="31"/>
  <c r="Z26" i="31"/>
  <c r="Z27" i="31"/>
  <c r="Z28" i="31"/>
  <c r="Z29" i="31"/>
  <c r="Z30" i="31"/>
  <c r="Z31" i="31"/>
  <c r="Z32" i="31"/>
  <c r="Z33" i="31"/>
  <c r="Z34" i="31"/>
  <c r="Z35" i="31"/>
  <c r="Z36" i="31"/>
  <c r="Z37" i="31"/>
  <c r="Z38" i="31"/>
  <c r="Z39" i="31"/>
  <c r="Z40" i="31"/>
  <c r="Z41" i="31"/>
  <c r="Z42" i="31"/>
  <c r="Z43" i="31"/>
  <c r="Z44" i="31"/>
  <c r="Z45" i="31"/>
  <c r="Z46" i="31"/>
  <c r="Z47" i="31"/>
  <c r="Z48" i="31"/>
  <c r="Z49" i="31"/>
  <c r="Z50" i="31"/>
  <c r="Z51" i="31"/>
  <c r="Z52" i="31"/>
  <c r="Z53" i="31"/>
  <c r="Z54" i="31"/>
  <c r="Z55" i="31"/>
  <c r="Z56" i="31"/>
  <c r="Z57" i="31"/>
  <c r="Z58" i="31"/>
  <c r="Z59" i="31"/>
  <c r="Z60" i="31"/>
  <c r="Z61" i="31"/>
  <c r="Z62" i="31"/>
  <c r="Z63" i="31"/>
  <c r="Z64" i="31"/>
  <c r="Z65" i="31"/>
  <c r="Z66" i="31"/>
  <c r="Z67" i="31"/>
  <c r="Z68" i="31"/>
  <c r="Z69" i="31"/>
  <c r="Z70" i="31"/>
  <c r="Z71" i="31"/>
  <c r="Z72" i="31"/>
  <c r="Z73" i="31"/>
  <c r="Z74" i="31"/>
  <c r="Z75" i="31"/>
  <c r="Z76" i="31"/>
  <c r="Z77" i="31"/>
  <c r="Z78" i="31"/>
  <c r="Z79" i="31"/>
  <c r="Z80" i="31"/>
  <c r="Z81" i="31"/>
  <c r="Z82" i="31"/>
  <c r="Z83" i="31"/>
  <c r="Z84" i="31"/>
  <c r="Z85" i="31"/>
  <c r="Z86" i="31"/>
  <c r="Z87" i="31"/>
  <c r="Z88" i="31"/>
  <c r="Z89" i="31"/>
  <c r="Z90" i="31"/>
  <c r="Z91" i="31"/>
  <c r="Z92" i="31"/>
  <c r="Z93" i="31"/>
  <c r="Z94" i="31"/>
  <c r="Z95" i="31"/>
  <c r="Z96" i="31"/>
  <c r="Z97" i="31"/>
  <c r="Z98" i="31"/>
  <c r="Z99" i="31"/>
  <c r="Z100" i="31"/>
  <c r="Z101" i="31"/>
  <c r="Z102" i="31"/>
  <c r="Z103" i="31"/>
  <c r="Z104" i="31"/>
  <c r="Z105" i="31"/>
  <c r="Z106" i="31"/>
  <c r="Z107" i="31"/>
  <c r="Z108" i="31"/>
  <c r="Z109" i="31"/>
  <c r="Z110" i="31"/>
  <c r="Z111" i="31"/>
  <c r="Z112" i="31"/>
  <c r="Z113" i="31"/>
  <c r="Z114" i="31"/>
  <c r="Z115" i="31"/>
  <c r="Z116" i="31"/>
  <c r="Z117" i="31"/>
  <c r="Z118" i="31"/>
  <c r="Z119" i="31"/>
  <c r="Z120" i="31"/>
  <c r="Z121" i="31"/>
  <c r="Z122" i="31"/>
  <c r="Z123" i="31"/>
  <c r="Z124" i="31"/>
  <c r="Z125" i="31"/>
  <c r="Z126" i="31"/>
  <c r="Z127" i="31"/>
  <c r="Z128" i="31"/>
  <c r="Z129" i="31"/>
  <c r="Z130" i="31"/>
  <c r="Z131" i="31"/>
  <c r="Z132" i="31"/>
  <c r="Z133" i="31"/>
  <c r="Z134" i="31"/>
  <c r="Z135" i="31"/>
  <c r="Z136" i="31"/>
  <c r="Z137" i="31"/>
  <c r="Z138" i="31"/>
  <c r="Z139" i="31"/>
  <c r="Z140" i="31"/>
  <c r="Z141" i="31"/>
  <c r="Z142" i="31"/>
  <c r="Z143" i="31"/>
  <c r="Z144" i="31"/>
  <c r="Z145" i="31"/>
  <c r="Z146" i="31"/>
  <c r="Z147" i="31"/>
  <c r="Z148" i="31"/>
  <c r="Z149" i="31"/>
  <c r="Z150" i="31"/>
  <c r="Z151" i="31"/>
  <c r="Z152" i="31"/>
  <c r="Z153" i="31"/>
  <c r="Z154" i="31"/>
  <c r="Z155" i="31"/>
  <c r="Z156" i="31"/>
  <c r="Z157" i="31"/>
  <c r="Z158" i="31"/>
  <c r="Z159" i="31"/>
  <c r="Z160" i="31"/>
  <c r="Z161" i="31"/>
  <c r="Z162" i="31"/>
  <c r="Z163" i="31"/>
  <c r="Z164" i="31"/>
  <c r="Z165" i="31"/>
  <c r="Z166" i="31"/>
  <c r="Z167" i="31"/>
  <c r="Z168" i="31"/>
  <c r="Z169" i="31"/>
  <c r="Z170" i="31"/>
  <c r="Z171" i="31"/>
  <c r="Z172" i="31"/>
  <c r="Z173" i="31"/>
  <c r="Z174" i="31"/>
  <c r="Z175" i="31"/>
  <c r="Z176" i="31"/>
  <c r="Z177" i="31"/>
  <c r="Z178" i="31"/>
  <c r="Z179" i="31"/>
  <c r="Z180" i="31"/>
  <c r="Z181" i="31"/>
  <c r="Z182" i="31"/>
  <c r="Z183" i="31"/>
  <c r="Z184" i="31"/>
  <c r="Z185" i="31"/>
  <c r="Z186" i="31"/>
  <c r="Z187" i="31"/>
  <c r="Z188" i="31"/>
  <c r="Z189" i="31"/>
  <c r="Z190" i="31"/>
  <c r="Z191" i="31"/>
  <c r="Z192" i="31"/>
  <c r="Z193" i="31"/>
  <c r="Z194" i="31"/>
  <c r="Z195" i="31"/>
  <c r="Z196" i="31"/>
  <c r="Z197" i="31"/>
  <c r="Z198" i="31"/>
  <c r="Z199" i="31"/>
  <c r="Z200" i="31"/>
  <c r="Z201" i="31"/>
  <c r="Z202" i="31"/>
  <c r="Z203" i="31"/>
  <c r="Z204" i="31"/>
  <c r="Z205" i="31"/>
  <c r="Z206" i="31"/>
  <c r="Z207" i="31"/>
  <c r="Z208" i="31"/>
  <c r="Z209" i="31"/>
  <c r="Z210" i="31"/>
  <c r="Z211" i="31"/>
  <c r="Z212" i="31"/>
  <c r="Z213" i="31"/>
  <c r="Z214" i="31"/>
  <c r="Z215" i="31"/>
  <c r="Z216" i="31"/>
  <c r="Z217" i="31"/>
  <c r="Z218" i="31"/>
  <c r="Z219" i="31"/>
  <c r="Z220" i="31"/>
  <c r="Z221" i="31"/>
  <c r="Z222" i="31"/>
  <c r="Z223" i="31"/>
  <c r="Z4" i="31"/>
  <c r="Z224" i="31" s="1"/>
  <c r="Y21" i="31"/>
  <c r="AA21" i="31" s="1"/>
  <c r="Y22" i="31"/>
  <c r="AA22" i="31" s="1"/>
  <c r="Y23" i="31"/>
  <c r="AA23" i="31" s="1"/>
  <c r="Y24" i="31"/>
  <c r="AA24" i="31" s="1"/>
  <c r="Y25" i="31"/>
  <c r="AA25" i="31" s="1"/>
  <c r="Y26" i="31"/>
  <c r="AA26" i="31" s="1"/>
  <c r="Y27" i="31"/>
  <c r="AA27" i="31" s="1"/>
  <c r="Y28" i="31"/>
  <c r="AA28" i="31" s="1"/>
  <c r="Y29" i="31"/>
  <c r="AA29" i="31" s="1"/>
  <c r="Y30" i="31"/>
  <c r="AA30" i="31" s="1"/>
  <c r="Y31" i="31"/>
  <c r="AA31" i="31" s="1"/>
  <c r="Y32" i="31"/>
  <c r="AA32" i="31" s="1"/>
  <c r="Y33" i="31"/>
  <c r="AA33" i="31" s="1"/>
  <c r="Y34" i="31"/>
  <c r="AA34" i="31" s="1"/>
  <c r="Y35" i="31"/>
  <c r="AA35" i="31" s="1"/>
  <c r="Y36" i="31"/>
  <c r="AA36" i="31" s="1"/>
  <c r="Y37" i="31"/>
  <c r="AA37" i="31" s="1"/>
  <c r="Y38" i="31"/>
  <c r="AA38" i="31" s="1"/>
  <c r="Y39" i="31"/>
  <c r="AA39" i="31" s="1"/>
  <c r="Y40" i="31"/>
  <c r="AA40" i="31" s="1"/>
  <c r="Y41" i="31"/>
  <c r="AA41" i="31" s="1"/>
  <c r="Y42" i="31"/>
  <c r="AA42" i="31" s="1"/>
  <c r="Y43" i="31"/>
  <c r="AA43" i="31" s="1"/>
  <c r="Y44" i="31"/>
  <c r="AA44" i="31" s="1"/>
  <c r="Y45" i="31"/>
  <c r="AA45" i="31" s="1"/>
  <c r="Y46" i="31"/>
  <c r="AA46" i="31" s="1"/>
  <c r="Y47" i="31"/>
  <c r="AA47" i="31" s="1"/>
  <c r="Y48" i="31"/>
  <c r="AA48" i="31" s="1"/>
  <c r="Y49" i="31"/>
  <c r="AA49" i="31" s="1"/>
  <c r="Y50" i="31"/>
  <c r="AA50" i="31" s="1"/>
  <c r="Y51" i="31"/>
  <c r="AA51" i="31" s="1"/>
  <c r="Y52" i="31"/>
  <c r="AA52" i="31" s="1"/>
  <c r="Y53" i="31"/>
  <c r="AA53" i="31" s="1"/>
  <c r="Y54" i="31"/>
  <c r="AA54" i="31" s="1"/>
  <c r="Y55" i="31"/>
  <c r="AA55" i="31" s="1"/>
  <c r="Y56" i="31"/>
  <c r="AA56" i="31" s="1"/>
  <c r="Y57" i="31"/>
  <c r="AA57" i="31" s="1"/>
  <c r="Y58" i="31"/>
  <c r="AA58" i="31" s="1"/>
  <c r="Y59" i="31"/>
  <c r="AA59" i="31" s="1"/>
  <c r="Y60" i="31"/>
  <c r="AA60" i="31" s="1"/>
  <c r="Y61" i="31"/>
  <c r="AA61" i="31" s="1"/>
  <c r="Y62" i="31"/>
  <c r="AA62" i="31" s="1"/>
  <c r="Y63" i="31"/>
  <c r="AA63" i="31" s="1"/>
  <c r="Y64" i="31"/>
  <c r="AA64" i="31" s="1"/>
  <c r="Y65" i="31"/>
  <c r="AA65" i="31" s="1"/>
  <c r="Y66" i="31"/>
  <c r="AA66" i="31" s="1"/>
  <c r="Y67" i="31"/>
  <c r="AA67" i="31" s="1"/>
  <c r="Y68" i="31"/>
  <c r="AA68" i="31" s="1"/>
  <c r="Y69" i="31"/>
  <c r="AA69" i="31" s="1"/>
  <c r="Y70" i="31"/>
  <c r="AA70" i="31" s="1"/>
  <c r="Y71" i="31"/>
  <c r="AA71" i="31" s="1"/>
  <c r="Y72" i="31"/>
  <c r="AA72" i="31" s="1"/>
  <c r="Y73" i="31"/>
  <c r="AA73" i="31" s="1"/>
  <c r="Y74" i="31"/>
  <c r="AA74" i="31" s="1"/>
  <c r="Y75" i="31"/>
  <c r="AA75" i="31" s="1"/>
  <c r="Y76" i="31"/>
  <c r="AA76" i="31" s="1"/>
  <c r="Y77" i="31"/>
  <c r="AA77" i="31" s="1"/>
  <c r="Y78" i="31"/>
  <c r="AA78" i="31" s="1"/>
  <c r="Y79" i="31"/>
  <c r="AA79" i="31" s="1"/>
  <c r="Y80" i="31"/>
  <c r="AA80" i="31" s="1"/>
  <c r="Y81" i="31"/>
  <c r="AA81" i="31" s="1"/>
  <c r="Y82" i="31"/>
  <c r="AA82" i="31" s="1"/>
  <c r="Y83" i="31"/>
  <c r="AA83" i="31" s="1"/>
  <c r="Y84" i="31"/>
  <c r="AA84" i="31" s="1"/>
  <c r="Y85" i="31"/>
  <c r="AA85" i="31" s="1"/>
  <c r="Y86" i="31"/>
  <c r="AA86" i="31" s="1"/>
  <c r="Y87" i="31"/>
  <c r="AA87" i="31" s="1"/>
  <c r="Y88" i="31"/>
  <c r="AA88" i="31" s="1"/>
  <c r="Y89" i="31"/>
  <c r="AA89" i="31" s="1"/>
  <c r="Y90" i="31"/>
  <c r="AA90" i="31" s="1"/>
  <c r="Y91" i="31"/>
  <c r="AA91" i="31" s="1"/>
  <c r="Y92" i="31"/>
  <c r="AA92" i="31" s="1"/>
  <c r="Y93" i="31"/>
  <c r="AA93" i="31" s="1"/>
  <c r="Y94" i="31"/>
  <c r="AA94" i="31" s="1"/>
  <c r="Y95" i="31"/>
  <c r="AA95" i="31" s="1"/>
  <c r="Y96" i="31"/>
  <c r="AA96" i="31" s="1"/>
  <c r="Y97" i="31"/>
  <c r="AA97" i="31" s="1"/>
  <c r="Y98" i="31"/>
  <c r="AA98" i="31" s="1"/>
  <c r="Y99" i="31"/>
  <c r="AA99" i="31" s="1"/>
  <c r="Y100" i="31"/>
  <c r="AA100" i="31" s="1"/>
  <c r="Y101" i="31"/>
  <c r="AA101" i="31" s="1"/>
  <c r="Y102" i="31"/>
  <c r="AA102" i="31" s="1"/>
  <c r="Y103" i="31"/>
  <c r="AA103" i="31" s="1"/>
  <c r="Y104" i="31"/>
  <c r="AA104" i="31" s="1"/>
  <c r="Y105" i="31"/>
  <c r="AA105" i="31" s="1"/>
  <c r="Y106" i="31"/>
  <c r="AA106" i="31" s="1"/>
  <c r="Y107" i="31"/>
  <c r="AA107" i="31" s="1"/>
  <c r="Y108" i="31"/>
  <c r="AA108" i="31" s="1"/>
  <c r="Y109" i="31"/>
  <c r="AA109" i="31" s="1"/>
  <c r="Y110" i="31"/>
  <c r="AA110" i="31" s="1"/>
  <c r="Y111" i="31"/>
  <c r="AA111" i="31" s="1"/>
  <c r="Y112" i="31"/>
  <c r="AA112" i="31" s="1"/>
  <c r="Y113" i="31"/>
  <c r="AA113" i="31" s="1"/>
  <c r="Y114" i="31"/>
  <c r="AA114" i="31" s="1"/>
  <c r="Y115" i="31"/>
  <c r="AA115" i="31" s="1"/>
  <c r="Y116" i="31"/>
  <c r="AA116" i="31" s="1"/>
  <c r="Y117" i="31"/>
  <c r="AA117" i="31" s="1"/>
  <c r="Y118" i="31"/>
  <c r="AA118" i="31" s="1"/>
  <c r="Y119" i="31"/>
  <c r="AA119" i="31" s="1"/>
  <c r="Y120" i="31"/>
  <c r="AA120" i="31" s="1"/>
  <c r="Y121" i="31"/>
  <c r="AA121" i="31" s="1"/>
  <c r="Y122" i="31"/>
  <c r="AA122" i="31" s="1"/>
  <c r="Y123" i="31"/>
  <c r="AA123" i="31" s="1"/>
  <c r="Y124" i="31"/>
  <c r="AA124" i="31" s="1"/>
  <c r="Y125" i="31"/>
  <c r="AA125" i="31" s="1"/>
  <c r="Y126" i="31"/>
  <c r="AA126" i="31" s="1"/>
  <c r="Y127" i="31"/>
  <c r="AA127" i="31" s="1"/>
  <c r="Y128" i="31"/>
  <c r="AA128" i="31" s="1"/>
  <c r="Y129" i="31"/>
  <c r="AA129" i="31" s="1"/>
  <c r="Y130" i="31"/>
  <c r="AA130" i="31" s="1"/>
  <c r="Y131" i="31"/>
  <c r="AA131" i="31" s="1"/>
  <c r="Y132" i="31"/>
  <c r="AA132" i="31" s="1"/>
  <c r="Y133" i="31"/>
  <c r="AA133" i="31" s="1"/>
  <c r="Y134" i="31"/>
  <c r="AA134" i="31" s="1"/>
  <c r="Y135" i="31"/>
  <c r="AA135" i="31" s="1"/>
  <c r="Y136" i="31"/>
  <c r="AA136" i="31" s="1"/>
  <c r="Y137" i="31"/>
  <c r="AA137" i="31" s="1"/>
  <c r="Y138" i="31"/>
  <c r="AA138" i="31" s="1"/>
  <c r="Y139" i="31"/>
  <c r="AA139" i="31" s="1"/>
  <c r="Y140" i="31"/>
  <c r="AA140" i="31" s="1"/>
  <c r="Y141" i="31"/>
  <c r="AA141" i="31" s="1"/>
  <c r="Y142" i="31"/>
  <c r="AA142" i="31" s="1"/>
  <c r="Y143" i="31"/>
  <c r="AA143" i="31" s="1"/>
  <c r="Y144" i="31"/>
  <c r="AA144" i="31" s="1"/>
  <c r="Y145" i="31"/>
  <c r="AA145" i="31" s="1"/>
  <c r="Y146" i="31"/>
  <c r="AA146" i="31" s="1"/>
  <c r="Y147" i="31"/>
  <c r="AA147" i="31" s="1"/>
  <c r="Y148" i="31"/>
  <c r="AA148" i="31" s="1"/>
  <c r="Y149" i="31"/>
  <c r="AA149" i="31" s="1"/>
  <c r="Y150" i="31"/>
  <c r="AA150" i="31" s="1"/>
  <c r="Y151" i="31"/>
  <c r="AA151" i="31" s="1"/>
  <c r="Y152" i="31"/>
  <c r="AA152" i="31" s="1"/>
  <c r="Y153" i="31"/>
  <c r="AA153" i="31" s="1"/>
  <c r="Y154" i="31"/>
  <c r="AA154" i="31" s="1"/>
  <c r="Y155" i="31"/>
  <c r="AA155" i="31" s="1"/>
  <c r="Y156" i="31"/>
  <c r="AA156" i="31" s="1"/>
  <c r="Y157" i="31"/>
  <c r="AA157" i="31" s="1"/>
  <c r="Y158" i="31"/>
  <c r="AA158" i="31" s="1"/>
  <c r="Y159" i="31"/>
  <c r="AA159" i="31" s="1"/>
  <c r="Y160" i="31"/>
  <c r="AA160" i="31" s="1"/>
  <c r="Y161" i="31"/>
  <c r="AA161" i="31" s="1"/>
  <c r="Y162" i="31"/>
  <c r="AA162" i="31" s="1"/>
  <c r="Y163" i="31"/>
  <c r="AA163" i="31" s="1"/>
  <c r="Y164" i="31"/>
  <c r="AA164" i="31" s="1"/>
  <c r="Y165" i="31"/>
  <c r="AA165" i="31" s="1"/>
  <c r="Y166" i="31"/>
  <c r="AA166" i="31" s="1"/>
  <c r="Y167" i="31"/>
  <c r="AA167" i="31" s="1"/>
  <c r="Y168" i="31"/>
  <c r="AA168" i="31" s="1"/>
  <c r="Y169" i="31"/>
  <c r="AA169" i="31" s="1"/>
  <c r="Y170" i="31"/>
  <c r="AA170" i="31" s="1"/>
  <c r="Y171" i="31"/>
  <c r="AA171" i="31" s="1"/>
  <c r="Y172" i="31"/>
  <c r="AA172" i="31" s="1"/>
  <c r="Y173" i="31"/>
  <c r="AA173" i="31" s="1"/>
  <c r="Y174" i="31"/>
  <c r="AA174" i="31" s="1"/>
  <c r="Y175" i="31"/>
  <c r="AA175" i="31" s="1"/>
  <c r="Y176" i="31"/>
  <c r="AA176" i="31" s="1"/>
  <c r="Y177" i="31"/>
  <c r="AA177" i="31" s="1"/>
  <c r="Y178" i="31"/>
  <c r="AA178" i="31" s="1"/>
  <c r="Y179" i="31"/>
  <c r="AA179" i="31" s="1"/>
  <c r="Y180" i="31"/>
  <c r="AA180" i="31" s="1"/>
  <c r="Y181" i="31"/>
  <c r="AA181" i="31" s="1"/>
  <c r="Y182" i="31"/>
  <c r="AA182" i="31" s="1"/>
  <c r="Y183" i="31"/>
  <c r="AA183" i="31" s="1"/>
  <c r="Y184" i="31"/>
  <c r="AA184" i="31" s="1"/>
  <c r="Y185" i="31"/>
  <c r="AA185" i="31" s="1"/>
  <c r="Y186" i="31"/>
  <c r="AA186" i="31" s="1"/>
  <c r="Y187" i="31"/>
  <c r="AA187" i="31" s="1"/>
  <c r="Y188" i="31"/>
  <c r="AA188" i="31" s="1"/>
  <c r="Y189" i="31"/>
  <c r="AA189" i="31" s="1"/>
  <c r="Y190" i="31"/>
  <c r="AA190" i="31" s="1"/>
  <c r="Y191" i="31"/>
  <c r="AA191" i="31" s="1"/>
  <c r="Y192" i="31"/>
  <c r="AA192" i="31" s="1"/>
  <c r="Y193" i="31"/>
  <c r="AA193" i="31" s="1"/>
  <c r="Y194" i="31"/>
  <c r="AA194" i="31" s="1"/>
  <c r="Y195" i="31"/>
  <c r="AA195" i="31" s="1"/>
  <c r="Y196" i="31"/>
  <c r="AA196" i="31" s="1"/>
  <c r="Y197" i="31"/>
  <c r="AA197" i="31" s="1"/>
  <c r="Y198" i="31"/>
  <c r="AA198" i="31" s="1"/>
  <c r="Y199" i="31"/>
  <c r="AA199" i="31" s="1"/>
  <c r="Y200" i="31"/>
  <c r="AA200" i="31" s="1"/>
  <c r="Y201" i="31"/>
  <c r="AA201" i="31" s="1"/>
  <c r="Y202" i="31"/>
  <c r="AA202" i="31" s="1"/>
  <c r="Y203" i="31"/>
  <c r="AA203" i="31" s="1"/>
  <c r="Y204" i="31"/>
  <c r="AA204" i="31" s="1"/>
  <c r="Y205" i="31"/>
  <c r="AA205" i="31" s="1"/>
  <c r="Y206" i="31"/>
  <c r="AA206" i="31" s="1"/>
  <c r="Y207" i="31"/>
  <c r="AA207" i="31" s="1"/>
  <c r="Y208" i="31"/>
  <c r="AA208" i="31" s="1"/>
  <c r="Y209" i="31"/>
  <c r="AA209" i="31" s="1"/>
  <c r="Y210" i="31"/>
  <c r="AA210" i="31" s="1"/>
  <c r="Y211" i="31"/>
  <c r="AA211" i="31" s="1"/>
  <c r="Y212" i="31"/>
  <c r="AA212" i="31" s="1"/>
  <c r="Y213" i="31"/>
  <c r="AA213" i="31" s="1"/>
  <c r="Y214" i="31"/>
  <c r="AA214" i="31" s="1"/>
  <c r="Y215" i="31"/>
  <c r="AA215" i="31" s="1"/>
  <c r="Y216" i="31"/>
  <c r="AA216" i="31" s="1"/>
  <c r="Y217" i="31"/>
  <c r="AA217" i="31" s="1"/>
  <c r="Y218" i="31"/>
  <c r="AA218" i="31" s="1"/>
  <c r="Y219" i="31"/>
  <c r="AA219" i="31" s="1"/>
  <c r="Y220" i="31"/>
  <c r="AA220" i="31" s="1"/>
  <c r="Y221" i="31"/>
  <c r="AA221" i="31" s="1"/>
  <c r="Y222" i="31"/>
  <c r="AA222" i="31" s="1"/>
  <c r="Y223" i="31"/>
  <c r="AA223" i="31" s="1"/>
  <c r="Y17" i="31"/>
  <c r="AA17" i="31" s="1"/>
  <c r="Y18" i="31"/>
  <c r="AA18" i="31" s="1"/>
  <c r="Y19" i="31"/>
  <c r="AA19" i="31" s="1"/>
  <c r="Y20" i="31"/>
  <c r="AA20" i="31" s="1"/>
  <c r="Y5" i="31"/>
  <c r="AA5" i="31" s="1"/>
  <c r="Y6" i="31"/>
  <c r="AA6" i="31" s="1"/>
  <c r="Y7" i="31"/>
  <c r="AA7" i="31" s="1"/>
  <c r="Y8" i="31"/>
  <c r="AA8" i="31" s="1"/>
  <c r="Y9" i="31"/>
  <c r="AA9" i="31" s="1"/>
  <c r="Y10" i="31"/>
  <c r="AA10" i="31" s="1"/>
  <c r="Y11" i="31"/>
  <c r="AA11" i="31" s="1"/>
  <c r="Y12" i="31"/>
  <c r="AA12" i="31" s="1"/>
  <c r="Y13" i="31"/>
  <c r="AA13" i="31" s="1"/>
  <c r="Y14" i="31"/>
  <c r="AA14" i="31" s="1"/>
  <c r="Y15" i="31"/>
  <c r="AA15" i="31" s="1"/>
  <c r="Y16" i="31"/>
  <c r="AA16" i="31" s="1"/>
  <c r="Y4" i="31"/>
  <c r="AA4" i="31" s="1"/>
  <c r="AA224" i="31" s="1"/>
  <c r="C5" i="32"/>
  <c r="C4" i="32"/>
  <c r="C3" i="32"/>
  <c r="B5" i="32"/>
  <c r="B4" i="32"/>
  <c r="C7" i="32"/>
  <c r="B7" i="32"/>
  <c r="F1" i="31" s="1"/>
  <c r="U21" i="29"/>
  <c r="U22" i="29"/>
  <c r="U23" i="29"/>
  <c r="U24" i="29"/>
  <c r="U25" i="29"/>
  <c r="U26" i="29"/>
  <c r="U27" i="29"/>
  <c r="U28" i="29"/>
  <c r="U29" i="29"/>
  <c r="U30" i="29"/>
  <c r="U31" i="29"/>
  <c r="U20" i="29"/>
  <c r="O28" i="33"/>
  <c r="O20" i="33"/>
  <c r="O24" i="33"/>
  <c r="O25" i="33"/>
  <c r="O19" i="33"/>
  <c r="O22" i="33"/>
  <c r="O21" i="33"/>
  <c r="O23" i="33"/>
  <c r="O26" i="33"/>
  <c r="O27" i="33"/>
  <c r="O18" i="33"/>
  <c r="O17" i="33"/>
  <c r="U7" i="2"/>
  <c r="K18" i="33"/>
  <c r="L18" i="33"/>
  <c r="N18" i="33"/>
  <c r="K27" i="33"/>
  <c r="L27" i="33"/>
  <c r="N27" i="33"/>
  <c r="K26" i="33"/>
  <c r="L26" i="33"/>
  <c r="N26" i="33"/>
  <c r="K23" i="33"/>
  <c r="L23" i="33"/>
  <c r="N23" i="33"/>
  <c r="K21" i="33"/>
  <c r="L21" i="33"/>
  <c r="N21" i="33"/>
  <c r="K22" i="33"/>
  <c r="L22" i="33"/>
  <c r="N22" i="33"/>
  <c r="K19" i="33"/>
  <c r="L19" i="33"/>
  <c r="N19" i="33"/>
  <c r="K25" i="33"/>
  <c r="L25" i="33"/>
  <c r="N25" i="33"/>
  <c r="K24" i="33"/>
  <c r="L24" i="33"/>
  <c r="N24" i="33"/>
  <c r="K20" i="33"/>
  <c r="L20" i="33"/>
  <c r="N20" i="33"/>
  <c r="K28" i="33"/>
  <c r="L28" i="33"/>
  <c r="N28" i="33"/>
  <c r="N17" i="33"/>
  <c r="L17" i="33"/>
  <c r="K17" i="33"/>
  <c r="J17" i="33"/>
  <c r="J18" i="33"/>
  <c r="J27" i="33"/>
  <c r="J26" i="33"/>
  <c r="J23" i="33"/>
  <c r="J21" i="33"/>
  <c r="J22" i="33"/>
  <c r="J19" i="33"/>
  <c r="J25" i="33"/>
  <c r="J24" i="33"/>
  <c r="J20" i="33"/>
  <c r="J28" i="33"/>
  <c r="I18" i="33"/>
  <c r="I27" i="33"/>
  <c r="I26" i="33"/>
  <c r="I23" i="33"/>
  <c r="I21" i="33"/>
  <c r="I22" i="33"/>
  <c r="I19" i="33"/>
  <c r="I25" i="33"/>
  <c r="I24" i="33"/>
  <c r="I20" i="33"/>
  <c r="I28" i="33"/>
  <c r="I17" i="33"/>
  <c r="B31" i="29"/>
  <c r="C31" i="29"/>
  <c r="D31" i="29"/>
  <c r="E31" i="29"/>
  <c r="F31" i="29"/>
  <c r="G31" i="29"/>
  <c r="H31" i="29"/>
  <c r="A31" i="29"/>
  <c r="B21" i="29"/>
  <c r="C21" i="29"/>
  <c r="D21" i="29"/>
  <c r="E21" i="29"/>
  <c r="F21" i="29"/>
  <c r="G21" i="29"/>
  <c r="H21" i="29"/>
  <c r="A21" i="29"/>
  <c r="B22" i="29"/>
  <c r="C22" i="29"/>
  <c r="D22" i="29"/>
  <c r="E22" i="29"/>
  <c r="F22" i="29"/>
  <c r="G22" i="29"/>
  <c r="H22" i="29"/>
  <c r="A22" i="29"/>
  <c r="B23" i="29"/>
  <c r="C23" i="29"/>
  <c r="D23" i="29"/>
  <c r="E23" i="29"/>
  <c r="F23" i="29"/>
  <c r="G23" i="29"/>
  <c r="H23" i="29"/>
  <c r="A23" i="29"/>
  <c r="B24" i="29"/>
  <c r="C24" i="29"/>
  <c r="D24" i="29"/>
  <c r="E24" i="29"/>
  <c r="F24" i="29"/>
  <c r="G24" i="29"/>
  <c r="H24" i="29"/>
  <c r="A24" i="29"/>
  <c r="B25" i="29"/>
  <c r="C25" i="29"/>
  <c r="D25" i="29"/>
  <c r="E25" i="29"/>
  <c r="F25" i="29"/>
  <c r="G25" i="29"/>
  <c r="H25" i="29"/>
  <c r="A25" i="29"/>
  <c r="B26" i="29"/>
  <c r="C26" i="29"/>
  <c r="D26" i="29"/>
  <c r="E26" i="29"/>
  <c r="F26" i="29"/>
  <c r="G26" i="29"/>
  <c r="H26" i="29"/>
  <c r="A26" i="29"/>
  <c r="B27" i="29"/>
  <c r="C27" i="29"/>
  <c r="D27" i="29"/>
  <c r="E27" i="29"/>
  <c r="F27" i="29"/>
  <c r="G27" i="29"/>
  <c r="H27" i="29"/>
  <c r="A27" i="29"/>
  <c r="B28" i="29"/>
  <c r="C28" i="29"/>
  <c r="D28" i="29"/>
  <c r="E28" i="29"/>
  <c r="F28" i="29"/>
  <c r="G28" i="29"/>
  <c r="H28" i="29"/>
  <c r="A28" i="29"/>
  <c r="B29" i="29"/>
  <c r="C29" i="29"/>
  <c r="D29" i="29"/>
  <c r="E29" i="29"/>
  <c r="F29" i="29"/>
  <c r="G29" i="29"/>
  <c r="H29" i="29"/>
  <c r="A29" i="29"/>
  <c r="B30" i="29"/>
  <c r="C30" i="29"/>
  <c r="D30" i="29"/>
  <c r="E30" i="29"/>
  <c r="F30" i="29"/>
  <c r="G30" i="29"/>
  <c r="H30" i="29"/>
  <c r="A30" i="29"/>
  <c r="A20" i="29"/>
  <c r="H20" i="29"/>
  <c r="G20" i="29"/>
  <c r="F20" i="29"/>
  <c r="C20" i="29"/>
  <c r="D20" i="29"/>
  <c r="E20" i="29"/>
  <c r="B20" i="29"/>
  <c r="N3" i="5"/>
  <c r="O3" i="5" s="1"/>
  <c r="P3" i="5" s="1"/>
  <c r="K1" i="13"/>
  <c r="H4" i="3"/>
  <c r="H5" i="3" l="1"/>
  <c r="AE16" i="33"/>
  <c r="AK16" i="33" s="1"/>
  <c r="AE8" i="33"/>
  <c r="AK8" i="33" s="1"/>
  <c r="AE10" i="33"/>
  <c r="AK10" i="33" s="1"/>
  <c r="AE9" i="33"/>
  <c r="AK9" i="33" s="1"/>
  <c r="AE12" i="33"/>
  <c r="AK12" i="33" s="1"/>
  <c r="AE17" i="33"/>
  <c r="AK17" i="33" s="1"/>
  <c r="AE14" i="33"/>
  <c r="AK14" i="33" s="1"/>
  <c r="AE15" i="33"/>
  <c r="AK15" i="33" s="1"/>
  <c r="AE13" i="33"/>
  <c r="AK13" i="33" s="1"/>
  <c r="AE11" i="33"/>
  <c r="AK11" i="33" s="1"/>
  <c r="AI7" i="33"/>
  <c r="AE7" i="33"/>
  <c r="AK7" i="33" s="1"/>
  <c r="AE2" i="33"/>
  <c r="AK2" i="33" s="1"/>
  <c r="AM11" i="33"/>
  <c r="AD14" i="33"/>
  <c r="AE6" i="33"/>
  <c r="AK6" i="33" s="1"/>
  <c r="AH4" i="33"/>
  <c r="AI4" i="33" s="1"/>
  <c r="AM10" i="33"/>
  <c r="AD13" i="33"/>
  <c r="AM12" i="33"/>
  <c r="AE21" i="33"/>
  <c r="AK21" i="33" s="1"/>
  <c r="AE5" i="33"/>
  <c r="AK5" i="33" s="1"/>
  <c r="AH20" i="33"/>
  <c r="AH3" i="33"/>
  <c r="AI3" i="33" s="1"/>
  <c r="AM9" i="33"/>
  <c r="AD12" i="33"/>
  <c r="AE20" i="33"/>
  <c r="AK20" i="33" s="1"/>
  <c r="AE4" i="33"/>
  <c r="AK4" i="33" s="1"/>
  <c r="AH2" i="33"/>
  <c r="AI2" i="33" s="1"/>
  <c r="AM8" i="33"/>
  <c r="AD11" i="33"/>
  <c r="AE19" i="33"/>
  <c r="AK19" i="33" s="1"/>
  <c r="AE3" i="33"/>
  <c r="AK3" i="33" s="1"/>
  <c r="AH18" i="33"/>
  <c r="AM7" i="33"/>
  <c r="AN7" i="33" s="1"/>
  <c r="AM13" i="33"/>
  <c r="AE18" i="33"/>
  <c r="AK18" i="33" s="1"/>
  <c r="AH16" i="33"/>
  <c r="AN16" i="33" s="1"/>
  <c r="AM21" i="33"/>
  <c r="AM4" i="33"/>
  <c r="AN4" i="33" s="1"/>
  <c r="AH14" i="33"/>
  <c r="AI14" i="33" s="1"/>
  <c r="AM20" i="33"/>
  <c r="AM3" i="33"/>
  <c r="AH13" i="33"/>
  <c r="AM19" i="33"/>
  <c r="AM2" i="33"/>
  <c r="AM18" i="33"/>
  <c r="AH11" i="33"/>
  <c r="AM17" i="33"/>
  <c r="AH10" i="33"/>
  <c r="AI10" i="33" s="1"/>
  <c r="AB34" i="31"/>
  <c r="AC34" i="31" s="1"/>
  <c r="AB50" i="31"/>
  <c r="AC50" i="31" s="1"/>
  <c r="AB66" i="31"/>
  <c r="AC66" i="31" s="1"/>
  <c r="AB82" i="31"/>
  <c r="AC82" i="31" s="1"/>
  <c r="AB98" i="31"/>
  <c r="AC98" i="31" s="1"/>
  <c r="AB114" i="31"/>
  <c r="AC114" i="31" s="1"/>
  <c r="AB130" i="31"/>
  <c r="AC130" i="31" s="1"/>
  <c r="AB146" i="31"/>
  <c r="AC146" i="31" s="1"/>
  <c r="AB162" i="31"/>
  <c r="AC162" i="31" s="1"/>
  <c r="AB178" i="31"/>
  <c r="AC178" i="31" s="1"/>
  <c r="AB194" i="31"/>
  <c r="AC194" i="31" s="1"/>
  <c r="AB210" i="31"/>
  <c r="AC210" i="31" s="1"/>
  <c r="AB7" i="31"/>
  <c r="AC7" i="31" s="1"/>
  <c r="AB23" i="31"/>
  <c r="AC23" i="31" s="1"/>
  <c r="AB5" i="31"/>
  <c r="AC5" i="31" s="1"/>
  <c r="AB193" i="31"/>
  <c r="AC193" i="31" s="1"/>
  <c r="AB35" i="31"/>
  <c r="AC35" i="31" s="1"/>
  <c r="AB51" i="31"/>
  <c r="AC51" i="31" s="1"/>
  <c r="AB67" i="31"/>
  <c r="AC67" i="31" s="1"/>
  <c r="AB83" i="31"/>
  <c r="AC83" i="31" s="1"/>
  <c r="AB99" i="31"/>
  <c r="AC99" i="31" s="1"/>
  <c r="AB115" i="31"/>
  <c r="AC115" i="31" s="1"/>
  <c r="AB131" i="31"/>
  <c r="AC131" i="31" s="1"/>
  <c r="AB147" i="31"/>
  <c r="AC147" i="31" s="1"/>
  <c r="AB163" i="31"/>
  <c r="AC163" i="31" s="1"/>
  <c r="AB179" i="31"/>
  <c r="AC179" i="31" s="1"/>
  <c r="AB195" i="31"/>
  <c r="AC195" i="31" s="1"/>
  <c r="AB211" i="31"/>
  <c r="AC211" i="31" s="1"/>
  <c r="AB8" i="31"/>
  <c r="AC8" i="31" s="1"/>
  <c r="AB24" i="31"/>
  <c r="AC24" i="31" s="1"/>
  <c r="AB208" i="31"/>
  <c r="AC208" i="31" s="1"/>
  <c r="AB145" i="31"/>
  <c r="AC145" i="31" s="1"/>
  <c r="AB36" i="31"/>
  <c r="AC36" i="31" s="1"/>
  <c r="AB52" i="31"/>
  <c r="AC52" i="31" s="1"/>
  <c r="AB68" i="31"/>
  <c r="AC68" i="31" s="1"/>
  <c r="AB84" i="31"/>
  <c r="AC84" i="31" s="1"/>
  <c r="AB100" i="31"/>
  <c r="AC100" i="31" s="1"/>
  <c r="AB116" i="31"/>
  <c r="AC116" i="31" s="1"/>
  <c r="AB132" i="31"/>
  <c r="AC132" i="31" s="1"/>
  <c r="AB148" i="31"/>
  <c r="AC148" i="31" s="1"/>
  <c r="AB164" i="31"/>
  <c r="AC164" i="31" s="1"/>
  <c r="AB180" i="31"/>
  <c r="AC180" i="31" s="1"/>
  <c r="AB196" i="31"/>
  <c r="AC196" i="31" s="1"/>
  <c r="AB212" i="31"/>
  <c r="AC212" i="31" s="1"/>
  <c r="AB9" i="31"/>
  <c r="AC9" i="31" s="1"/>
  <c r="AB25" i="31"/>
  <c r="AC25" i="31" s="1"/>
  <c r="AB192" i="31"/>
  <c r="AC192" i="31" s="1"/>
  <c r="AB129" i="31"/>
  <c r="AC129" i="31" s="1"/>
  <c r="AB37" i="31"/>
  <c r="AC37" i="31" s="1"/>
  <c r="AB53" i="31"/>
  <c r="AC53" i="31" s="1"/>
  <c r="AB69" i="31"/>
  <c r="AC69" i="31" s="1"/>
  <c r="AB85" i="31"/>
  <c r="AC85" i="31" s="1"/>
  <c r="AB101" i="31"/>
  <c r="AC101" i="31" s="1"/>
  <c r="AB117" i="31"/>
  <c r="AC117" i="31" s="1"/>
  <c r="AB133" i="31"/>
  <c r="AC133" i="31" s="1"/>
  <c r="AB149" i="31"/>
  <c r="AC149" i="31" s="1"/>
  <c r="AB165" i="31"/>
  <c r="AC165" i="31" s="1"/>
  <c r="AB181" i="31"/>
  <c r="AC181" i="31" s="1"/>
  <c r="AB197" i="31"/>
  <c r="AC197" i="31" s="1"/>
  <c r="AB213" i="31"/>
  <c r="AC213" i="31" s="1"/>
  <c r="AB10" i="31"/>
  <c r="AC10" i="31" s="1"/>
  <c r="AB26" i="31"/>
  <c r="AC26" i="31" s="1"/>
  <c r="AB112" i="31"/>
  <c r="AC112" i="31" s="1"/>
  <c r="AB21" i="31"/>
  <c r="AC21" i="31" s="1"/>
  <c r="AB65" i="31"/>
  <c r="AC65" i="31" s="1"/>
  <c r="AB38" i="31"/>
  <c r="AC38" i="31" s="1"/>
  <c r="AB54" i="31"/>
  <c r="AC54" i="31" s="1"/>
  <c r="AB70" i="31"/>
  <c r="AC70" i="31" s="1"/>
  <c r="AB86" i="31"/>
  <c r="AC86" i="31" s="1"/>
  <c r="AB102" i="31"/>
  <c r="AC102" i="31" s="1"/>
  <c r="AB118" i="31"/>
  <c r="AC118" i="31" s="1"/>
  <c r="AB134" i="31"/>
  <c r="AC134" i="31" s="1"/>
  <c r="AB150" i="31"/>
  <c r="AC150" i="31" s="1"/>
  <c r="AB166" i="31"/>
  <c r="AC166" i="31" s="1"/>
  <c r="AB182" i="31"/>
  <c r="AC182" i="31" s="1"/>
  <c r="AB198" i="31"/>
  <c r="AC198" i="31" s="1"/>
  <c r="AB214" i="31"/>
  <c r="AC214" i="31" s="1"/>
  <c r="AB11" i="31"/>
  <c r="AC11" i="31" s="1"/>
  <c r="AB176" i="31"/>
  <c r="AC176" i="31" s="1"/>
  <c r="AB97" i="31"/>
  <c r="AC97" i="31" s="1"/>
  <c r="AB22" i="31"/>
  <c r="AC22" i="31" s="1"/>
  <c r="AB39" i="31"/>
  <c r="AC39" i="31" s="1"/>
  <c r="AB55" i="31"/>
  <c r="AC55" i="31" s="1"/>
  <c r="AB71" i="31"/>
  <c r="AC71" i="31" s="1"/>
  <c r="AB87" i="31"/>
  <c r="AC87" i="31" s="1"/>
  <c r="AB103" i="31"/>
  <c r="AC103" i="31" s="1"/>
  <c r="AB119" i="31"/>
  <c r="AC119" i="31" s="1"/>
  <c r="AB135" i="31"/>
  <c r="AC135" i="31" s="1"/>
  <c r="AB151" i="31"/>
  <c r="AC151" i="31" s="1"/>
  <c r="AB167" i="31"/>
  <c r="AC167" i="31" s="1"/>
  <c r="AB183" i="31"/>
  <c r="AC183" i="31" s="1"/>
  <c r="AB199" i="31"/>
  <c r="AC199" i="31" s="1"/>
  <c r="AB215" i="31"/>
  <c r="AC215" i="31" s="1"/>
  <c r="AB12" i="31"/>
  <c r="AC12" i="31" s="1"/>
  <c r="AB96" i="31"/>
  <c r="AC96" i="31" s="1"/>
  <c r="AB81" i="31"/>
  <c r="AC81" i="31" s="1"/>
  <c r="AB40" i="31"/>
  <c r="AC40" i="31" s="1"/>
  <c r="AB56" i="31"/>
  <c r="AC56" i="31" s="1"/>
  <c r="AB72" i="31"/>
  <c r="AC72" i="31" s="1"/>
  <c r="AB88" i="31"/>
  <c r="AC88" i="31" s="1"/>
  <c r="AB104" i="31"/>
  <c r="AC104" i="31" s="1"/>
  <c r="AB120" i="31"/>
  <c r="AC120" i="31" s="1"/>
  <c r="AB136" i="31"/>
  <c r="AC136" i="31" s="1"/>
  <c r="AB152" i="31"/>
  <c r="AC152" i="31" s="1"/>
  <c r="AB168" i="31"/>
  <c r="AC168" i="31" s="1"/>
  <c r="AB184" i="31"/>
  <c r="AC184" i="31" s="1"/>
  <c r="AB200" i="31"/>
  <c r="AC200" i="31" s="1"/>
  <c r="AB216" i="31"/>
  <c r="AC216" i="31" s="1"/>
  <c r="AB13" i="31"/>
  <c r="AC13" i="31" s="1"/>
  <c r="AB48" i="31"/>
  <c r="AC48" i="31" s="1"/>
  <c r="AB6" i="31"/>
  <c r="AC6" i="31" s="1"/>
  <c r="AB41" i="31"/>
  <c r="AC41" i="31" s="1"/>
  <c r="AB57" i="31"/>
  <c r="AC57" i="31" s="1"/>
  <c r="AB73" i="31"/>
  <c r="AC73" i="31" s="1"/>
  <c r="AB89" i="31"/>
  <c r="AC89" i="31" s="1"/>
  <c r="AB105" i="31"/>
  <c r="AC105" i="31" s="1"/>
  <c r="AB121" i="31"/>
  <c r="AC121" i="31" s="1"/>
  <c r="AB137" i="31"/>
  <c r="AC137" i="31" s="1"/>
  <c r="AB153" i="31"/>
  <c r="AC153" i="31" s="1"/>
  <c r="AB169" i="31"/>
  <c r="AC169" i="31" s="1"/>
  <c r="AB185" i="31"/>
  <c r="AC185" i="31" s="1"/>
  <c r="AB201" i="31"/>
  <c r="AC201" i="31" s="1"/>
  <c r="AB217" i="31"/>
  <c r="AC217" i="31" s="1"/>
  <c r="AB14" i="31"/>
  <c r="AC14" i="31" s="1"/>
  <c r="AB160" i="31"/>
  <c r="AC160" i="31" s="1"/>
  <c r="AB42" i="31"/>
  <c r="AC42" i="31" s="1"/>
  <c r="AB58" i="31"/>
  <c r="AC58" i="31" s="1"/>
  <c r="AB74" i="31"/>
  <c r="AC74" i="31" s="1"/>
  <c r="AB90" i="31"/>
  <c r="AC90" i="31" s="1"/>
  <c r="AB106" i="31"/>
  <c r="AC106" i="31" s="1"/>
  <c r="AB122" i="31"/>
  <c r="AC122" i="31" s="1"/>
  <c r="AB138" i="31"/>
  <c r="AC138" i="31" s="1"/>
  <c r="AB154" i="31"/>
  <c r="AC154" i="31" s="1"/>
  <c r="AB170" i="31"/>
  <c r="AC170" i="31" s="1"/>
  <c r="AB186" i="31"/>
  <c r="AC186" i="31" s="1"/>
  <c r="AB202" i="31"/>
  <c r="AC202" i="31" s="1"/>
  <c r="AB218" i="31"/>
  <c r="AC218" i="31" s="1"/>
  <c r="AB15" i="31"/>
  <c r="AC15" i="31" s="1"/>
  <c r="AB128" i="31"/>
  <c r="AC128" i="31" s="1"/>
  <c r="AB209" i="31"/>
  <c r="AC209" i="31" s="1"/>
  <c r="AB27" i="31"/>
  <c r="AC27" i="31" s="1"/>
  <c r="AB43" i="31"/>
  <c r="AC43" i="31" s="1"/>
  <c r="AB59" i="31"/>
  <c r="AC59" i="31" s="1"/>
  <c r="AB75" i="31"/>
  <c r="AC75" i="31" s="1"/>
  <c r="AB91" i="31"/>
  <c r="AC91" i="31" s="1"/>
  <c r="AB107" i="31"/>
  <c r="AC107" i="31" s="1"/>
  <c r="AB123" i="31"/>
  <c r="AC123" i="31" s="1"/>
  <c r="AB139" i="31"/>
  <c r="AC139" i="31" s="1"/>
  <c r="AB155" i="31"/>
  <c r="AC155" i="31" s="1"/>
  <c r="AB171" i="31"/>
  <c r="AC171" i="31" s="1"/>
  <c r="AB187" i="31"/>
  <c r="AC187" i="31" s="1"/>
  <c r="AB203" i="31"/>
  <c r="AC203" i="31" s="1"/>
  <c r="AB219" i="31"/>
  <c r="AC219" i="31" s="1"/>
  <c r="AB16" i="31"/>
  <c r="AC16" i="31" s="1"/>
  <c r="AB32" i="31"/>
  <c r="AC32" i="31" s="1"/>
  <c r="AB161" i="31"/>
  <c r="AC161" i="31" s="1"/>
  <c r="AB28" i="31"/>
  <c r="AC28" i="31" s="1"/>
  <c r="AB44" i="31"/>
  <c r="AC44" i="31" s="1"/>
  <c r="AB60" i="31"/>
  <c r="AC60" i="31" s="1"/>
  <c r="AB76" i="31"/>
  <c r="AC76" i="31" s="1"/>
  <c r="AB92" i="31"/>
  <c r="AC92" i="31" s="1"/>
  <c r="AB108" i="31"/>
  <c r="AC108" i="31" s="1"/>
  <c r="AB124" i="31"/>
  <c r="AC124" i="31" s="1"/>
  <c r="AB140" i="31"/>
  <c r="AC140" i="31" s="1"/>
  <c r="AB156" i="31"/>
  <c r="AC156" i="31" s="1"/>
  <c r="AB172" i="31"/>
  <c r="AC172" i="31" s="1"/>
  <c r="AB188" i="31"/>
  <c r="AC188" i="31" s="1"/>
  <c r="AB204" i="31"/>
  <c r="AC204" i="31" s="1"/>
  <c r="AB220" i="31"/>
  <c r="AC220" i="31" s="1"/>
  <c r="AB17" i="31"/>
  <c r="AC17" i="31" s="1"/>
  <c r="AB80" i="31"/>
  <c r="AC80" i="31" s="1"/>
  <c r="AB33" i="31"/>
  <c r="AC33" i="31" s="1"/>
  <c r="AB29" i="31"/>
  <c r="AC29" i="31" s="1"/>
  <c r="AB45" i="31"/>
  <c r="AC45" i="31" s="1"/>
  <c r="AB61" i="31"/>
  <c r="AC61" i="31" s="1"/>
  <c r="AB77" i="31"/>
  <c r="AC77" i="31" s="1"/>
  <c r="AB93" i="31"/>
  <c r="AC93" i="31" s="1"/>
  <c r="AB109" i="31"/>
  <c r="AC109" i="31" s="1"/>
  <c r="AB125" i="31"/>
  <c r="AC125" i="31" s="1"/>
  <c r="AB141" i="31"/>
  <c r="AC141" i="31" s="1"/>
  <c r="AB157" i="31"/>
  <c r="AC157" i="31" s="1"/>
  <c r="AB173" i="31"/>
  <c r="AC173" i="31" s="1"/>
  <c r="AB189" i="31"/>
  <c r="AC189" i="31" s="1"/>
  <c r="AB205" i="31"/>
  <c r="AC205" i="31" s="1"/>
  <c r="AB221" i="31"/>
  <c r="AC221" i="31" s="1"/>
  <c r="AB18" i="31"/>
  <c r="AB64" i="31"/>
  <c r="AC64" i="31" s="1"/>
  <c r="AB49" i="31"/>
  <c r="AC49" i="31" s="1"/>
  <c r="AB30" i="31"/>
  <c r="AC30" i="31" s="1"/>
  <c r="AB46" i="31"/>
  <c r="AC46" i="31" s="1"/>
  <c r="AB62" i="31"/>
  <c r="AC62" i="31" s="1"/>
  <c r="AB78" i="31"/>
  <c r="AC78" i="31" s="1"/>
  <c r="AB94" i="31"/>
  <c r="AC94" i="31" s="1"/>
  <c r="AB110" i="31"/>
  <c r="AC110" i="31" s="1"/>
  <c r="AB126" i="31"/>
  <c r="AC126" i="31" s="1"/>
  <c r="AB142" i="31"/>
  <c r="AC142" i="31" s="1"/>
  <c r="AB158" i="31"/>
  <c r="AC158" i="31" s="1"/>
  <c r="AB174" i="31"/>
  <c r="AC174" i="31" s="1"/>
  <c r="AB190" i="31"/>
  <c r="AC190" i="31" s="1"/>
  <c r="AB206" i="31"/>
  <c r="AC206" i="31" s="1"/>
  <c r="AB222" i="31"/>
  <c r="AC222" i="31" s="1"/>
  <c r="AB19" i="31"/>
  <c r="AC19" i="31" s="1"/>
  <c r="AB144" i="31"/>
  <c r="AC144" i="31" s="1"/>
  <c r="AB177" i="31"/>
  <c r="AC177" i="31" s="1"/>
  <c r="AB31" i="31"/>
  <c r="AC31" i="31" s="1"/>
  <c r="AB47" i="31"/>
  <c r="AC47" i="31" s="1"/>
  <c r="AB63" i="31"/>
  <c r="AC63" i="31" s="1"/>
  <c r="AB79" i="31"/>
  <c r="AC79" i="31" s="1"/>
  <c r="AB95" i="31"/>
  <c r="AC95" i="31" s="1"/>
  <c r="AB111" i="31"/>
  <c r="AC111" i="31" s="1"/>
  <c r="AB127" i="31"/>
  <c r="AC127" i="31" s="1"/>
  <c r="AB143" i="31"/>
  <c r="AC143" i="31" s="1"/>
  <c r="AB159" i="31"/>
  <c r="AC159" i="31" s="1"/>
  <c r="AB175" i="31"/>
  <c r="AC175" i="31" s="1"/>
  <c r="AB191" i="31"/>
  <c r="AC191" i="31" s="1"/>
  <c r="AB207" i="31"/>
  <c r="AC207" i="31" s="1"/>
  <c r="AB223" i="31"/>
  <c r="AC223" i="31" s="1"/>
  <c r="AB20" i="31"/>
  <c r="AC20" i="31" s="1"/>
  <c r="AB113" i="31"/>
  <c r="AC113" i="31" s="1"/>
  <c r="Y224" i="31"/>
  <c r="AB4" i="31"/>
  <c r="AC4" i="31"/>
  <c r="AC18" i="31"/>
  <c r="M74" i="32"/>
  <c r="I52" i="32" s="1"/>
  <c r="M75" i="32"/>
  <c r="M69" i="32"/>
  <c r="M71" i="32"/>
  <c r="M70" i="32"/>
  <c r="M81" i="32"/>
  <c r="M87" i="32"/>
  <c r="M68" i="32"/>
  <c r="M86" i="32"/>
  <c r="M73" i="32"/>
  <c r="M83" i="32"/>
  <c r="M84" i="32"/>
  <c r="I62" i="32" s="1"/>
  <c r="M80" i="32"/>
  <c r="M79" i="32"/>
  <c r="M82" i="32"/>
  <c r="M77" i="32"/>
  <c r="M78" i="32"/>
  <c r="M76" i="32"/>
  <c r="M72" i="32"/>
  <c r="M85" i="32"/>
  <c r="M18" i="33"/>
  <c r="M28" i="33"/>
  <c r="M26" i="33"/>
  <c r="M24" i="33"/>
  <c r="M21" i="33"/>
  <c r="M20" i="33"/>
  <c r="M25" i="33"/>
  <c r="M19" i="33"/>
  <c r="M22" i="33"/>
  <c r="M23" i="33"/>
  <c r="M27" i="33"/>
  <c r="K1" i="25"/>
  <c r="AN18" i="33" l="1"/>
  <c r="AO4" i="33"/>
  <c r="D4" i="35" s="1"/>
  <c r="AN20" i="33"/>
  <c r="AN2" i="33"/>
  <c r="AO2" i="33" s="1"/>
  <c r="D2" i="35" s="1"/>
  <c r="AN10" i="33"/>
  <c r="AO10" i="33" s="1"/>
  <c r="D10" i="35" s="1"/>
  <c r="AO7" i="33"/>
  <c r="D7" i="35" s="1"/>
  <c r="AI18" i="33"/>
  <c r="AI13" i="33"/>
  <c r="AN13" i="33"/>
  <c r="AN11" i="33"/>
  <c r="AI11" i="33"/>
  <c r="AO11" i="33" s="1"/>
  <c r="D11" i="35" s="1"/>
  <c r="AN3" i="33"/>
  <c r="AO3" i="33" s="1"/>
  <c r="D3" i="35" s="1"/>
  <c r="AI16" i="33"/>
  <c r="AO16" i="33" s="1"/>
  <c r="D16" i="35" s="1"/>
  <c r="AN14" i="33"/>
  <c r="AO14" i="33" s="1"/>
  <c r="D14" i="35" s="1"/>
  <c r="AI20" i="33"/>
  <c r="AB224" i="31"/>
  <c r="AC224" i="31" s="1"/>
  <c r="J52" i="32"/>
  <c r="B19" i="32" s="1"/>
  <c r="J60" i="32"/>
  <c r="B27" i="32" s="1"/>
  <c r="I60" i="32"/>
  <c r="J51" i="32"/>
  <c r="B18" i="32" s="1"/>
  <c r="I51" i="32"/>
  <c r="J64" i="32"/>
  <c r="B31" i="32" s="1"/>
  <c r="I64" i="32"/>
  <c r="J46" i="32"/>
  <c r="B13" i="32" s="1"/>
  <c r="I46" i="32"/>
  <c r="J65" i="32"/>
  <c r="B32" i="32" s="1"/>
  <c r="I65" i="32"/>
  <c r="D32" i="32" s="1"/>
  <c r="J59" i="32"/>
  <c r="B26" i="32" s="1"/>
  <c r="I59" i="32"/>
  <c r="D26" i="32" s="1"/>
  <c r="J57" i="32"/>
  <c r="B24" i="32" s="1"/>
  <c r="I57" i="32"/>
  <c r="J48" i="32"/>
  <c r="B15" i="32" s="1"/>
  <c r="I48" i="32"/>
  <c r="D15" i="32" s="1"/>
  <c r="J49" i="32"/>
  <c r="B16" i="32" s="1"/>
  <c r="I49" i="32"/>
  <c r="J58" i="32"/>
  <c r="B25" i="32" s="1"/>
  <c r="I58" i="32"/>
  <c r="J63" i="32"/>
  <c r="B30" i="32" s="1"/>
  <c r="I63" i="32"/>
  <c r="D30" i="32" s="1"/>
  <c r="J50" i="32"/>
  <c r="B17" i="32" s="1"/>
  <c r="I50" i="32"/>
  <c r="J47" i="32"/>
  <c r="B14" i="32" s="1"/>
  <c r="I47" i="32"/>
  <c r="D14" i="32" s="1"/>
  <c r="J61" i="32"/>
  <c r="B28" i="32" s="1"/>
  <c r="I61" i="32"/>
  <c r="D28" i="32" s="1"/>
  <c r="J53" i="32"/>
  <c r="B20" i="32" s="1"/>
  <c r="I53" i="32"/>
  <c r="D19" i="32" s="1"/>
  <c r="J56" i="32"/>
  <c r="B23" i="32" s="1"/>
  <c r="I56" i="32"/>
  <c r="J54" i="32"/>
  <c r="B21" i="32" s="1"/>
  <c r="I54" i="32"/>
  <c r="J55" i="32"/>
  <c r="B22" i="32" s="1"/>
  <c r="I55" i="32"/>
  <c r="J62" i="32"/>
  <c r="B29" i="32" s="1"/>
  <c r="W17" i="33"/>
  <c r="M17" i="33"/>
  <c r="S18" i="23"/>
  <c r="S18" i="25"/>
  <c r="S18" i="24"/>
  <c r="S18" i="22"/>
  <c r="S18" i="21"/>
  <c r="T18" i="21"/>
  <c r="S18" i="20"/>
  <c r="T18" i="20"/>
  <c r="AO18" i="33" l="1"/>
  <c r="D18" i="35" s="1"/>
  <c r="AO20" i="33"/>
  <c r="D20" i="35" s="1"/>
  <c r="AO13" i="33"/>
  <c r="D13" i="35" s="1"/>
  <c r="C9" i="32"/>
  <c r="D25" i="32"/>
  <c r="D31" i="32"/>
  <c r="D17" i="32"/>
  <c r="D22" i="32"/>
  <c r="D13" i="32"/>
  <c r="D27" i="32"/>
  <c r="D18" i="32"/>
  <c r="D16" i="32"/>
  <c r="D23" i="32"/>
  <c r="D21" i="32"/>
  <c r="D20" i="32"/>
  <c r="D24" i="32"/>
  <c r="D29" i="32"/>
  <c r="X31" i="29"/>
  <c r="X28" i="33" s="1"/>
  <c r="AM6" i="33" s="1"/>
  <c r="AN6" i="33" s="1"/>
  <c r="W28" i="33"/>
  <c r="X21" i="29"/>
  <c r="X18" i="33" s="1"/>
  <c r="AH6" i="33" s="1"/>
  <c r="AI6" i="33" s="1"/>
  <c r="W18" i="33"/>
  <c r="X23" i="29"/>
  <c r="X26" i="33" s="1"/>
  <c r="AM5" i="33" s="1"/>
  <c r="W26" i="33"/>
  <c r="X29" i="29"/>
  <c r="X24" i="33" s="1"/>
  <c r="AH19" i="33" s="1"/>
  <c r="W24" i="33"/>
  <c r="X25" i="29"/>
  <c r="X21" i="33" s="1"/>
  <c r="AH12" i="33" s="1"/>
  <c r="W21" i="33"/>
  <c r="X30" i="29"/>
  <c r="X20" i="33" s="1"/>
  <c r="AH9" i="33" s="1"/>
  <c r="W20" i="33"/>
  <c r="X28" i="29"/>
  <c r="X25" i="33" s="1"/>
  <c r="AH21" i="33" s="1"/>
  <c r="W25" i="33"/>
  <c r="X27" i="29"/>
  <c r="X19" i="33" s="1"/>
  <c r="AH8" i="33" s="1"/>
  <c r="W19" i="33"/>
  <c r="X26" i="29"/>
  <c r="X22" i="33" s="1"/>
  <c r="AH15" i="33" s="1"/>
  <c r="W22" i="33"/>
  <c r="X22" i="29"/>
  <c r="X27" i="33" s="1"/>
  <c r="AM15" i="33" s="1"/>
  <c r="W27" i="33"/>
  <c r="X20" i="29"/>
  <c r="X17" i="33" s="1"/>
  <c r="AH5" i="33" s="1"/>
  <c r="AI5" i="33" s="1"/>
  <c r="X24" i="29"/>
  <c r="X23" i="33" s="1"/>
  <c r="AH17" i="33" s="1"/>
  <c r="W23" i="33"/>
  <c r="T18" i="25"/>
  <c r="T18" i="24"/>
  <c r="T18" i="23"/>
  <c r="T18" i="22"/>
  <c r="AN5" i="33" l="1"/>
  <c r="AO5" i="33" s="1"/>
  <c r="D5" i="35" s="1"/>
  <c r="AI15" i="33"/>
  <c r="AN15" i="33"/>
  <c r="AI8" i="33"/>
  <c r="AN8" i="33"/>
  <c r="AN21" i="33"/>
  <c r="AI21" i="33"/>
  <c r="AI12" i="33"/>
  <c r="AN12" i="33"/>
  <c r="AI17" i="33"/>
  <c r="AN17" i="33"/>
  <c r="AO6" i="33"/>
  <c r="D6" i="35" s="1"/>
  <c r="AI9" i="33"/>
  <c r="AN9" i="33"/>
  <c r="AI19" i="33"/>
  <c r="AN19" i="33"/>
  <c r="I4" i="3"/>
  <c r="M8" i="6"/>
  <c r="W3" i="26"/>
  <c r="B3" i="25"/>
  <c r="B3" i="24"/>
  <c r="B3" i="23"/>
  <c r="B3" i="22"/>
  <c r="B3" i="21"/>
  <c r="B3" i="20"/>
  <c r="B3" i="18"/>
  <c r="B3" i="17"/>
  <c r="B3" i="16"/>
  <c r="B3" i="15"/>
  <c r="B3" i="14"/>
  <c r="B3" i="13"/>
  <c r="B3" i="12"/>
  <c r="B3" i="10"/>
  <c r="B3" i="7"/>
  <c r="B3" i="9"/>
  <c r="B3" i="6"/>
  <c r="B3" i="4"/>
  <c r="B3" i="3"/>
  <c r="B3" i="2"/>
  <c r="AE42" i="5"/>
  <c r="U43" i="5"/>
  <c r="W42" i="5"/>
  <c r="X42" i="5"/>
  <c r="L43" i="5"/>
  <c r="M43" i="5"/>
  <c r="N43" i="5"/>
  <c r="O43" i="5"/>
  <c r="P43" i="5"/>
  <c r="Q43" i="5"/>
  <c r="R43" i="5"/>
  <c r="Y42" i="5"/>
  <c r="Z42" i="5"/>
  <c r="AA42" i="5"/>
  <c r="AB42" i="5"/>
  <c r="AD42" i="5"/>
  <c r="AC42" i="5"/>
  <c r="S43" i="5"/>
  <c r="T43" i="5"/>
  <c r="V6" i="26"/>
  <c r="X7" i="26"/>
  <c r="Z7" i="26" s="1"/>
  <c r="D20" i="4"/>
  <c r="I4" i="25"/>
  <c r="H4" i="25"/>
  <c r="G4" i="25"/>
  <c r="J4" i="25" s="1"/>
  <c r="F4" i="25"/>
  <c r="I4" i="24"/>
  <c r="H4" i="24"/>
  <c r="G4" i="24"/>
  <c r="F4" i="24"/>
  <c r="I4" i="23"/>
  <c r="H4" i="23"/>
  <c r="G4" i="23"/>
  <c r="F4" i="23"/>
  <c r="I4" i="22"/>
  <c r="H4" i="22"/>
  <c r="G4" i="22"/>
  <c r="F4" i="22"/>
  <c r="J4" i="22" s="1"/>
  <c r="I4" i="21"/>
  <c r="H4" i="21"/>
  <c r="G4" i="21"/>
  <c r="F4" i="21"/>
  <c r="I4" i="20"/>
  <c r="H4" i="20"/>
  <c r="G4" i="20"/>
  <c r="F4" i="20"/>
  <c r="J4" i="20" s="1"/>
  <c r="I4" i="18"/>
  <c r="H4" i="18"/>
  <c r="G4" i="18"/>
  <c r="F4" i="18"/>
  <c r="J4" i="18" s="1"/>
  <c r="I4" i="17"/>
  <c r="H4" i="17"/>
  <c r="G4" i="17"/>
  <c r="F4" i="17"/>
  <c r="I4" i="16"/>
  <c r="J4" i="16" s="1"/>
  <c r="H4" i="16"/>
  <c r="G4" i="16"/>
  <c r="F4" i="16"/>
  <c r="I4" i="15"/>
  <c r="H4" i="15"/>
  <c r="G4" i="15"/>
  <c r="J4" i="15" s="1"/>
  <c r="F4" i="15"/>
  <c r="I4" i="14"/>
  <c r="H4" i="14"/>
  <c r="G4" i="14"/>
  <c r="F4" i="14"/>
  <c r="I4" i="13"/>
  <c r="H4" i="13"/>
  <c r="G4" i="13"/>
  <c r="F4" i="13"/>
  <c r="I4" i="12"/>
  <c r="H4" i="12"/>
  <c r="G4" i="12"/>
  <c r="F4" i="12"/>
  <c r="I4" i="10"/>
  <c r="H4" i="10"/>
  <c r="G4" i="10"/>
  <c r="F4" i="10"/>
  <c r="I4" i="7"/>
  <c r="H4" i="7"/>
  <c r="G4" i="7"/>
  <c r="F4" i="7"/>
  <c r="I4" i="9"/>
  <c r="H4" i="9"/>
  <c r="G4" i="9"/>
  <c r="F4" i="9"/>
  <c r="I4" i="6"/>
  <c r="H4" i="6"/>
  <c r="G4" i="6"/>
  <c r="F4" i="6"/>
  <c r="I4" i="4"/>
  <c r="H4" i="4"/>
  <c r="G4" i="4"/>
  <c r="F4" i="4"/>
  <c r="G4" i="3"/>
  <c r="F4" i="3"/>
  <c r="I4" i="2"/>
  <c r="H4" i="2"/>
  <c r="G4" i="2"/>
  <c r="F4" i="2"/>
  <c r="R2" i="26"/>
  <c r="W2" i="26" s="1"/>
  <c r="Y2" i="26" s="1"/>
  <c r="U2" i="26"/>
  <c r="V2" i="26"/>
  <c r="R3" i="26"/>
  <c r="R22" i="26" s="1"/>
  <c r="U3" i="26"/>
  <c r="R4" i="26"/>
  <c r="V4" i="26" s="1"/>
  <c r="U4" i="26"/>
  <c r="R5" i="26"/>
  <c r="U5" i="26"/>
  <c r="V5" i="26"/>
  <c r="R6" i="26"/>
  <c r="U6" i="26"/>
  <c r="W6" i="26"/>
  <c r="Y6" i="26" s="1"/>
  <c r="R7" i="26"/>
  <c r="U7" i="26"/>
  <c r="V7" i="26"/>
  <c r="R8" i="26"/>
  <c r="U8" i="26"/>
  <c r="V8" i="26"/>
  <c r="R9" i="26"/>
  <c r="U9" i="26"/>
  <c r="V9" i="26"/>
  <c r="R10" i="26"/>
  <c r="V10" i="26" s="1"/>
  <c r="U10" i="26"/>
  <c r="R11" i="26"/>
  <c r="V11" i="26" s="1"/>
  <c r="U11" i="26"/>
  <c r="R12" i="26"/>
  <c r="W12" i="26" s="1"/>
  <c r="Y12" i="26" s="1"/>
  <c r="U12" i="26"/>
  <c r="V12" i="26"/>
  <c r="R13" i="26"/>
  <c r="W13" i="26" s="1"/>
  <c r="Y13" i="26" s="1"/>
  <c r="U13" i="26"/>
  <c r="V13" i="26"/>
  <c r="R14" i="26"/>
  <c r="V14" i="26" s="1"/>
  <c r="U14" i="26"/>
  <c r="R15" i="26"/>
  <c r="V15" i="26" s="1"/>
  <c r="U15" i="26"/>
  <c r="R16" i="26"/>
  <c r="W16" i="26" s="1"/>
  <c r="Y16" i="26" s="1"/>
  <c r="U16" i="26"/>
  <c r="V16" i="26"/>
  <c r="R17" i="26"/>
  <c r="U17" i="26"/>
  <c r="V17" i="26"/>
  <c r="R18" i="26"/>
  <c r="U18" i="26"/>
  <c r="V18" i="26"/>
  <c r="R19" i="26"/>
  <c r="V19" i="26" s="1"/>
  <c r="U19" i="26"/>
  <c r="R20" i="26"/>
  <c r="V20" i="26" s="1"/>
  <c r="U20" i="26"/>
  <c r="R21" i="26"/>
  <c r="U21" i="26"/>
  <c r="V21" i="26"/>
  <c r="N22" i="26"/>
  <c r="O22" i="26"/>
  <c r="P22" i="26"/>
  <c r="Q22" i="26"/>
  <c r="S22" i="26"/>
  <c r="T22" i="26"/>
  <c r="L18" i="6"/>
  <c r="K18" i="6"/>
  <c r="I18" i="6"/>
  <c r="H18" i="6"/>
  <c r="G18" i="6"/>
  <c r="F18" i="6"/>
  <c r="L18" i="4"/>
  <c r="K18" i="4"/>
  <c r="I18" i="4"/>
  <c r="H18" i="4"/>
  <c r="G18" i="4"/>
  <c r="F18" i="4"/>
  <c r="L18" i="3"/>
  <c r="K18" i="3"/>
  <c r="I18" i="3"/>
  <c r="H18" i="3"/>
  <c r="G18" i="3"/>
  <c r="F18" i="3"/>
  <c r="L18" i="2"/>
  <c r="K18" i="2"/>
  <c r="I18" i="2"/>
  <c r="H18" i="2"/>
  <c r="G18" i="2"/>
  <c r="F18" i="2"/>
  <c r="L18" i="7"/>
  <c r="K18" i="7"/>
  <c r="I18" i="7"/>
  <c r="H18" i="7"/>
  <c r="G18" i="7"/>
  <c r="F18" i="7"/>
  <c r="J17" i="7"/>
  <c r="J15" i="7"/>
  <c r="O14" i="7"/>
  <c r="J13" i="7"/>
  <c r="J11" i="7"/>
  <c r="O10" i="7"/>
  <c r="J9" i="7"/>
  <c r="I5" i="7"/>
  <c r="J7" i="7"/>
  <c r="V17" i="7"/>
  <c r="V16" i="7"/>
  <c r="V15" i="7"/>
  <c r="V14" i="7"/>
  <c r="V13" i="7"/>
  <c r="V12" i="7"/>
  <c r="V11" i="7"/>
  <c r="V10" i="7"/>
  <c r="V9" i="7"/>
  <c r="V8" i="7"/>
  <c r="V7" i="7"/>
  <c r="J4" i="7"/>
  <c r="G5" i="7"/>
  <c r="H5" i="7"/>
  <c r="K5" i="7"/>
  <c r="L5" i="7"/>
  <c r="J8" i="7"/>
  <c r="O8" i="7"/>
  <c r="J12" i="7"/>
  <c r="O12" i="7"/>
  <c r="O13" i="7"/>
  <c r="J14" i="7"/>
  <c r="J16" i="7"/>
  <c r="O16" i="7"/>
  <c r="V17" i="6"/>
  <c r="V16" i="6"/>
  <c r="V15" i="6"/>
  <c r="V14" i="6"/>
  <c r="V13" i="6"/>
  <c r="V12" i="6"/>
  <c r="V11" i="6"/>
  <c r="V10" i="6"/>
  <c r="V9" i="6"/>
  <c r="V8" i="6"/>
  <c r="V7" i="6"/>
  <c r="V17" i="4"/>
  <c r="V16" i="4"/>
  <c r="V15" i="4"/>
  <c r="V14" i="4"/>
  <c r="V13" i="4"/>
  <c r="V12" i="4"/>
  <c r="V11" i="4"/>
  <c r="V10" i="4"/>
  <c r="V9" i="4"/>
  <c r="V8" i="4"/>
  <c r="V7" i="4"/>
  <c r="V17" i="3"/>
  <c r="V16" i="3"/>
  <c r="V15" i="3"/>
  <c r="V14" i="3"/>
  <c r="V13" i="3"/>
  <c r="V12" i="3"/>
  <c r="V11" i="3"/>
  <c r="V10" i="3"/>
  <c r="V9" i="3"/>
  <c r="V8" i="3"/>
  <c r="V7" i="3"/>
  <c r="V17" i="2"/>
  <c r="V16" i="2"/>
  <c r="V15" i="2"/>
  <c r="V14" i="2"/>
  <c r="V13" i="2"/>
  <c r="V12" i="2"/>
  <c r="V11" i="2"/>
  <c r="V10" i="2"/>
  <c r="V9" i="2"/>
  <c r="V8" i="2"/>
  <c r="V7" i="2"/>
  <c r="V17" i="23"/>
  <c r="E20" i="23"/>
  <c r="V17" i="25"/>
  <c r="V16" i="25"/>
  <c r="V15" i="25"/>
  <c r="V14" i="25"/>
  <c r="V13" i="25"/>
  <c r="V12" i="25"/>
  <c r="V11" i="25"/>
  <c r="V10" i="25"/>
  <c r="V9" i="25"/>
  <c r="V8" i="25"/>
  <c r="V7" i="25"/>
  <c r="L1" i="25"/>
  <c r="V17" i="24"/>
  <c r="V16" i="24"/>
  <c r="V15" i="24"/>
  <c r="V14" i="24"/>
  <c r="V13" i="24"/>
  <c r="V12" i="24"/>
  <c r="V11" i="24"/>
  <c r="V10" i="24"/>
  <c r="V9" i="24"/>
  <c r="V8" i="24"/>
  <c r="V7" i="24"/>
  <c r="L1" i="24"/>
  <c r="K1" i="24"/>
  <c r="V16" i="23"/>
  <c r="V15" i="23"/>
  <c r="V14" i="23"/>
  <c r="V13" i="23"/>
  <c r="V12" i="23"/>
  <c r="V11" i="23"/>
  <c r="V10" i="23"/>
  <c r="V9" i="23"/>
  <c r="V8" i="23"/>
  <c r="V7" i="23"/>
  <c r="J4" i="23"/>
  <c r="L1" i="23"/>
  <c r="K1" i="23"/>
  <c r="V17" i="22"/>
  <c r="V16" i="22"/>
  <c r="V15" i="22"/>
  <c r="V14" i="22"/>
  <c r="V13" i="22"/>
  <c r="V12" i="22"/>
  <c r="V11" i="22"/>
  <c r="V10" i="22"/>
  <c r="V9" i="22"/>
  <c r="V8" i="22"/>
  <c r="V7" i="22"/>
  <c r="L1" i="22"/>
  <c r="K1" i="22"/>
  <c r="V17" i="21"/>
  <c r="V16" i="21"/>
  <c r="V15" i="21"/>
  <c r="V14" i="21"/>
  <c r="V13" i="21"/>
  <c r="V12" i="21"/>
  <c r="V11" i="21"/>
  <c r="V10" i="21"/>
  <c r="V9" i="21"/>
  <c r="V8" i="21"/>
  <c r="V7" i="21"/>
  <c r="J4" i="21"/>
  <c r="L1" i="21"/>
  <c r="K1" i="21"/>
  <c r="V17" i="20"/>
  <c r="V16" i="20"/>
  <c r="V15" i="20"/>
  <c r="V14" i="20"/>
  <c r="V13" i="20"/>
  <c r="V12" i="20"/>
  <c r="V11" i="20"/>
  <c r="V10" i="20"/>
  <c r="V9" i="20"/>
  <c r="V8" i="20"/>
  <c r="V7" i="20"/>
  <c r="L1" i="20"/>
  <c r="K1" i="20"/>
  <c r="V17" i="18"/>
  <c r="V16" i="18"/>
  <c r="V15" i="18"/>
  <c r="V14" i="18"/>
  <c r="V13" i="18"/>
  <c r="V12" i="18"/>
  <c r="V11" i="18"/>
  <c r="V10" i="18"/>
  <c r="V9" i="18"/>
  <c r="V8" i="18"/>
  <c r="V7" i="18"/>
  <c r="L1" i="18"/>
  <c r="K1" i="18"/>
  <c r="V17" i="17"/>
  <c r="V16" i="17"/>
  <c r="V15" i="17"/>
  <c r="V14" i="17"/>
  <c r="V13" i="17"/>
  <c r="V12" i="17"/>
  <c r="V11" i="17"/>
  <c r="V10" i="17"/>
  <c r="V9" i="17"/>
  <c r="V8" i="17"/>
  <c r="V7" i="17"/>
  <c r="J4" i="17"/>
  <c r="L1" i="17"/>
  <c r="K1" i="17"/>
  <c r="V17" i="16"/>
  <c r="V16" i="16"/>
  <c r="V15" i="16"/>
  <c r="V14" i="16"/>
  <c r="V13" i="16"/>
  <c r="V12" i="16"/>
  <c r="V11" i="16"/>
  <c r="V10" i="16"/>
  <c r="V9" i="16"/>
  <c r="V8" i="16"/>
  <c r="V7" i="16"/>
  <c r="L1" i="16"/>
  <c r="K1" i="16"/>
  <c r="V17" i="15"/>
  <c r="V16" i="15"/>
  <c r="V15" i="15"/>
  <c r="V14" i="15"/>
  <c r="V13" i="15"/>
  <c r="V12" i="15"/>
  <c r="V11" i="15"/>
  <c r="V10" i="15"/>
  <c r="V9" i="15"/>
  <c r="V8" i="15"/>
  <c r="V7" i="15"/>
  <c r="L1" i="15"/>
  <c r="K1" i="15"/>
  <c r="V17" i="14"/>
  <c r="V16" i="14"/>
  <c r="V15" i="14"/>
  <c r="V14" i="14"/>
  <c r="V13" i="14"/>
  <c r="V12" i="14"/>
  <c r="V11" i="14"/>
  <c r="V10" i="14"/>
  <c r="V9" i="14"/>
  <c r="V8" i="14"/>
  <c r="V7" i="14"/>
  <c r="J4" i="14"/>
  <c r="L1" i="14"/>
  <c r="K1" i="14"/>
  <c r="V17" i="13"/>
  <c r="V16" i="13"/>
  <c r="V15" i="13"/>
  <c r="V14" i="13"/>
  <c r="V13" i="13"/>
  <c r="V12" i="13"/>
  <c r="V11" i="13"/>
  <c r="V10" i="13"/>
  <c r="V9" i="13"/>
  <c r="V8" i="13"/>
  <c r="V7" i="13"/>
  <c r="J4" i="13"/>
  <c r="L1" i="13"/>
  <c r="V17" i="12"/>
  <c r="V16" i="12"/>
  <c r="V15" i="12"/>
  <c r="V14" i="12"/>
  <c r="V13" i="12"/>
  <c r="V12" i="12"/>
  <c r="V11" i="12"/>
  <c r="V10" i="12"/>
  <c r="V9" i="12"/>
  <c r="V8" i="12"/>
  <c r="V7" i="12"/>
  <c r="J4" i="12"/>
  <c r="V17" i="10"/>
  <c r="V16" i="10"/>
  <c r="V15" i="10"/>
  <c r="V14" i="10"/>
  <c r="V13" i="10"/>
  <c r="V12" i="10"/>
  <c r="V11" i="10"/>
  <c r="V10" i="10"/>
  <c r="V9" i="10"/>
  <c r="V8" i="10"/>
  <c r="V7" i="10"/>
  <c r="V17" i="9"/>
  <c r="V16" i="9"/>
  <c r="V15" i="9"/>
  <c r="V14" i="9"/>
  <c r="V13" i="9"/>
  <c r="V12" i="9"/>
  <c r="V11" i="9"/>
  <c r="V10" i="9"/>
  <c r="V9" i="9"/>
  <c r="V8" i="9"/>
  <c r="V7" i="9"/>
  <c r="F5" i="3"/>
  <c r="G5" i="3"/>
  <c r="I5" i="3"/>
  <c r="K5" i="6"/>
  <c r="L5" i="6"/>
  <c r="K5" i="2"/>
  <c r="L5" i="2"/>
  <c r="K5" i="3"/>
  <c r="L5" i="3"/>
  <c r="K5" i="4"/>
  <c r="L5" i="4"/>
  <c r="I5" i="6"/>
  <c r="H5" i="6"/>
  <c r="G5" i="6"/>
  <c r="F5" i="6"/>
  <c r="I5" i="2"/>
  <c r="I5" i="4"/>
  <c r="H5" i="4"/>
  <c r="G5" i="4"/>
  <c r="F5" i="4"/>
  <c r="F5" i="2"/>
  <c r="G5" i="2"/>
  <c r="H5" i="2"/>
  <c r="D20" i="6"/>
  <c r="O17" i="6"/>
  <c r="J17" i="6"/>
  <c r="O16" i="6"/>
  <c r="J16" i="6"/>
  <c r="O15" i="6"/>
  <c r="J15" i="6"/>
  <c r="O14" i="6"/>
  <c r="J14" i="6"/>
  <c r="O13" i="6"/>
  <c r="J13" i="6"/>
  <c r="O12" i="6"/>
  <c r="N12" i="6" s="1"/>
  <c r="J12" i="6"/>
  <c r="O11" i="6"/>
  <c r="J11" i="6"/>
  <c r="O10" i="6"/>
  <c r="J10" i="6"/>
  <c r="O9" i="6"/>
  <c r="N9" i="6"/>
  <c r="J9" i="6"/>
  <c r="O8" i="6"/>
  <c r="U8" i="6" s="1"/>
  <c r="J8" i="6"/>
  <c r="O7" i="6"/>
  <c r="M7" i="6"/>
  <c r="Q7" i="6" s="1"/>
  <c r="J7" i="6"/>
  <c r="J18" i="6" s="1"/>
  <c r="M7" i="4"/>
  <c r="O26" i="27" s="1"/>
  <c r="O17" i="4"/>
  <c r="O16" i="4"/>
  <c r="O15" i="4"/>
  <c r="O14" i="4"/>
  <c r="O13" i="4"/>
  <c r="O12" i="4"/>
  <c r="O11" i="4"/>
  <c r="O10" i="4"/>
  <c r="O9" i="4"/>
  <c r="Q28" i="27" s="1"/>
  <c r="W28" i="27" s="1"/>
  <c r="O8" i="4"/>
  <c r="Q27" i="27" s="1"/>
  <c r="W27" i="27" s="1"/>
  <c r="O7" i="4"/>
  <c r="Q26" i="27" s="1"/>
  <c r="W26" i="27" s="1"/>
  <c r="M7" i="3"/>
  <c r="Q7" i="3" s="1"/>
  <c r="O17" i="3"/>
  <c r="O16" i="3"/>
  <c r="O15" i="3"/>
  <c r="O14" i="3"/>
  <c r="O13" i="3"/>
  <c r="O12" i="3"/>
  <c r="O11" i="3"/>
  <c r="O10" i="3"/>
  <c r="O9" i="3"/>
  <c r="O8" i="3"/>
  <c r="O7" i="3"/>
  <c r="L13" i="5"/>
  <c r="L12" i="5"/>
  <c r="L11" i="5"/>
  <c r="L10" i="5"/>
  <c r="L9" i="5"/>
  <c r="L8" i="5"/>
  <c r="L7" i="5"/>
  <c r="L6" i="5"/>
  <c r="L5" i="5"/>
  <c r="L4" i="5"/>
  <c r="L3" i="5"/>
  <c r="O8" i="2"/>
  <c r="O9" i="2"/>
  <c r="O10" i="2"/>
  <c r="O11" i="2"/>
  <c r="U11" i="2" s="1"/>
  <c r="O12" i="2"/>
  <c r="M12" i="2" s="1"/>
  <c r="O13" i="2"/>
  <c r="O14" i="2"/>
  <c r="O15" i="2"/>
  <c r="N15" i="2" s="1"/>
  <c r="O16" i="2"/>
  <c r="O17" i="2"/>
  <c r="M17" i="2" s="1"/>
  <c r="N7" i="2"/>
  <c r="E13" i="5"/>
  <c r="D13" i="5"/>
  <c r="C13" i="5"/>
  <c r="B13" i="5"/>
  <c r="K12" i="5"/>
  <c r="J12" i="5"/>
  <c r="K11" i="5"/>
  <c r="J11" i="5"/>
  <c r="K10" i="5"/>
  <c r="J10" i="5"/>
  <c r="K9" i="5"/>
  <c r="J9" i="5"/>
  <c r="K8" i="5"/>
  <c r="J8" i="5"/>
  <c r="K7" i="5"/>
  <c r="J7" i="5"/>
  <c r="K6" i="5"/>
  <c r="J6" i="5"/>
  <c r="K5" i="5"/>
  <c r="J5" i="5"/>
  <c r="K4" i="5"/>
  <c r="J4" i="5"/>
  <c r="K3" i="5"/>
  <c r="J3" i="5"/>
  <c r="A15" i="5"/>
  <c r="F12" i="5"/>
  <c r="F6" i="5"/>
  <c r="F4" i="5"/>
  <c r="F3" i="5"/>
  <c r="F5" i="5"/>
  <c r="F7" i="5"/>
  <c r="F8" i="5"/>
  <c r="F9" i="5"/>
  <c r="F10" i="5"/>
  <c r="F11" i="5"/>
  <c r="F2" i="5"/>
  <c r="J17" i="4"/>
  <c r="J16" i="4"/>
  <c r="J15" i="4"/>
  <c r="J14" i="4"/>
  <c r="J13" i="4"/>
  <c r="J12" i="4"/>
  <c r="J11" i="4"/>
  <c r="J10" i="4"/>
  <c r="J9" i="4"/>
  <c r="J8" i="4"/>
  <c r="J7" i="4"/>
  <c r="D20" i="2"/>
  <c r="D20" i="3"/>
  <c r="Q7" i="2"/>
  <c r="J17" i="2"/>
  <c r="J16" i="2"/>
  <c r="J15" i="2"/>
  <c r="J14" i="2"/>
  <c r="J13" i="2"/>
  <c r="J12" i="2"/>
  <c r="J11" i="2"/>
  <c r="J10" i="2"/>
  <c r="J9" i="2"/>
  <c r="J8" i="2"/>
  <c r="J8" i="3"/>
  <c r="J9" i="3"/>
  <c r="J10" i="3"/>
  <c r="J11" i="3"/>
  <c r="J12" i="3"/>
  <c r="J13" i="3"/>
  <c r="J14" i="3"/>
  <c r="J15" i="3"/>
  <c r="J16" i="3"/>
  <c r="J17" i="3"/>
  <c r="AO21" i="33" l="1"/>
  <c r="D21" i="35" s="1"/>
  <c r="J18" i="3"/>
  <c r="U17" i="3"/>
  <c r="Q25" i="27"/>
  <c r="W25" i="27" s="1"/>
  <c r="Q17" i="27"/>
  <c r="U9" i="3"/>
  <c r="Q18" i="27"/>
  <c r="W18" i="27" s="1"/>
  <c r="U10" i="3"/>
  <c r="Q19" i="27"/>
  <c r="W19" i="27" s="1"/>
  <c r="U11" i="3"/>
  <c r="U16" i="3"/>
  <c r="Q24" i="27"/>
  <c r="W24" i="27" s="1"/>
  <c r="U12" i="3"/>
  <c r="Q20" i="27"/>
  <c r="W20" i="27" s="1"/>
  <c r="U14" i="3"/>
  <c r="Q22" i="27"/>
  <c r="W22" i="27" s="1"/>
  <c r="U13" i="3"/>
  <c r="Q21" i="27"/>
  <c r="W21" i="27" s="1"/>
  <c r="Q23" i="27"/>
  <c r="W23" i="27" s="1"/>
  <c r="U15" i="3"/>
  <c r="AO19" i="33"/>
  <c r="D19" i="35" s="1"/>
  <c r="AO9" i="33"/>
  <c r="D9" i="35" s="1"/>
  <c r="AO17" i="33"/>
  <c r="D17" i="35" s="1"/>
  <c r="AO12" i="33"/>
  <c r="D12" i="35" s="1"/>
  <c r="AO8" i="33"/>
  <c r="D8" i="35" s="1"/>
  <c r="AO15" i="33"/>
  <c r="D15" i="35" s="1"/>
  <c r="N10" i="7"/>
  <c r="U10" i="7"/>
  <c r="M14" i="7"/>
  <c r="U14" i="7"/>
  <c r="M16" i="7"/>
  <c r="U16" i="7"/>
  <c r="N13" i="7"/>
  <c r="U13" i="7"/>
  <c r="M12" i="7"/>
  <c r="Q12" i="7" s="1"/>
  <c r="U12" i="7"/>
  <c r="M8" i="7"/>
  <c r="U8" i="7"/>
  <c r="N15" i="6"/>
  <c r="U15" i="6"/>
  <c r="M9" i="6"/>
  <c r="U9" i="6"/>
  <c r="N14" i="6"/>
  <c r="U14" i="6"/>
  <c r="N17" i="6"/>
  <c r="U17" i="6"/>
  <c r="N10" i="6"/>
  <c r="U10" i="6"/>
  <c r="N16" i="6"/>
  <c r="U16" i="6"/>
  <c r="M11" i="6"/>
  <c r="Q11" i="6" s="1"/>
  <c r="U11" i="6"/>
  <c r="M12" i="6"/>
  <c r="P12" i="6" s="1"/>
  <c r="U12" i="6"/>
  <c r="N13" i="6"/>
  <c r="U13" i="6"/>
  <c r="E15" i="1"/>
  <c r="E15" i="30"/>
  <c r="O18" i="6"/>
  <c r="U7" i="6"/>
  <c r="E14" i="1"/>
  <c r="E14" i="30"/>
  <c r="N8" i="4"/>
  <c r="P27" i="27" s="1"/>
  <c r="U8" i="4"/>
  <c r="M9" i="4"/>
  <c r="U9" i="4"/>
  <c r="N11" i="4"/>
  <c r="U11" i="4"/>
  <c r="N12" i="4"/>
  <c r="U12" i="4"/>
  <c r="N10" i="4"/>
  <c r="U10" i="4"/>
  <c r="N13" i="4"/>
  <c r="U13" i="4"/>
  <c r="N14" i="4"/>
  <c r="U14" i="4"/>
  <c r="M15" i="4"/>
  <c r="Q15" i="4" s="1"/>
  <c r="U15" i="4"/>
  <c r="N16" i="4"/>
  <c r="U16" i="4"/>
  <c r="N17" i="4"/>
  <c r="U17" i="4"/>
  <c r="O18" i="4"/>
  <c r="U7" i="4"/>
  <c r="M10" i="3"/>
  <c r="N14" i="3"/>
  <c r="P22" i="27" s="1"/>
  <c r="N13" i="3"/>
  <c r="P21" i="27" s="1"/>
  <c r="N15" i="3"/>
  <c r="P23" i="27" s="1"/>
  <c r="N11" i="3"/>
  <c r="P19" i="27" s="1"/>
  <c r="M16" i="3"/>
  <c r="O24" i="27" s="1"/>
  <c r="N17" i="3"/>
  <c r="P25" i="27" s="1"/>
  <c r="N10" i="3"/>
  <c r="P18" i="27" s="1"/>
  <c r="M13" i="3"/>
  <c r="N16" i="3"/>
  <c r="P24" i="27" s="1"/>
  <c r="N8" i="3"/>
  <c r="N9" i="3"/>
  <c r="P17" i="27" s="1"/>
  <c r="E2" i="1"/>
  <c r="E2" i="30"/>
  <c r="O18" i="3"/>
  <c r="E8" i="1"/>
  <c r="E8" i="30"/>
  <c r="M16" i="2"/>
  <c r="U16" i="2"/>
  <c r="N14" i="2"/>
  <c r="U14" i="2"/>
  <c r="N12" i="2"/>
  <c r="U12" i="2"/>
  <c r="M10" i="2"/>
  <c r="U10" i="2"/>
  <c r="M15" i="2"/>
  <c r="U15" i="2"/>
  <c r="M9" i="2"/>
  <c r="U9" i="2"/>
  <c r="N11" i="2"/>
  <c r="J18" i="2"/>
  <c r="M13" i="2"/>
  <c r="U13" i="2"/>
  <c r="N8" i="2"/>
  <c r="U8" i="2"/>
  <c r="N17" i="2"/>
  <c r="U17" i="2"/>
  <c r="S18" i="18"/>
  <c r="S18" i="17"/>
  <c r="S18" i="16"/>
  <c r="S18" i="15"/>
  <c r="S18" i="14"/>
  <c r="S18" i="13"/>
  <c r="S18" i="12"/>
  <c r="T18" i="12"/>
  <c r="T18" i="2"/>
  <c r="S18" i="10"/>
  <c r="S18" i="7"/>
  <c r="S18" i="9"/>
  <c r="S18" i="6"/>
  <c r="S18" i="4"/>
  <c r="S18" i="3"/>
  <c r="S18" i="2"/>
  <c r="J4" i="24"/>
  <c r="O5" i="6"/>
  <c r="N15" i="4"/>
  <c r="J5" i="4"/>
  <c r="J18" i="4"/>
  <c r="M17" i="3"/>
  <c r="N7" i="3"/>
  <c r="M8" i="3"/>
  <c r="Q8" i="3" s="1"/>
  <c r="M9" i="3"/>
  <c r="O17" i="27" s="1"/>
  <c r="B20" i="3"/>
  <c r="C2" i="30" s="1"/>
  <c r="M11" i="3"/>
  <c r="M14" i="3"/>
  <c r="B20" i="2"/>
  <c r="C8" i="30" s="1"/>
  <c r="N13" i="2"/>
  <c r="N16" i="2"/>
  <c r="O5" i="2"/>
  <c r="D8" i="30"/>
  <c r="F8" i="30" s="1"/>
  <c r="J5" i="2"/>
  <c r="M14" i="2"/>
  <c r="O18" i="2"/>
  <c r="X13" i="26"/>
  <c r="Z13" i="26" s="1"/>
  <c r="W15" i="26"/>
  <c r="Y15" i="26" s="1"/>
  <c r="W8" i="26"/>
  <c r="Y8" i="26" s="1"/>
  <c r="W17" i="26"/>
  <c r="Y17" i="26" s="1"/>
  <c r="W10" i="26"/>
  <c r="Y10" i="26" s="1"/>
  <c r="W19" i="26"/>
  <c r="Y19" i="26" s="1"/>
  <c r="Y3" i="26"/>
  <c r="V3" i="26"/>
  <c r="X10" i="26" s="1"/>
  <c r="Z10" i="26" s="1"/>
  <c r="W21" i="26"/>
  <c r="Y21" i="26" s="1"/>
  <c r="W5" i="26"/>
  <c r="Y5" i="26" s="1"/>
  <c r="W14" i="26"/>
  <c r="Y14" i="26" s="1"/>
  <c r="W7" i="26"/>
  <c r="Y7" i="26" s="1"/>
  <c r="W9" i="26"/>
  <c r="Y9" i="26" s="1"/>
  <c r="W18" i="26"/>
  <c r="Y18" i="26" s="1"/>
  <c r="W11" i="26"/>
  <c r="Y11" i="26" s="1"/>
  <c r="W20" i="26"/>
  <c r="Y20" i="26" s="1"/>
  <c r="W4" i="26"/>
  <c r="Y4" i="26" s="1"/>
  <c r="H18" i="25"/>
  <c r="K18" i="25"/>
  <c r="I18" i="23"/>
  <c r="L18" i="25"/>
  <c r="F18" i="25"/>
  <c r="I18" i="25"/>
  <c r="H18" i="24"/>
  <c r="G18" i="25"/>
  <c r="L18" i="22"/>
  <c r="F18" i="23"/>
  <c r="F18" i="24"/>
  <c r="K18" i="24"/>
  <c r="G18" i="24"/>
  <c r="L18" i="24"/>
  <c r="I18" i="24"/>
  <c r="K18" i="22"/>
  <c r="H18" i="23"/>
  <c r="K18" i="23"/>
  <c r="G18" i="23"/>
  <c r="I18" i="22"/>
  <c r="L18" i="23"/>
  <c r="F18" i="22"/>
  <c r="G18" i="22"/>
  <c r="H18" i="22"/>
  <c r="F18" i="21"/>
  <c r="G18" i="21"/>
  <c r="H18" i="21"/>
  <c r="K18" i="21"/>
  <c r="I18" i="21"/>
  <c r="L18" i="21"/>
  <c r="K18" i="20"/>
  <c r="L18" i="20"/>
  <c r="F18" i="20"/>
  <c r="G18" i="20"/>
  <c r="H18" i="20"/>
  <c r="I18" i="20"/>
  <c r="F18" i="18"/>
  <c r="G18" i="18"/>
  <c r="H18" i="18"/>
  <c r="I18" i="18"/>
  <c r="K18" i="18"/>
  <c r="L18" i="18"/>
  <c r="K18" i="16"/>
  <c r="F18" i="17"/>
  <c r="I18" i="17"/>
  <c r="H18" i="17"/>
  <c r="K18" i="17"/>
  <c r="L18" i="17"/>
  <c r="G18" i="17"/>
  <c r="L18" i="16"/>
  <c r="F18" i="16"/>
  <c r="G18" i="16"/>
  <c r="H18" i="16"/>
  <c r="I18" i="16"/>
  <c r="I18" i="14"/>
  <c r="F18" i="14"/>
  <c r="F18" i="15"/>
  <c r="K18" i="15"/>
  <c r="G18" i="15"/>
  <c r="L18" i="15"/>
  <c r="H18" i="15"/>
  <c r="I18" i="15"/>
  <c r="G18" i="14"/>
  <c r="H18" i="14"/>
  <c r="F18" i="13"/>
  <c r="L18" i="14"/>
  <c r="K18" i="14"/>
  <c r="K18" i="13"/>
  <c r="L18" i="13"/>
  <c r="L5" i="24"/>
  <c r="L5" i="25"/>
  <c r="G18" i="13"/>
  <c r="I18" i="13"/>
  <c r="H18" i="13"/>
  <c r="L5" i="22"/>
  <c r="L5" i="23"/>
  <c r="D20" i="25"/>
  <c r="K5" i="25"/>
  <c r="K5" i="23"/>
  <c r="K5" i="24"/>
  <c r="D20" i="24"/>
  <c r="D20" i="23"/>
  <c r="D20" i="22"/>
  <c r="K5" i="22"/>
  <c r="K5" i="21"/>
  <c r="L5" i="21"/>
  <c r="D20" i="21"/>
  <c r="M7" i="25"/>
  <c r="O11" i="25"/>
  <c r="J15" i="25"/>
  <c r="K5" i="20"/>
  <c r="L5" i="20"/>
  <c r="D20" i="20"/>
  <c r="K5" i="18"/>
  <c r="L5" i="17"/>
  <c r="L5" i="18"/>
  <c r="O7" i="17"/>
  <c r="U7" i="17" s="1"/>
  <c r="O8" i="18"/>
  <c r="O12" i="23"/>
  <c r="J16" i="23"/>
  <c r="G5" i="25"/>
  <c r="O7" i="24"/>
  <c r="U7" i="24" s="1"/>
  <c r="J8" i="25"/>
  <c r="K5" i="16"/>
  <c r="K5" i="17"/>
  <c r="D20" i="18"/>
  <c r="F5" i="25"/>
  <c r="O13" i="25"/>
  <c r="J9" i="24"/>
  <c r="J17" i="24"/>
  <c r="O10" i="25"/>
  <c r="D20" i="16"/>
  <c r="D20" i="17"/>
  <c r="O7" i="25"/>
  <c r="U7" i="25" s="1"/>
  <c r="O11" i="24"/>
  <c r="O15" i="24"/>
  <c r="O12" i="25"/>
  <c r="J16" i="25"/>
  <c r="L5" i="15"/>
  <c r="L5" i="16"/>
  <c r="J7" i="24"/>
  <c r="J12" i="23"/>
  <c r="J11" i="24"/>
  <c r="J12" i="25"/>
  <c r="O9" i="25"/>
  <c r="K5" i="13"/>
  <c r="K5" i="14"/>
  <c r="K5" i="15"/>
  <c r="I5" i="18"/>
  <c r="J15" i="23"/>
  <c r="I5" i="24"/>
  <c r="I5" i="25"/>
  <c r="L18" i="12"/>
  <c r="L5" i="14"/>
  <c r="O10" i="16"/>
  <c r="O11" i="22"/>
  <c r="O15" i="22"/>
  <c r="O8" i="23"/>
  <c r="O16" i="23"/>
  <c r="O9" i="24"/>
  <c r="O13" i="24"/>
  <c r="O17" i="24"/>
  <c r="J10" i="25"/>
  <c r="O14" i="25"/>
  <c r="L5" i="13"/>
  <c r="J11" i="22"/>
  <c r="J14" i="25"/>
  <c r="I5" i="20"/>
  <c r="J13" i="25"/>
  <c r="J15" i="22"/>
  <c r="G5" i="24"/>
  <c r="I5" i="21"/>
  <c r="I5" i="22"/>
  <c r="J13" i="24"/>
  <c r="D20" i="15"/>
  <c r="J8" i="23"/>
  <c r="I5" i="23"/>
  <c r="J15" i="24"/>
  <c r="O8" i="25"/>
  <c r="O16" i="25"/>
  <c r="J9" i="25"/>
  <c r="O17" i="25"/>
  <c r="D20" i="13"/>
  <c r="D20" i="14"/>
  <c r="O8" i="22"/>
  <c r="H5" i="23"/>
  <c r="K18" i="12"/>
  <c r="J7" i="25"/>
  <c r="O15" i="25"/>
  <c r="O11" i="21"/>
  <c r="J17" i="25"/>
  <c r="I5" i="16"/>
  <c r="I5" i="17"/>
  <c r="O16" i="15"/>
  <c r="J13" i="16"/>
  <c r="O17" i="16"/>
  <c r="O10" i="17"/>
  <c r="J7" i="18"/>
  <c r="O7" i="23"/>
  <c r="U7" i="23" s="1"/>
  <c r="O11" i="23"/>
  <c r="O15" i="23"/>
  <c r="J8" i="18"/>
  <c r="H5" i="16"/>
  <c r="H5" i="17"/>
  <c r="H5" i="18"/>
  <c r="H5" i="20"/>
  <c r="H5" i="21"/>
  <c r="H5" i="24"/>
  <c r="J10" i="18"/>
  <c r="M7" i="20"/>
  <c r="O11" i="20"/>
  <c r="O15" i="20"/>
  <c r="H5" i="22"/>
  <c r="O8" i="21"/>
  <c r="O12" i="21"/>
  <c r="Q174" i="27" s="1"/>
  <c r="W174" i="27" s="1"/>
  <c r="H5" i="25"/>
  <c r="I5" i="13"/>
  <c r="J13" i="15"/>
  <c r="M7" i="17"/>
  <c r="O11" i="17"/>
  <c r="J15" i="17"/>
  <c r="J13" i="20"/>
  <c r="O14" i="21"/>
  <c r="O7" i="22"/>
  <c r="U7" i="22" s="1"/>
  <c r="J11" i="25"/>
  <c r="O8" i="17"/>
  <c r="O9" i="18"/>
  <c r="O17" i="18"/>
  <c r="J14" i="20"/>
  <c r="O7" i="21"/>
  <c r="U7" i="21" s="1"/>
  <c r="J11" i="21"/>
  <c r="O15" i="21"/>
  <c r="J8" i="22"/>
  <c r="J9" i="23"/>
  <c r="O13" i="23"/>
  <c r="J17" i="23"/>
  <c r="J10" i="24"/>
  <c r="O14" i="24"/>
  <c r="J7" i="22"/>
  <c r="M7" i="22"/>
  <c r="O15" i="16"/>
  <c r="O12" i="22"/>
  <c r="O16" i="22"/>
  <c r="J8" i="16"/>
  <c r="J9" i="17"/>
  <c r="O17" i="17"/>
  <c r="J16" i="21"/>
  <c r="J10" i="23"/>
  <c r="O8" i="24"/>
  <c r="O12" i="24"/>
  <c r="O16" i="24"/>
  <c r="J16" i="24"/>
  <c r="J15" i="21"/>
  <c r="J11" i="23"/>
  <c r="O17" i="23"/>
  <c r="J12" i="22"/>
  <c r="J12" i="24"/>
  <c r="J14" i="24"/>
  <c r="J9" i="22"/>
  <c r="O13" i="22"/>
  <c r="J17" i="22"/>
  <c r="O14" i="23"/>
  <c r="G5" i="21"/>
  <c r="G5" i="22"/>
  <c r="G5" i="23"/>
  <c r="F5" i="24"/>
  <c r="O9" i="23"/>
  <c r="O10" i="24"/>
  <c r="J16" i="22"/>
  <c r="J8" i="24"/>
  <c r="J7" i="21"/>
  <c r="J7" i="23"/>
  <c r="M7" i="21"/>
  <c r="M7" i="23"/>
  <c r="O7" i="13"/>
  <c r="U7" i="13" s="1"/>
  <c r="J11" i="13"/>
  <c r="O15" i="13"/>
  <c r="O8" i="14"/>
  <c r="O16" i="14"/>
  <c r="O9" i="15"/>
  <c r="O13" i="15"/>
  <c r="O17" i="15"/>
  <c r="J15" i="16"/>
  <c r="J13" i="23"/>
  <c r="O7" i="20"/>
  <c r="U7" i="20" s="1"/>
  <c r="O16" i="21"/>
  <c r="O9" i="22"/>
  <c r="J7" i="20"/>
  <c r="J11" i="20"/>
  <c r="O17" i="22"/>
  <c r="U17" i="22" s="1"/>
  <c r="O7" i="18"/>
  <c r="U7" i="18" s="1"/>
  <c r="O11" i="18"/>
  <c r="O15" i="18"/>
  <c r="O8" i="20"/>
  <c r="O12" i="20"/>
  <c r="O16" i="20"/>
  <c r="O9" i="21"/>
  <c r="O13" i="21"/>
  <c r="O17" i="21"/>
  <c r="O10" i="22"/>
  <c r="O14" i="22"/>
  <c r="J8" i="21"/>
  <c r="O10" i="23"/>
  <c r="O9" i="17"/>
  <c r="J15" i="20"/>
  <c r="J17" i="17"/>
  <c r="J13" i="22"/>
  <c r="F5" i="23"/>
  <c r="J12" i="21"/>
  <c r="J14" i="23"/>
  <c r="M7" i="18"/>
  <c r="O13" i="16"/>
  <c r="J10" i="17"/>
  <c r="J16" i="20"/>
  <c r="J9" i="21"/>
  <c r="J10" i="16"/>
  <c r="O14" i="16"/>
  <c r="J7" i="17"/>
  <c r="J11" i="17"/>
  <c r="O15" i="17"/>
  <c r="O12" i="18"/>
  <c r="O16" i="18"/>
  <c r="O9" i="20"/>
  <c r="O13" i="20"/>
  <c r="U13" i="20" s="1"/>
  <c r="O17" i="20"/>
  <c r="O10" i="21"/>
  <c r="Q172" i="27" s="1"/>
  <c r="W172" i="27" s="1"/>
  <c r="J14" i="21"/>
  <c r="J16" i="15"/>
  <c r="J17" i="21"/>
  <c r="J11" i="18"/>
  <c r="J8" i="20"/>
  <c r="J14" i="22"/>
  <c r="J15" i="18"/>
  <c r="G5" i="20"/>
  <c r="J12" i="20"/>
  <c r="J13" i="21"/>
  <c r="F5" i="22"/>
  <c r="J10" i="22"/>
  <c r="J10" i="21"/>
  <c r="F5" i="21"/>
  <c r="J7" i="13"/>
  <c r="O11" i="13"/>
  <c r="O12" i="14"/>
  <c r="O13" i="14"/>
  <c r="O7" i="16"/>
  <c r="U7" i="16" s="1"/>
  <c r="O11" i="16"/>
  <c r="O16" i="17"/>
  <c r="O13" i="18"/>
  <c r="O10" i="20"/>
  <c r="J12" i="18"/>
  <c r="J14" i="15"/>
  <c r="J7" i="16"/>
  <c r="J11" i="16"/>
  <c r="J8" i="17"/>
  <c r="O12" i="17"/>
  <c r="J9" i="18"/>
  <c r="J13" i="18"/>
  <c r="J17" i="18"/>
  <c r="O14" i="20"/>
  <c r="J9" i="15"/>
  <c r="J16" i="18"/>
  <c r="J14" i="16"/>
  <c r="J9" i="20"/>
  <c r="J17" i="20"/>
  <c r="J8" i="14"/>
  <c r="J17" i="15"/>
  <c r="J16" i="14"/>
  <c r="O14" i="15"/>
  <c r="J12" i="14"/>
  <c r="M7" i="15"/>
  <c r="O11" i="15"/>
  <c r="J15" i="15"/>
  <c r="O8" i="16"/>
  <c r="O12" i="16"/>
  <c r="J16" i="16"/>
  <c r="F5" i="17"/>
  <c r="O13" i="17"/>
  <c r="O10" i="18"/>
  <c r="U10" i="18" s="1"/>
  <c r="O14" i="18"/>
  <c r="M7" i="16"/>
  <c r="F5" i="20"/>
  <c r="J10" i="20"/>
  <c r="H5" i="15"/>
  <c r="O15" i="15"/>
  <c r="J12" i="17"/>
  <c r="I5" i="15"/>
  <c r="G5" i="18"/>
  <c r="J16" i="17"/>
  <c r="G5" i="17"/>
  <c r="O16" i="16"/>
  <c r="U16" i="16" s="1"/>
  <c r="M7" i="14"/>
  <c r="O11" i="14"/>
  <c r="O15" i="14"/>
  <c r="J8" i="15"/>
  <c r="O12" i="15"/>
  <c r="F5" i="16"/>
  <c r="O14" i="17"/>
  <c r="J7" i="15"/>
  <c r="J14" i="18"/>
  <c r="G5" i="15"/>
  <c r="G5" i="16"/>
  <c r="J12" i="16"/>
  <c r="F5" i="18"/>
  <c r="J11" i="15"/>
  <c r="J13" i="17"/>
  <c r="J15" i="14"/>
  <c r="O8" i="15"/>
  <c r="J9" i="16"/>
  <c r="O9" i="16"/>
  <c r="U9" i="16" s="1"/>
  <c r="M7" i="13"/>
  <c r="J15" i="13"/>
  <c r="H5" i="14"/>
  <c r="J7" i="14"/>
  <c r="I5" i="14"/>
  <c r="J17" i="16"/>
  <c r="J14" i="17"/>
  <c r="O9" i="14"/>
  <c r="J13" i="14"/>
  <c r="O17" i="14"/>
  <c r="U17" i="14" s="1"/>
  <c r="J12" i="15"/>
  <c r="O7" i="14"/>
  <c r="U7" i="14" s="1"/>
  <c r="J11" i="14"/>
  <c r="O7" i="15"/>
  <c r="U7" i="15" s="1"/>
  <c r="H5" i="13"/>
  <c r="O8" i="13"/>
  <c r="O12" i="13"/>
  <c r="O16" i="13"/>
  <c r="F5" i="15"/>
  <c r="J12" i="13"/>
  <c r="J10" i="15"/>
  <c r="O9" i="13"/>
  <c r="O13" i="13"/>
  <c r="O17" i="13"/>
  <c r="O10" i="14"/>
  <c r="O14" i="14"/>
  <c r="J17" i="14"/>
  <c r="G5" i="13"/>
  <c r="G5" i="14"/>
  <c r="J9" i="14"/>
  <c r="O10" i="15"/>
  <c r="U10" i="15" s="1"/>
  <c r="J16" i="13"/>
  <c r="J8" i="13"/>
  <c r="F5" i="14"/>
  <c r="J13" i="13"/>
  <c r="J10" i="14"/>
  <c r="F5" i="13"/>
  <c r="O14" i="13"/>
  <c r="J17" i="13"/>
  <c r="J9" i="13"/>
  <c r="J14" i="14"/>
  <c r="H18" i="12"/>
  <c r="J10" i="13"/>
  <c r="O10" i="13"/>
  <c r="U10" i="13" s="1"/>
  <c r="G18" i="12"/>
  <c r="I18" i="12"/>
  <c r="F18" i="12"/>
  <c r="J14" i="13"/>
  <c r="J7" i="12"/>
  <c r="M7" i="12"/>
  <c r="H18" i="10"/>
  <c r="K18" i="10"/>
  <c r="G18" i="10"/>
  <c r="I18" i="10"/>
  <c r="L18" i="10"/>
  <c r="O11" i="7"/>
  <c r="J10" i="7"/>
  <c r="J18" i="7" s="1"/>
  <c r="F5" i="7"/>
  <c r="O17" i="7"/>
  <c r="O9" i="7"/>
  <c r="O15" i="7"/>
  <c r="O7" i="7"/>
  <c r="U7" i="7" s="1"/>
  <c r="M7" i="7"/>
  <c r="K18" i="9"/>
  <c r="L18" i="9"/>
  <c r="O10" i="9"/>
  <c r="O16" i="9"/>
  <c r="J8" i="9"/>
  <c r="G18" i="9"/>
  <c r="O17" i="9"/>
  <c r="O9" i="9"/>
  <c r="J17" i="9"/>
  <c r="J14" i="9"/>
  <c r="F5" i="9"/>
  <c r="O8" i="9"/>
  <c r="O14" i="9"/>
  <c r="F18" i="9"/>
  <c r="H18" i="9"/>
  <c r="O15" i="9"/>
  <c r="J11" i="9"/>
  <c r="O11" i="9"/>
  <c r="Q52" i="27" s="1"/>
  <c r="W52" i="27" s="1"/>
  <c r="I18" i="9"/>
  <c r="I5" i="9"/>
  <c r="L5" i="9"/>
  <c r="D20" i="9"/>
  <c r="J15" i="9"/>
  <c r="J16" i="9"/>
  <c r="K5" i="9"/>
  <c r="J9" i="9"/>
  <c r="J10" i="9"/>
  <c r="O7" i="9"/>
  <c r="U7" i="9" s="1"/>
  <c r="O13" i="9"/>
  <c r="O12" i="9"/>
  <c r="G5" i="9"/>
  <c r="J12" i="9"/>
  <c r="H5" i="9"/>
  <c r="J13" i="9"/>
  <c r="J7" i="9"/>
  <c r="M7" i="9"/>
  <c r="K5" i="10"/>
  <c r="D20" i="10"/>
  <c r="L5" i="10"/>
  <c r="M7" i="10"/>
  <c r="J7" i="10"/>
  <c r="J10" i="10"/>
  <c r="O15" i="10"/>
  <c r="U15" i="10" s="1"/>
  <c r="O11" i="10"/>
  <c r="G5" i="10"/>
  <c r="H5" i="10"/>
  <c r="O7" i="10"/>
  <c r="U7" i="10" s="1"/>
  <c r="I5" i="10"/>
  <c r="O7" i="12"/>
  <c r="U7" i="12" s="1"/>
  <c r="J10" i="12"/>
  <c r="L5" i="12"/>
  <c r="J17" i="12"/>
  <c r="O9" i="12"/>
  <c r="O14" i="12"/>
  <c r="O10" i="12"/>
  <c r="O17" i="12"/>
  <c r="O13" i="12"/>
  <c r="J9" i="12"/>
  <c r="O16" i="12"/>
  <c r="O12" i="12"/>
  <c r="J8" i="12"/>
  <c r="H5" i="12"/>
  <c r="D20" i="12"/>
  <c r="K5" i="12"/>
  <c r="O15" i="12"/>
  <c r="O11" i="12"/>
  <c r="J15" i="12"/>
  <c r="J11" i="12"/>
  <c r="I5" i="12"/>
  <c r="J16" i="12"/>
  <c r="J14" i="12"/>
  <c r="J12" i="12"/>
  <c r="F5" i="12"/>
  <c r="G5" i="12"/>
  <c r="O8" i="12"/>
  <c r="U8" i="12" s="1"/>
  <c r="J13" i="12"/>
  <c r="M13" i="7"/>
  <c r="M10" i="7"/>
  <c r="Q8" i="7"/>
  <c r="Q14" i="7"/>
  <c r="Q16" i="7"/>
  <c r="N12" i="7"/>
  <c r="N14" i="7"/>
  <c r="N16" i="7"/>
  <c r="N8" i="7"/>
  <c r="M15" i="3"/>
  <c r="J5" i="3"/>
  <c r="M12" i="3"/>
  <c r="O20" i="27" s="1"/>
  <c r="N12" i="3"/>
  <c r="P20" i="27" s="1"/>
  <c r="O5" i="3"/>
  <c r="O5" i="4"/>
  <c r="N9" i="4"/>
  <c r="P28" i="27" s="1"/>
  <c r="M12" i="4"/>
  <c r="Q12" i="4" s="1"/>
  <c r="M10" i="4"/>
  <c r="Q10" i="4" s="1"/>
  <c r="M13" i="4"/>
  <c r="M16" i="4"/>
  <c r="N7" i="4"/>
  <c r="P26" i="27" s="1"/>
  <c r="M8" i="4"/>
  <c r="P15" i="4" s="1"/>
  <c r="R34" i="27" s="1"/>
  <c r="M11" i="4"/>
  <c r="M14" i="4"/>
  <c r="M17" i="4"/>
  <c r="Q17" i="4" s="1"/>
  <c r="M15" i="6"/>
  <c r="P15" i="6" s="1"/>
  <c r="N11" i="6"/>
  <c r="J5" i="6"/>
  <c r="N8" i="6"/>
  <c r="M17" i="6"/>
  <c r="Q17" i="6" s="1"/>
  <c r="Q12" i="6"/>
  <c r="M14" i="6"/>
  <c r="Q14" i="6" s="1"/>
  <c r="C20" i="6"/>
  <c r="Q8" i="6"/>
  <c r="Q9" i="6"/>
  <c r="M13" i="6"/>
  <c r="N7" i="6"/>
  <c r="M16" i="6"/>
  <c r="P16" i="6" s="1"/>
  <c r="B20" i="6"/>
  <c r="M10" i="6"/>
  <c r="P7" i="6" s="1"/>
  <c r="N9" i="2"/>
  <c r="J13" i="5"/>
  <c r="K13" i="5"/>
  <c r="N10" i="2"/>
  <c r="M8" i="2"/>
  <c r="M11" i="2"/>
  <c r="G13" i="5"/>
  <c r="Q7" i="4"/>
  <c r="S26" i="27" s="1"/>
  <c r="Q10" i="2"/>
  <c r="Q13" i="2"/>
  <c r="Q15" i="2"/>
  <c r="Q17" i="2"/>
  <c r="Q13" i="3" l="1"/>
  <c r="S21" i="27" s="1"/>
  <c r="O21" i="27"/>
  <c r="Q9" i="4"/>
  <c r="S28" i="27" s="1"/>
  <c r="O28" i="27"/>
  <c r="Q15" i="3"/>
  <c r="S23" i="27" s="1"/>
  <c r="O23" i="27"/>
  <c r="P14" i="3"/>
  <c r="R22" i="27" s="1"/>
  <c r="O22" i="27"/>
  <c r="P13" i="3"/>
  <c r="R21" i="27" s="1"/>
  <c r="O18" i="27"/>
  <c r="Q8" i="4"/>
  <c r="S27" i="27" s="1"/>
  <c r="O27" i="27"/>
  <c r="P11" i="3"/>
  <c r="R19" i="27" s="1"/>
  <c r="O19" i="27"/>
  <c r="P14" i="4"/>
  <c r="R33" i="27" s="1"/>
  <c r="P17" i="3"/>
  <c r="R25" i="27" s="1"/>
  <c r="O25" i="27"/>
  <c r="P13" i="4"/>
  <c r="R32" i="27" s="1"/>
  <c r="E7" i="1"/>
  <c r="E7" i="30"/>
  <c r="N11" i="25"/>
  <c r="U11" i="25"/>
  <c r="N12" i="25"/>
  <c r="U12" i="25"/>
  <c r="M17" i="25"/>
  <c r="U17" i="25"/>
  <c r="M16" i="25"/>
  <c r="U16" i="25"/>
  <c r="N14" i="25"/>
  <c r="U14" i="25"/>
  <c r="N8" i="25"/>
  <c r="U8" i="25"/>
  <c r="M10" i="25"/>
  <c r="Q10" i="25" s="1"/>
  <c r="U10" i="25"/>
  <c r="M9" i="25"/>
  <c r="Q9" i="25" s="1"/>
  <c r="U9" i="25"/>
  <c r="N13" i="25"/>
  <c r="U13" i="25"/>
  <c r="M15" i="25"/>
  <c r="Q15" i="25" s="1"/>
  <c r="U15" i="25"/>
  <c r="Q7" i="25"/>
  <c r="E21" i="1"/>
  <c r="E21" i="30"/>
  <c r="N17" i="24"/>
  <c r="U17" i="24"/>
  <c r="N10" i="24"/>
  <c r="U10" i="24"/>
  <c r="N16" i="24"/>
  <c r="U16" i="24"/>
  <c r="N15" i="24"/>
  <c r="U15" i="24"/>
  <c r="N11" i="24"/>
  <c r="U11" i="24"/>
  <c r="N8" i="24"/>
  <c r="U8" i="24"/>
  <c r="N12" i="24"/>
  <c r="U12" i="24"/>
  <c r="M13" i="24"/>
  <c r="Q13" i="24" s="1"/>
  <c r="U13" i="24"/>
  <c r="M9" i="24"/>
  <c r="Q9" i="24" s="1"/>
  <c r="U9" i="24"/>
  <c r="M14" i="24"/>
  <c r="U14" i="24"/>
  <c r="Q7" i="24"/>
  <c r="E13" i="1"/>
  <c r="E13" i="30"/>
  <c r="M9" i="23"/>
  <c r="Q9" i="23" s="1"/>
  <c r="U9" i="23"/>
  <c r="N15" i="23"/>
  <c r="U15" i="23"/>
  <c r="M13" i="23"/>
  <c r="U13" i="23"/>
  <c r="N11" i="23"/>
  <c r="U11" i="23"/>
  <c r="M12" i="23"/>
  <c r="Q12" i="23" s="1"/>
  <c r="U12" i="23"/>
  <c r="N10" i="23"/>
  <c r="U10" i="23"/>
  <c r="M17" i="23"/>
  <c r="Q17" i="23" s="1"/>
  <c r="U17" i="23"/>
  <c r="N16" i="23"/>
  <c r="U16" i="23"/>
  <c r="N14" i="23"/>
  <c r="U14" i="23"/>
  <c r="N8" i="23"/>
  <c r="U8" i="23"/>
  <c r="Q7" i="23"/>
  <c r="E16" i="1"/>
  <c r="E16" i="30"/>
  <c r="N8" i="22"/>
  <c r="U8" i="22"/>
  <c r="N13" i="22"/>
  <c r="U13" i="22"/>
  <c r="N16" i="22"/>
  <c r="U16" i="22"/>
  <c r="N12" i="22"/>
  <c r="U12" i="22"/>
  <c r="M9" i="22"/>
  <c r="Q9" i="22" s="1"/>
  <c r="U9" i="22"/>
  <c r="N14" i="22"/>
  <c r="U14" i="22"/>
  <c r="N15" i="22"/>
  <c r="U15" i="22"/>
  <c r="N10" i="22"/>
  <c r="U10" i="22"/>
  <c r="M11" i="22"/>
  <c r="U11" i="22"/>
  <c r="Q7" i="22"/>
  <c r="E11" i="1"/>
  <c r="E11" i="30"/>
  <c r="N13" i="21"/>
  <c r="U13" i="21"/>
  <c r="M9" i="21"/>
  <c r="U9" i="21"/>
  <c r="N15" i="21"/>
  <c r="U15" i="21"/>
  <c r="N17" i="21"/>
  <c r="U17" i="21"/>
  <c r="N12" i="21"/>
  <c r="P174" i="27" s="1"/>
  <c r="U12" i="21"/>
  <c r="N8" i="21"/>
  <c r="U8" i="21"/>
  <c r="M10" i="21"/>
  <c r="O172" i="27" s="1"/>
  <c r="U10" i="21"/>
  <c r="N14" i="21"/>
  <c r="U14" i="21"/>
  <c r="N16" i="21"/>
  <c r="U16" i="21"/>
  <c r="N11" i="21"/>
  <c r="U11" i="21"/>
  <c r="E19" i="1"/>
  <c r="E19" i="30"/>
  <c r="N16" i="20"/>
  <c r="U16" i="20"/>
  <c r="N14" i="20"/>
  <c r="U14" i="20"/>
  <c r="N12" i="20"/>
  <c r="U12" i="20"/>
  <c r="N8" i="20"/>
  <c r="U8" i="20"/>
  <c r="M9" i="20"/>
  <c r="Q9" i="20" s="1"/>
  <c r="U9" i="20"/>
  <c r="N11" i="20"/>
  <c r="U11" i="20"/>
  <c r="M15" i="20"/>
  <c r="Q15" i="20" s="1"/>
  <c r="U15" i="20"/>
  <c r="U18" i="20" s="1"/>
  <c r="N17" i="20"/>
  <c r="U17" i="20"/>
  <c r="M10" i="20"/>
  <c r="U10" i="20"/>
  <c r="Q7" i="20"/>
  <c r="P7" i="20"/>
  <c r="P17" i="20"/>
  <c r="E6" i="1"/>
  <c r="E6" i="30"/>
  <c r="N14" i="18"/>
  <c r="U14" i="18"/>
  <c r="N8" i="18"/>
  <c r="U8" i="18"/>
  <c r="M17" i="18"/>
  <c r="Q17" i="18" s="1"/>
  <c r="U17" i="18"/>
  <c r="M9" i="18"/>
  <c r="U9" i="18"/>
  <c r="N16" i="18"/>
  <c r="U16" i="18"/>
  <c r="N12" i="18"/>
  <c r="U12" i="18"/>
  <c r="M11" i="18"/>
  <c r="Q11" i="18" s="1"/>
  <c r="U11" i="18"/>
  <c r="N15" i="18"/>
  <c r="U15" i="18"/>
  <c r="N13" i="18"/>
  <c r="U13" i="18"/>
  <c r="Q7" i="18"/>
  <c r="E12" i="1"/>
  <c r="E12" i="30"/>
  <c r="N10" i="17"/>
  <c r="U10" i="17"/>
  <c r="M12" i="17"/>
  <c r="U12" i="17"/>
  <c r="N8" i="17"/>
  <c r="U8" i="17"/>
  <c r="M9" i="17"/>
  <c r="U9" i="17"/>
  <c r="M15" i="17"/>
  <c r="Q15" i="17" s="1"/>
  <c r="U15" i="17"/>
  <c r="N14" i="17"/>
  <c r="U14" i="17"/>
  <c r="N11" i="17"/>
  <c r="U11" i="17"/>
  <c r="U18" i="17" s="1"/>
  <c r="N13" i="17"/>
  <c r="U13" i="17"/>
  <c r="N16" i="17"/>
  <c r="U16" i="17"/>
  <c r="N17" i="17"/>
  <c r="U17" i="17"/>
  <c r="P16" i="17"/>
  <c r="E18" i="1"/>
  <c r="E18" i="30"/>
  <c r="N8" i="16"/>
  <c r="U8" i="16"/>
  <c r="M17" i="16"/>
  <c r="Q17" i="16" s="1"/>
  <c r="U17" i="16"/>
  <c r="N15" i="16"/>
  <c r="U15" i="16"/>
  <c r="N14" i="16"/>
  <c r="U14" i="16"/>
  <c r="M13" i="16"/>
  <c r="Q13" i="16" s="1"/>
  <c r="U13" i="16"/>
  <c r="N12" i="16"/>
  <c r="U12" i="16"/>
  <c r="N10" i="16"/>
  <c r="U10" i="16"/>
  <c r="U18" i="16" s="1"/>
  <c r="N11" i="16"/>
  <c r="U11" i="16"/>
  <c r="P14" i="16"/>
  <c r="E10" i="1"/>
  <c r="E10" i="30"/>
  <c r="N8" i="15"/>
  <c r="U8" i="15"/>
  <c r="N9" i="15"/>
  <c r="U9" i="15"/>
  <c r="N11" i="15"/>
  <c r="U11" i="15"/>
  <c r="N16" i="15"/>
  <c r="U16" i="15"/>
  <c r="N15" i="15"/>
  <c r="U15" i="15"/>
  <c r="N14" i="15"/>
  <c r="U14" i="15"/>
  <c r="N12" i="15"/>
  <c r="U12" i="15"/>
  <c r="N13" i="15"/>
  <c r="U13" i="15"/>
  <c r="N17" i="15"/>
  <c r="U17" i="15"/>
  <c r="Q7" i="15"/>
  <c r="E17" i="1"/>
  <c r="E17" i="30"/>
  <c r="N8" i="14"/>
  <c r="U8" i="14"/>
  <c r="M12" i="14"/>
  <c r="U12" i="14"/>
  <c r="N16" i="14"/>
  <c r="U16" i="14"/>
  <c r="N9" i="14"/>
  <c r="U9" i="14"/>
  <c r="M10" i="14"/>
  <c r="U10" i="14"/>
  <c r="N14" i="14"/>
  <c r="U14" i="14"/>
  <c r="N11" i="14"/>
  <c r="U11" i="14"/>
  <c r="N13" i="14"/>
  <c r="U13" i="14"/>
  <c r="N15" i="14"/>
  <c r="U15" i="14"/>
  <c r="Q7" i="14"/>
  <c r="E4" i="1"/>
  <c r="E4" i="30"/>
  <c r="N15" i="13"/>
  <c r="U15" i="13"/>
  <c r="N17" i="13"/>
  <c r="U17" i="13"/>
  <c r="N13" i="13"/>
  <c r="U13" i="13"/>
  <c r="M9" i="13"/>
  <c r="U9" i="13"/>
  <c r="M14" i="13"/>
  <c r="U14" i="13"/>
  <c r="N11" i="13"/>
  <c r="U11" i="13"/>
  <c r="U18" i="13" s="1"/>
  <c r="M16" i="13"/>
  <c r="Q16" i="13" s="1"/>
  <c r="U16" i="13"/>
  <c r="M12" i="13"/>
  <c r="P15" i="13" s="1"/>
  <c r="U12" i="13"/>
  <c r="N8" i="13"/>
  <c r="U8" i="13"/>
  <c r="E20" i="1"/>
  <c r="E20" i="30"/>
  <c r="M12" i="12"/>
  <c r="Q12" i="12" s="1"/>
  <c r="U12" i="12"/>
  <c r="M15" i="12"/>
  <c r="Q15" i="12" s="1"/>
  <c r="U15" i="12"/>
  <c r="N13" i="12"/>
  <c r="U13" i="12"/>
  <c r="N17" i="12"/>
  <c r="U17" i="12"/>
  <c r="M10" i="12"/>
  <c r="P10" i="12" s="1"/>
  <c r="U10" i="12"/>
  <c r="N14" i="12"/>
  <c r="U14" i="12"/>
  <c r="M9" i="12"/>
  <c r="Q9" i="12" s="1"/>
  <c r="U9" i="12"/>
  <c r="M16" i="12"/>
  <c r="Q16" i="12" s="1"/>
  <c r="U16" i="12"/>
  <c r="N11" i="12"/>
  <c r="U11" i="12"/>
  <c r="P14" i="13"/>
  <c r="E5" i="1"/>
  <c r="E5" i="30"/>
  <c r="M11" i="10"/>
  <c r="U11" i="10"/>
  <c r="Q7" i="10"/>
  <c r="M9" i="7"/>
  <c r="Q9" i="7" s="1"/>
  <c r="U9" i="7"/>
  <c r="M17" i="7"/>
  <c r="Q17" i="7" s="1"/>
  <c r="U17" i="7"/>
  <c r="N11" i="7"/>
  <c r="U11" i="7"/>
  <c r="N15" i="7"/>
  <c r="U15" i="7"/>
  <c r="N7" i="7"/>
  <c r="P15" i="7"/>
  <c r="P11" i="7"/>
  <c r="P9" i="7"/>
  <c r="P8" i="7"/>
  <c r="E9" i="1"/>
  <c r="E9" i="30"/>
  <c r="N9" i="9"/>
  <c r="U9" i="9"/>
  <c r="N17" i="9"/>
  <c r="U17" i="9"/>
  <c r="N16" i="9"/>
  <c r="U16" i="9"/>
  <c r="N10" i="9"/>
  <c r="U10" i="9"/>
  <c r="N11" i="9"/>
  <c r="P52" i="27" s="1"/>
  <c r="U11" i="9"/>
  <c r="N15" i="9"/>
  <c r="U15" i="9"/>
  <c r="M14" i="9"/>
  <c r="Q14" i="9" s="1"/>
  <c r="U14" i="9"/>
  <c r="N13" i="9"/>
  <c r="U13" i="9"/>
  <c r="M8" i="9"/>
  <c r="U8" i="9"/>
  <c r="M12" i="9"/>
  <c r="Q12" i="9" s="1"/>
  <c r="U12" i="9"/>
  <c r="P13" i="6"/>
  <c r="P11" i="6"/>
  <c r="P10" i="6"/>
  <c r="P9" i="6"/>
  <c r="P8" i="6"/>
  <c r="P14" i="6"/>
  <c r="P17" i="6"/>
  <c r="N5" i="6"/>
  <c r="M5" i="6"/>
  <c r="D15" i="1"/>
  <c r="D15" i="30"/>
  <c r="C15" i="1"/>
  <c r="F15" i="1" s="1"/>
  <c r="C15" i="30"/>
  <c r="F15" i="30" s="1"/>
  <c r="P18" i="6"/>
  <c r="P12" i="4"/>
  <c r="R31" i="27" s="1"/>
  <c r="Q11" i="4"/>
  <c r="P11" i="4"/>
  <c r="R30" i="27" s="1"/>
  <c r="P10" i="4"/>
  <c r="R29" i="27" s="1"/>
  <c r="P9" i="4"/>
  <c r="R28" i="27" s="1"/>
  <c r="P8" i="4"/>
  <c r="R27" i="27" s="1"/>
  <c r="P7" i="4"/>
  <c r="R26" i="27" s="1"/>
  <c r="Q16" i="4"/>
  <c r="P16" i="4"/>
  <c r="P17" i="4"/>
  <c r="R36" i="27" s="1"/>
  <c r="P10" i="3"/>
  <c r="R18" i="27" s="1"/>
  <c r="P9" i="3"/>
  <c r="R17" i="27" s="1"/>
  <c r="P8" i="3"/>
  <c r="R16" i="27" s="1"/>
  <c r="P7" i="3"/>
  <c r="R15" i="27" s="1"/>
  <c r="P16" i="3"/>
  <c r="R24" i="27" s="1"/>
  <c r="P12" i="3"/>
  <c r="R20" i="27" s="1"/>
  <c r="N5" i="3"/>
  <c r="Q16" i="3"/>
  <c r="S24" i="27" s="1"/>
  <c r="Q10" i="3"/>
  <c r="S18" i="27" s="1"/>
  <c r="P15" i="3"/>
  <c r="R23" i="27" s="1"/>
  <c r="U18" i="2"/>
  <c r="P11" i="2"/>
  <c r="Q9" i="2"/>
  <c r="P9" i="2"/>
  <c r="P15" i="2"/>
  <c r="P10" i="2"/>
  <c r="P8" i="2"/>
  <c r="P7" i="2"/>
  <c r="N5" i="2"/>
  <c r="Q14" i="2"/>
  <c r="P14" i="2"/>
  <c r="Q16" i="2"/>
  <c r="P16" i="2"/>
  <c r="P17" i="2"/>
  <c r="P13" i="2"/>
  <c r="P12" i="2"/>
  <c r="T18" i="16"/>
  <c r="T18" i="18"/>
  <c r="T18" i="17"/>
  <c r="T18" i="15"/>
  <c r="T18" i="14"/>
  <c r="T18" i="13"/>
  <c r="T18" i="3"/>
  <c r="U18" i="4"/>
  <c r="T18" i="4"/>
  <c r="T18" i="6"/>
  <c r="T18" i="9"/>
  <c r="U18" i="7"/>
  <c r="T18" i="7"/>
  <c r="T18" i="10"/>
  <c r="U18" i="6"/>
  <c r="O18" i="7"/>
  <c r="M11" i="7"/>
  <c r="N17" i="7"/>
  <c r="J5" i="7"/>
  <c r="Q7" i="7"/>
  <c r="N9" i="7"/>
  <c r="N5" i="7" s="1"/>
  <c r="Q9" i="3"/>
  <c r="S17" i="27" s="1"/>
  <c r="Q11" i="3"/>
  <c r="S19" i="27" s="1"/>
  <c r="Q17" i="3"/>
  <c r="S25" i="27" s="1"/>
  <c r="Q14" i="3"/>
  <c r="S22" i="27" s="1"/>
  <c r="Q12" i="3"/>
  <c r="S20" i="27" s="1"/>
  <c r="Q11" i="2"/>
  <c r="Q8" i="2"/>
  <c r="M5" i="2"/>
  <c r="B4" i="2"/>
  <c r="X20" i="26"/>
  <c r="Z20" i="26" s="1"/>
  <c r="X14" i="26"/>
  <c r="Z14" i="26" s="1"/>
  <c r="X9" i="26"/>
  <c r="Z9" i="26" s="1"/>
  <c r="X2" i="26"/>
  <c r="Z2" i="26" s="1"/>
  <c r="X15" i="26"/>
  <c r="Z15" i="26" s="1"/>
  <c r="X21" i="26"/>
  <c r="Z21" i="26" s="1"/>
  <c r="X4" i="26"/>
  <c r="Z4" i="26" s="1"/>
  <c r="X19" i="26"/>
  <c r="Z19" i="26" s="1"/>
  <c r="X18" i="26"/>
  <c r="Z18" i="26" s="1"/>
  <c r="X3" i="26"/>
  <c r="Z3" i="26" s="1"/>
  <c r="X16" i="26"/>
  <c r="Z16" i="26" s="1"/>
  <c r="X5" i="26"/>
  <c r="Z5" i="26" s="1"/>
  <c r="X11" i="26"/>
  <c r="Z11" i="26" s="1"/>
  <c r="X17" i="26"/>
  <c r="Z17" i="26" s="1"/>
  <c r="X6" i="26"/>
  <c r="Z6" i="26" s="1"/>
  <c r="X8" i="26"/>
  <c r="Z8" i="26" s="1"/>
  <c r="X12" i="26"/>
  <c r="Z12" i="26" s="1"/>
  <c r="M15" i="22"/>
  <c r="Q15" i="22" s="1"/>
  <c r="N7" i="25"/>
  <c r="O18" i="25"/>
  <c r="J18" i="25"/>
  <c r="M8" i="23"/>
  <c r="J18" i="24"/>
  <c r="N7" i="24"/>
  <c r="O18" i="24"/>
  <c r="N7" i="23"/>
  <c r="O18" i="23"/>
  <c r="J18" i="23"/>
  <c r="Q13" i="23"/>
  <c r="N7" i="22"/>
  <c r="O18" i="22"/>
  <c r="J18" i="22"/>
  <c r="J18" i="21"/>
  <c r="N7" i="21"/>
  <c r="O18" i="21"/>
  <c r="M11" i="24"/>
  <c r="P11" i="24" s="1"/>
  <c r="J18" i="20"/>
  <c r="N7" i="20"/>
  <c r="O18" i="20"/>
  <c r="J18" i="18"/>
  <c r="N7" i="18"/>
  <c r="O18" i="18"/>
  <c r="M14" i="25"/>
  <c r="Q14" i="25" s="1"/>
  <c r="J18" i="17"/>
  <c r="N7" i="17"/>
  <c r="O18" i="17"/>
  <c r="N7" i="16"/>
  <c r="O18" i="16"/>
  <c r="J18" i="16"/>
  <c r="J18" i="15"/>
  <c r="Q9" i="17"/>
  <c r="N7" i="15"/>
  <c r="O18" i="15"/>
  <c r="O18" i="14"/>
  <c r="M11" i="23"/>
  <c r="Q11" i="23" s="1"/>
  <c r="M15" i="24"/>
  <c r="Q15" i="24" s="1"/>
  <c r="J18" i="14"/>
  <c r="M8" i="18"/>
  <c r="P9" i="18" s="1"/>
  <c r="J18" i="13"/>
  <c r="N7" i="13"/>
  <c r="O18" i="13"/>
  <c r="Q11" i="22"/>
  <c r="M11" i="25"/>
  <c r="P17" i="25" s="1"/>
  <c r="N9" i="17"/>
  <c r="N13" i="24"/>
  <c r="N9" i="25"/>
  <c r="M17" i="24"/>
  <c r="N13" i="23"/>
  <c r="N10" i="25"/>
  <c r="Q9" i="18"/>
  <c r="N17" i="16"/>
  <c r="M8" i="25"/>
  <c r="Q8" i="25" s="1"/>
  <c r="N12" i="23"/>
  <c r="M8" i="15"/>
  <c r="M16" i="15"/>
  <c r="Q16" i="15" s="1"/>
  <c r="N9" i="24"/>
  <c r="Q12" i="17"/>
  <c r="N11" i="22"/>
  <c r="M13" i="25"/>
  <c r="Q13" i="25" s="1"/>
  <c r="M16" i="21"/>
  <c r="M13" i="22"/>
  <c r="Q13" i="22" s="1"/>
  <c r="M15" i="13"/>
  <c r="M12" i="25"/>
  <c r="M16" i="23"/>
  <c r="P16" i="23" s="1"/>
  <c r="M10" i="17"/>
  <c r="Q10" i="17" s="1"/>
  <c r="M11" i="17"/>
  <c r="Q11" i="17" s="1"/>
  <c r="Q17" i="25"/>
  <c r="Q16" i="25"/>
  <c r="M11" i="20"/>
  <c r="Q11" i="20" s="1"/>
  <c r="M12" i="20"/>
  <c r="P12" i="20" s="1"/>
  <c r="M14" i="21"/>
  <c r="M10" i="16"/>
  <c r="Q10" i="16" s="1"/>
  <c r="M16" i="14"/>
  <c r="M8" i="22"/>
  <c r="P11" i="22" s="1"/>
  <c r="N17" i="25"/>
  <c r="N16" i="25"/>
  <c r="M15" i="18"/>
  <c r="Q15" i="18" s="1"/>
  <c r="N9" i="23"/>
  <c r="M11" i="21"/>
  <c r="M12" i="21"/>
  <c r="O174" i="27" s="1"/>
  <c r="M10" i="22"/>
  <c r="Q10" i="22" s="1"/>
  <c r="N17" i="18"/>
  <c r="M14" i="22"/>
  <c r="Q14" i="22" s="1"/>
  <c r="M13" i="15"/>
  <c r="P13" i="15" s="1"/>
  <c r="M17" i="15"/>
  <c r="Q17" i="15" s="1"/>
  <c r="M15" i="16"/>
  <c r="Q15" i="16" s="1"/>
  <c r="J5" i="25"/>
  <c r="B20" i="25"/>
  <c r="M8" i="21"/>
  <c r="O5" i="25"/>
  <c r="M9" i="15"/>
  <c r="Q9" i="15" s="1"/>
  <c r="M11" i="16"/>
  <c r="Q11" i="16" s="1"/>
  <c r="M16" i="24"/>
  <c r="P16" i="24" s="1"/>
  <c r="M10" i="24"/>
  <c r="Q10" i="24" s="1"/>
  <c r="N15" i="20"/>
  <c r="N15" i="25"/>
  <c r="C20" i="25"/>
  <c r="M8" i="17"/>
  <c r="Q8" i="17" s="1"/>
  <c r="M10" i="23"/>
  <c r="Q10" i="23" s="1"/>
  <c r="Q7" i="17"/>
  <c r="M15" i="23"/>
  <c r="P15" i="23" s="1"/>
  <c r="M14" i="17"/>
  <c r="P14" i="17" s="1"/>
  <c r="M17" i="20"/>
  <c r="Q9" i="21"/>
  <c r="N17" i="23"/>
  <c r="N9" i="18"/>
  <c r="M8" i="24"/>
  <c r="M14" i="20"/>
  <c r="P14" i="20" s="1"/>
  <c r="M17" i="17"/>
  <c r="Q17" i="17" s="1"/>
  <c r="N10" i="20"/>
  <c r="M11" i="13"/>
  <c r="Q11" i="13" s="1"/>
  <c r="N14" i="24"/>
  <c r="M15" i="21"/>
  <c r="M12" i="22"/>
  <c r="P12" i="22" s="1"/>
  <c r="M11" i="15"/>
  <c r="Q11" i="15" s="1"/>
  <c r="N9" i="21"/>
  <c r="C20" i="23"/>
  <c r="M13" i="14"/>
  <c r="Q13" i="14" s="1"/>
  <c r="N13" i="16"/>
  <c r="Q14" i="24"/>
  <c r="M14" i="14"/>
  <c r="Q14" i="14" s="1"/>
  <c r="M13" i="17"/>
  <c r="Q13" i="17" s="1"/>
  <c r="B20" i="23"/>
  <c r="B20" i="24"/>
  <c r="M12" i="16"/>
  <c r="Q12" i="16" s="1"/>
  <c r="M13" i="21"/>
  <c r="N12" i="14"/>
  <c r="J5" i="21"/>
  <c r="M12" i="24"/>
  <c r="P12" i="24" s="1"/>
  <c r="M14" i="23"/>
  <c r="O5" i="24"/>
  <c r="B20" i="22"/>
  <c r="M8" i="14"/>
  <c r="Q8" i="14" s="1"/>
  <c r="O5" i="23"/>
  <c r="Q12" i="14"/>
  <c r="J5" i="24"/>
  <c r="M17" i="21"/>
  <c r="B20" i="21"/>
  <c r="M11" i="14"/>
  <c r="P11" i="14" s="1"/>
  <c r="J5" i="23"/>
  <c r="M13" i="13"/>
  <c r="Q13" i="13" s="1"/>
  <c r="M16" i="22"/>
  <c r="O5" i="21"/>
  <c r="Q7" i="16"/>
  <c r="Q10" i="20"/>
  <c r="M8" i="20"/>
  <c r="Q8" i="20" s="1"/>
  <c r="C20" i="22"/>
  <c r="N9" i="20"/>
  <c r="J5" i="22"/>
  <c r="N9" i="22"/>
  <c r="O5" i="22"/>
  <c r="M16" i="20"/>
  <c r="P16" i="20" s="1"/>
  <c r="C20" i="21"/>
  <c r="N10" i="21"/>
  <c r="P172" i="27" s="1"/>
  <c r="Q7" i="21"/>
  <c r="N11" i="18"/>
  <c r="C20" i="24"/>
  <c r="M12" i="15"/>
  <c r="Q12" i="15" s="1"/>
  <c r="C20" i="15"/>
  <c r="M17" i="22"/>
  <c r="P17" i="22" s="1"/>
  <c r="N17" i="22"/>
  <c r="M15" i="15"/>
  <c r="P15" i="15" s="1"/>
  <c r="C20" i="18"/>
  <c r="M12" i="18"/>
  <c r="Q12" i="18" s="1"/>
  <c r="Q7" i="13"/>
  <c r="M16" i="17"/>
  <c r="Q16" i="17" s="1"/>
  <c r="M8" i="16"/>
  <c r="Q8" i="16" s="1"/>
  <c r="J5" i="18"/>
  <c r="M16" i="18"/>
  <c r="M14" i="15"/>
  <c r="P14" i="15" s="1"/>
  <c r="N12" i="17"/>
  <c r="B20" i="20"/>
  <c r="O5" i="20"/>
  <c r="B20" i="15"/>
  <c r="O5" i="18"/>
  <c r="M14" i="16"/>
  <c r="M13" i="20"/>
  <c r="P13" i="20" s="1"/>
  <c r="N13" i="20"/>
  <c r="M10" i="18"/>
  <c r="P10" i="18" s="1"/>
  <c r="N15" i="17"/>
  <c r="B20" i="16"/>
  <c r="N10" i="18"/>
  <c r="M14" i="18"/>
  <c r="P14" i="18" s="1"/>
  <c r="J5" i="20"/>
  <c r="C20" i="20"/>
  <c r="B20" i="18"/>
  <c r="N9" i="13"/>
  <c r="M9" i="14"/>
  <c r="Q9" i="14" s="1"/>
  <c r="M13" i="18"/>
  <c r="Q13" i="18" s="1"/>
  <c r="J5" i="16"/>
  <c r="J5" i="15"/>
  <c r="B20" i="14"/>
  <c r="O5" i="14"/>
  <c r="N7" i="14"/>
  <c r="O5" i="17"/>
  <c r="J5" i="17"/>
  <c r="M17" i="13"/>
  <c r="Q17" i="13" s="1"/>
  <c r="M17" i="14"/>
  <c r="N16" i="16"/>
  <c r="M16" i="16"/>
  <c r="P16" i="16" s="1"/>
  <c r="B20" i="17"/>
  <c r="N12" i="13"/>
  <c r="C20" i="16"/>
  <c r="C20" i="17"/>
  <c r="O5" i="16"/>
  <c r="M15" i="14"/>
  <c r="P15" i="14" s="1"/>
  <c r="N10" i="14"/>
  <c r="N17" i="14"/>
  <c r="N9" i="16"/>
  <c r="M9" i="16"/>
  <c r="P9" i="16" s="1"/>
  <c r="M8" i="13"/>
  <c r="Q8" i="13" s="1"/>
  <c r="J5" i="14"/>
  <c r="O5" i="13"/>
  <c r="B20" i="13"/>
  <c r="C20" i="14"/>
  <c r="N16" i="13"/>
  <c r="Q10" i="14"/>
  <c r="J5" i="13"/>
  <c r="N10" i="15"/>
  <c r="M10" i="15"/>
  <c r="P7" i="15" s="1"/>
  <c r="O5" i="15"/>
  <c r="Q14" i="13"/>
  <c r="Q7" i="12"/>
  <c r="N14" i="13"/>
  <c r="N10" i="13"/>
  <c r="M10" i="13"/>
  <c r="P10" i="13" s="1"/>
  <c r="C20" i="13"/>
  <c r="J5" i="12"/>
  <c r="N7" i="12"/>
  <c r="O18" i="12"/>
  <c r="J18" i="12"/>
  <c r="F18" i="10"/>
  <c r="N7" i="10"/>
  <c r="C20" i="7"/>
  <c r="O5" i="7"/>
  <c r="M15" i="7"/>
  <c r="P7" i="7" s="1"/>
  <c r="B20" i="7"/>
  <c r="Q8" i="9"/>
  <c r="N8" i="9"/>
  <c r="F5" i="10"/>
  <c r="M17" i="9"/>
  <c r="Q17" i="9" s="1"/>
  <c r="M13" i="9"/>
  <c r="Q13" i="9" s="1"/>
  <c r="N7" i="9"/>
  <c r="O18" i="9"/>
  <c r="Q7" i="9"/>
  <c r="J18" i="9"/>
  <c r="M16" i="9"/>
  <c r="M10" i="9"/>
  <c r="P10" i="9" s="1"/>
  <c r="R51" i="27" s="1"/>
  <c r="M9" i="9"/>
  <c r="Q9" i="9" s="1"/>
  <c r="M11" i="9"/>
  <c r="P16" i="9" s="1"/>
  <c r="R57" i="27" s="1"/>
  <c r="N14" i="9"/>
  <c r="M15" i="9"/>
  <c r="Q15" i="9" s="1"/>
  <c r="O5" i="9"/>
  <c r="C20" i="9"/>
  <c r="B20" i="9"/>
  <c r="J5" i="9"/>
  <c r="N12" i="9"/>
  <c r="O10" i="10"/>
  <c r="N15" i="10"/>
  <c r="M15" i="10"/>
  <c r="Q15" i="10" s="1"/>
  <c r="J11" i="10"/>
  <c r="O8" i="10"/>
  <c r="U8" i="10" s="1"/>
  <c r="J8" i="10"/>
  <c r="J15" i="10"/>
  <c r="J12" i="10"/>
  <c r="O12" i="10"/>
  <c r="U12" i="10" s="1"/>
  <c r="O16" i="10"/>
  <c r="U16" i="10" s="1"/>
  <c r="J16" i="10"/>
  <c r="O9" i="10"/>
  <c r="U9" i="10" s="1"/>
  <c r="J9" i="10"/>
  <c r="O13" i="10"/>
  <c r="U13" i="10" s="1"/>
  <c r="J13" i="10"/>
  <c r="O17" i="10"/>
  <c r="U17" i="10" s="1"/>
  <c r="J17" i="10"/>
  <c r="O14" i="10"/>
  <c r="U14" i="10" s="1"/>
  <c r="J14" i="10"/>
  <c r="Q11" i="10"/>
  <c r="N11" i="10"/>
  <c r="N10" i="12"/>
  <c r="O5" i="12"/>
  <c r="N9" i="12"/>
  <c r="M17" i="12"/>
  <c r="Q17" i="12" s="1"/>
  <c r="B20" i="12"/>
  <c r="M14" i="12"/>
  <c r="Q14" i="12" s="1"/>
  <c r="N15" i="12"/>
  <c r="M13" i="12"/>
  <c r="P13" i="12" s="1"/>
  <c r="N12" i="12"/>
  <c r="M11" i="12"/>
  <c r="N16" i="12"/>
  <c r="C20" i="12"/>
  <c r="M8" i="12"/>
  <c r="P15" i="12" s="1"/>
  <c r="N8" i="12"/>
  <c r="Q10" i="7"/>
  <c r="M5" i="7"/>
  <c r="Q11" i="7"/>
  <c r="Q13" i="7"/>
  <c r="Q9" i="13"/>
  <c r="M5" i="3"/>
  <c r="N5" i="4"/>
  <c r="Q13" i="4"/>
  <c r="Q14" i="4"/>
  <c r="M5" i="4"/>
  <c r="Q15" i="6"/>
  <c r="B4" i="6"/>
  <c r="Q13" i="6"/>
  <c r="Q10" i="6"/>
  <c r="Q16" i="6"/>
  <c r="Q12" i="2"/>
  <c r="C2" i="1"/>
  <c r="C20" i="3"/>
  <c r="D2" i="30" s="1"/>
  <c r="F2" i="30" s="1"/>
  <c r="B20" i="4"/>
  <c r="C20" i="4"/>
  <c r="P11" i="9" l="1"/>
  <c r="R52" i="27" s="1"/>
  <c r="O52" i="27"/>
  <c r="P18" i="4"/>
  <c r="R35" i="27"/>
  <c r="P7" i="21"/>
  <c r="R169" i="27" s="1"/>
  <c r="Q10" i="21"/>
  <c r="S172" i="27" s="1"/>
  <c r="U18" i="21"/>
  <c r="U18" i="25"/>
  <c r="P12" i="25"/>
  <c r="P13" i="25"/>
  <c r="P14" i="25"/>
  <c r="P15" i="25"/>
  <c r="P16" i="25"/>
  <c r="P11" i="25"/>
  <c r="P10" i="25"/>
  <c r="P9" i="25"/>
  <c r="P8" i="25"/>
  <c r="P7" i="25"/>
  <c r="D7" i="1"/>
  <c r="D7" i="30"/>
  <c r="C7" i="1"/>
  <c r="F7" i="1" s="1"/>
  <c r="C7" i="30"/>
  <c r="F7" i="30" s="1"/>
  <c r="P18" i="25"/>
  <c r="U18" i="24"/>
  <c r="P17" i="24"/>
  <c r="P8" i="24"/>
  <c r="P9" i="24"/>
  <c r="P10" i="24"/>
  <c r="P13" i="24"/>
  <c r="P14" i="24"/>
  <c r="P7" i="24"/>
  <c r="P15" i="24"/>
  <c r="C21" i="1"/>
  <c r="C21" i="30"/>
  <c r="D21" i="1"/>
  <c r="D21" i="30"/>
  <c r="U18" i="23"/>
  <c r="P10" i="23"/>
  <c r="P7" i="23"/>
  <c r="P9" i="23"/>
  <c r="P11" i="23"/>
  <c r="P12" i="23"/>
  <c r="P13" i="23"/>
  <c r="P17" i="23"/>
  <c r="P8" i="23"/>
  <c r="P14" i="23"/>
  <c r="C13" i="1"/>
  <c r="C13" i="30"/>
  <c r="D13" i="1"/>
  <c r="D13" i="30"/>
  <c r="U18" i="22"/>
  <c r="P7" i="22"/>
  <c r="P8" i="22"/>
  <c r="P9" i="22"/>
  <c r="P10" i="22"/>
  <c r="P13" i="22"/>
  <c r="P14" i="22"/>
  <c r="P16" i="22"/>
  <c r="P15" i="22"/>
  <c r="D16" i="1"/>
  <c r="D16" i="30"/>
  <c r="C16" i="1"/>
  <c r="F16" i="1" s="1"/>
  <c r="C16" i="30"/>
  <c r="F16" i="30" s="1"/>
  <c r="P18" i="22"/>
  <c r="Q12" i="21"/>
  <c r="S174" i="27" s="1"/>
  <c r="P12" i="21"/>
  <c r="R174" i="27" s="1"/>
  <c r="Q13" i="21"/>
  <c r="P13" i="21"/>
  <c r="R175" i="27" s="1"/>
  <c r="P10" i="21"/>
  <c r="R172" i="27" s="1"/>
  <c r="B2" i="28" s="1" a="1"/>
  <c r="B2" i="28" s="1"/>
  <c r="P11" i="21"/>
  <c r="R173" i="27" s="1"/>
  <c r="P16" i="21"/>
  <c r="R178" i="27" s="1"/>
  <c r="Q15" i="21"/>
  <c r="P15" i="21"/>
  <c r="R177" i="27" s="1"/>
  <c r="C11" i="1"/>
  <c r="C11" i="30"/>
  <c r="D11" i="1"/>
  <c r="F11" i="1" s="1"/>
  <c r="D11" i="30"/>
  <c r="Q17" i="21"/>
  <c r="P17" i="21"/>
  <c r="R179" i="27" s="1"/>
  <c r="P8" i="21"/>
  <c r="P14" i="21"/>
  <c r="R176" i="27" s="1"/>
  <c r="P9" i="21"/>
  <c r="R171" i="27" s="1"/>
  <c r="P8" i="20"/>
  <c r="P9" i="20"/>
  <c r="P10" i="20"/>
  <c r="P11" i="20"/>
  <c r="P15" i="20"/>
  <c r="P18" i="20"/>
  <c r="C19" i="1"/>
  <c r="C19" i="30"/>
  <c r="D19" i="1"/>
  <c r="D19" i="30"/>
  <c r="U18" i="18"/>
  <c r="P16" i="18"/>
  <c r="P7" i="18"/>
  <c r="P8" i="18"/>
  <c r="P17" i="18"/>
  <c r="P11" i="18"/>
  <c r="P12" i="18"/>
  <c r="P13" i="18"/>
  <c r="P15" i="18"/>
  <c r="D6" i="1"/>
  <c r="D6" i="30"/>
  <c r="C6" i="1"/>
  <c r="F6" i="1" s="1"/>
  <c r="C6" i="30"/>
  <c r="F6" i="30" s="1"/>
  <c r="P7" i="17"/>
  <c r="P8" i="17"/>
  <c r="P9" i="17"/>
  <c r="P10" i="17"/>
  <c r="P11" i="17"/>
  <c r="P13" i="17"/>
  <c r="P12" i="17"/>
  <c r="P17" i="17"/>
  <c r="P15" i="17"/>
  <c r="C12" i="1"/>
  <c r="F12" i="1" s="1"/>
  <c r="C12" i="30"/>
  <c r="P18" i="17"/>
  <c r="D12" i="1"/>
  <c r="D12" i="30"/>
  <c r="P17" i="16"/>
  <c r="P18" i="16" s="1"/>
  <c r="P7" i="16"/>
  <c r="P8" i="16"/>
  <c r="P10" i="16"/>
  <c r="P12" i="16"/>
  <c r="P15" i="16"/>
  <c r="P13" i="16"/>
  <c r="P11" i="16"/>
  <c r="D18" i="1"/>
  <c r="D18" i="30"/>
  <c r="C18" i="1"/>
  <c r="F18" i="1" s="1"/>
  <c r="C18" i="30"/>
  <c r="F18" i="30" s="1"/>
  <c r="U18" i="15"/>
  <c r="P18" i="15"/>
  <c r="P8" i="15"/>
  <c r="P9" i="15"/>
  <c r="P10" i="15"/>
  <c r="P11" i="15"/>
  <c r="P16" i="15"/>
  <c r="P12" i="15"/>
  <c r="P17" i="15"/>
  <c r="D10" i="1"/>
  <c r="F10" i="1" s="1"/>
  <c r="D10" i="30"/>
  <c r="C10" i="1"/>
  <c r="C10" i="30"/>
  <c r="F10" i="30" s="1"/>
  <c r="U18" i="14"/>
  <c r="P17" i="14"/>
  <c r="P16" i="14"/>
  <c r="P7" i="14"/>
  <c r="P8" i="14"/>
  <c r="P9" i="14"/>
  <c r="P10" i="14"/>
  <c r="P12" i="14"/>
  <c r="P13" i="14"/>
  <c r="P14" i="14"/>
  <c r="C17" i="1"/>
  <c r="C17" i="30"/>
  <c r="P18" i="14"/>
  <c r="D17" i="1"/>
  <c r="D17" i="30"/>
  <c r="F17" i="30" s="1"/>
  <c r="P16" i="13"/>
  <c r="Q12" i="13"/>
  <c r="P17" i="13"/>
  <c r="P12" i="13"/>
  <c r="P7" i="13"/>
  <c r="P11" i="13"/>
  <c r="P8" i="13"/>
  <c r="P9" i="13"/>
  <c r="P13" i="13"/>
  <c r="U18" i="12"/>
  <c r="P16" i="12"/>
  <c r="P17" i="12"/>
  <c r="P7" i="12"/>
  <c r="P8" i="12"/>
  <c r="P9" i="12"/>
  <c r="P11" i="12"/>
  <c r="P12" i="12"/>
  <c r="Q10" i="12"/>
  <c r="P14" i="12"/>
  <c r="C20" i="1"/>
  <c r="F20" i="1" s="1"/>
  <c r="C20" i="30"/>
  <c r="D20" i="1"/>
  <c r="D20" i="30"/>
  <c r="C4" i="1"/>
  <c r="C4" i="30"/>
  <c r="P18" i="13"/>
  <c r="D4" i="1"/>
  <c r="D4" i="30"/>
  <c r="N10" i="10"/>
  <c r="U10" i="10"/>
  <c r="U18" i="10" s="1"/>
  <c r="P10" i="7"/>
  <c r="P12" i="7"/>
  <c r="P13" i="7"/>
  <c r="P16" i="7"/>
  <c r="P14" i="7"/>
  <c r="P17" i="7"/>
  <c r="C3" i="1"/>
  <c r="C3" i="30"/>
  <c r="D3" i="1"/>
  <c r="D3" i="30"/>
  <c r="P18" i="7"/>
  <c r="U18" i="9"/>
  <c r="P17" i="9"/>
  <c r="R58" i="27" s="1"/>
  <c r="P7" i="9"/>
  <c r="R48" i="27" s="1"/>
  <c r="P8" i="9"/>
  <c r="R49" i="27" s="1"/>
  <c r="P9" i="9"/>
  <c r="R50" i="27" s="1"/>
  <c r="P12" i="9"/>
  <c r="R53" i="27" s="1"/>
  <c r="P13" i="9"/>
  <c r="R54" i="27" s="1"/>
  <c r="P14" i="9"/>
  <c r="R55" i="27" s="1"/>
  <c r="P15" i="9"/>
  <c r="R56" i="27" s="1"/>
  <c r="D9" i="1"/>
  <c r="D9" i="30"/>
  <c r="C9" i="1"/>
  <c r="F9" i="1" s="1"/>
  <c r="C9" i="30"/>
  <c r="D14" i="1"/>
  <c r="D14" i="30"/>
  <c r="C14" i="1"/>
  <c r="C14" i="30"/>
  <c r="F14" i="30" s="1"/>
  <c r="P18" i="3"/>
  <c r="P18" i="2"/>
  <c r="U18" i="3"/>
  <c r="F3" i="1"/>
  <c r="F14" i="1"/>
  <c r="Q13" i="15"/>
  <c r="Q15" i="7"/>
  <c r="Q8" i="23"/>
  <c r="F21" i="1"/>
  <c r="F13" i="1"/>
  <c r="F17" i="1"/>
  <c r="Q8" i="18"/>
  <c r="Q11" i="24"/>
  <c r="Q11" i="25"/>
  <c r="Q17" i="24"/>
  <c r="Q14" i="21"/>
  <c r="Q16" i="14"/>
  <c r="Q8" i="15"/>
  <c r="N5" i="15"/>
  <c r="Q15" i="13"/>
  <c r="Q14" i="20"/>
  <c r="Q12" i="20"/>
  <c r="N5" i="24"/>
  <c r="N5" i="23"/>
  <c r="Q16" i="21"/>
  <c r="Q16" i="24"/>
  <c r="M5" i="25"/>
  <c r="Q14" i="17"/>
  <c r="Q8" i="22"/>
  <c r="Q16" i="23"/>
  <c r="Q8" i="24"/>
  <c r="Q12" i="25"/>
  <c r="Q14" i="15"/>
  <c r="M5" i="23"/>
  <c r="N5" i="25"/>
  <c r="Q11" i="21"/>
  <c r="B4" i="25"/>
  <c r="N5" i="22"/>
  <c r="B4" i="15"/>
  <c r="Q8" i="21"/>
  <c r="B4" i="24"/>
  <c r="Q14" i="23"/>
  <c r="N5" i="18"/>
  <c r="B4" i="22"/>
  <c r="Q17" i="20"/>
  <c r="N5" i="21"/>
  <c r="Q15" i="23"/>
  <c r="Q12" i="22"/>
  <c r="B4" i="23"/>
  <c r="Q11" i="14"/>
  <c r="M5" i="21"/>
  <c r="M5" i="17"/>
  <c r="Q12" i="24"/>
  <c r="M5" i="22"/>
  <c r="M5" i="24"/>
  <c r="Q15" i="15"/>
  <c r="Q14" i="16"/>
  <c r="N5" i="17"/>
  <c r="B4" i="21"/>
  <c r="Q16" i="22"/>
  <c r="Q16" i="18"/>
  <c r="Q16" i="20"/>
  <c r="N5" i="20"/>
  <c r="M5" i="20"/>
  <c r="B4" i="18"/>
  <c r="B4" i="14"/>
  <c r="B4" i="16"/>
  <c r="B4" i="20"/>
  <c r="Q17" i="22"/>
  <c r="Q10" i="18"/>
  <c r="Q13" i="20"/>
  <c r="M5" i="18"/>
  <c r="N5" i="14"/>
  <c r="Q14" i="18"/>
  <c r="B4" i="13"/>
  <c r="B4" i="17"/>
  <c r="M5" i="16"/>
  <c r="M5" i="14"/>
  <c r="N5" i="16"/>
  <c r="Q16" i="16"/>
  <c r="Q17" i="14"/>
  <c r="Q15" i="14"/>
  <c r="Q9" i="16"/>
  <c r="Q10" i="15"/>
  <c r="N5" i="13"/>
  <c r="M5" i="15"/>
  <c r="Q10" i="13"/>
  <c r="M5" i="13"/>
  <c r="M5" i="12"/>
  <c r="Q11" i="12"/>
  <c r="J18" i="10"/>
  <c r="O18" i="10"/>
  <c r="O5" i="10"/>
  <c r="Q10" i="9"/>
  <c r="J5" i="10"/>
  <c r="B4" i="9"/>
  <c r="Q16" i="9"/>
  <c r="M5" i="9"/>
  <c r="N5" i="9"/>
  <c r="Q11" i="9"/>
  <c r="S52" i="27" s="1"/>
  <c r="M10" i="10"/>
  <c r="N17" i="10"/>
  <c r="M17" i="10"/>
  <c r="M13" i="10"/>
  <c r="N13" i="10"/>
  <c r="B20" i="10"/>
  <c r="N9" i="10"/>
  <c r="M9" i="10"/>
  <c r="N16" i="10"/>
  <c r="M16" i="10"/>
  <c r="N12" i="10"/>
  <c r="M12" i="10"/>
  <c r="C20" i="10"/>
  <c r="N8" i="10"/>
  <c r="M8" i="10"/>
  <c r="P15" i="10" s="1"/>
  <c r="N14" i="10"/>
  <c r="M14" i="10"/>
  <c r="P14" i="10" s="1"/>
  <c r="N5" i="12"/>
  <c r="B4" i="12"/>
  <c r="Q13" i="12"/>
  <c r="Q8" i="12"/>
  <c r="D8" i="1"/>
  <c r="C8" i="1"/>
  <c r="B4" i="4"/>
  <c r="P18" i="9" l="1"/>
  <c r="P18" i="21"/>
  <c r="R170" i="27"/>
  <c r="P18" i="24"/>
  <c r="F21" i="30"/>
  <c r="P18" i="23"/>
  <c r="F13" i="30"/>
  <c r="F11" i="30"/>
  <c r="F19" i="1"/>
  <c r="F19" i="30"/>
  <c r="P18" i="18"/>
  <c r="F12" i="30"/>
  <c r="P18" i="12"/>
  <c r="F20" i="30"/>
  <c r="F4" i="30"/>
  <c r="F4" i="1"/>
  <c r="P10" i="10"/>
  <c r="P16" i="10"/>
  <c r="P13" i="10"/>
  <c r="P9" i="10"/>
  <c r="P17" i="10"/>
  <c r="P11" i="10"/>
  <c r="P8" i="10"/>
  <c r="P7" i="10"/>
  <c r="P12" i="10"/>
  <c r="D5" i="1"/>
  <c r="D5" i="30"/>
  <c r="C5" i="1"/>
  <c r="F5" i="1" s="1"/>
  <c r="C5" i="30"/>
  <c r="F5" i="30" s="1"/>
  <c r="F3" i="30"/>
  <c r="F9" i="30"/>
  <c r="F8" i="1"/>
  <c r="N5" i="10"/>
  <c r="M5" i="10"/>
  <c r="B4" i="10"/>
  <c r="Q10" i="10"/>
  <c r="Q8" i="10"/>
  <c r="Q14" i="10"/>
  <c r="Q17" i="10"/>
  <c r="Q12" i="10"/>
  <c r="Q16" i="10"/>
  <c r="Q9" i="10"/>
  <c r="Q13" i="10"/>
  <c r="D2" i="1"/>
  <c r="F2" i="1" s="1"/>
  <c r="P18" i="10" l="1"/>
  <c r="G10" i="30"/>
  <c r="G21" i="30"/>
  <c r="G17" i="30"/>
  <c r="G9" i="30"/>
  <c r="G15" i="30"/>
  <c r="G11" i="30"/>
  <c r="G4" i="30"/>
  <c r="G2" i="30"/>
  <c r="G6" i="30"/>
  <c r="G8" i="30"/>
  <c r="G12" i="30"/>
  <c r="G3" i="30"/>
  <c r="G19" i="30"/>
  <c r="G18" i="30"/>
  <c r="G14" i="30"/>
  <c r="G20" i="30"/>
  <c r="G7" i="30"/>
  <c r="G5" i="30"/>
  <c r="G16" i="30"/>
  <c r="G13" i="30"/>
  <c r="G5" i="1"/>
  <c r="G4" i="1"/>
  <c r="G6" i="1"/>
  <c r="G11" i="1"/>
  <c r="G7" i="1"/>
  <c r="G3" i="1"/>
  <c r="G19" i="1"/>
  <c r="G14" i="1"/>
  <c r="G2" i="1"/>
  <c r="G18" i="1"/>
  <c r="G17" i="1"/>
  <c r="G20" i="1"/>
  <c r="G13" i="1"/>
  <c r="G8" i="1"/>
  <c r="G16" i="1"/>
  <c r="G21" i="1"/>
  <c r="G15" i="1"/>
  <c r="G9" i="1"/>
  <c r="G12" i="1"/>
  <c r="G10" i="1"/>
  <c r="B4" i="3"/>
  <c r="D20" i="7" l="1"/>
  <c r="E3" i="30" s="1"/>
  <c r="B4" i="7" l="1"/>
  <c r="E3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<sst xmlns="http://schemas.openxmlformats.org/spreadsheetml/2006/main" count="5527" uniqueCount="1483">
  <si>
    <t>Team</t>
  </si>
  <si>
    <t>Attack</t>
  </si>
  <si>
    <t>Defense</t>
  </si>
  <si>
    <t>Consistency</t>
  </si>
  <si>
    <t>Overall</t>
  </si>
  <si>
    <t>Rank</t>
  </si>
  <si>
    <t>index</t>
  </si>
  <si>
    <t>Position</t>
  </si>
  <si>
    <t>First Name</t>
  </si>
  <si>
    <t>Last Name</t>
  </si>
  <si>
    <t>Chemistry</t>
  </si>
  <si>
    <t>GK</t>
  </si>
  <si>
    <t>Defence</t>
  </si>
  <si>
    <t>Info</t>
  </si>
  <si>
    <t>IQ</t>
  </si>
  <si>
    <t>Strength</t>
  </si>
  <si>
    <t>Speed</t>
  </si>
  <si>
    <t>Technique</t>
  </si>
  <si>
    <t>Overall (Pos)</t>
  </si>
  <si>
    <t>Team Name</t>
  </si>
  <si>
    <t>Stadium Name</t>
  </si>
  <si>
    <t>Eagle Eyed United</t>
  </si>
  <si>
    <t>Rating</t>
  </si>
  <si>
    <t>Lionheart Rovers</t>
  </si>
  <si>
    <t>Pride Park Stadium</t>
  </si>
  <si>
    <t>Cobra Strike FC</t>
  </si>
  <si>
    <t>Falcon Flyers</t>
  </si>
  <si>
    <t>Panther Prowlers</t>
  </si>
  <si>
    <t>Sharkfin Athletic</t>
  </si>
  <si>
    <t>Wolfpack Wanderers</t>
  </si>
  <si>
    <t>Rhino Rampage</t>
  </si>
  <si>
    <t>Tiger Tacklers</t>
  </si>
  <si>
    <t>Bear Brigade</t>
  </si>
  <si>
    <t>Hawk Haven</t>
  </si>
  <si>
    <t>Python Power</t>
  </si>
  <si>
    <t>Dolphin Dribblers</t>
  </si>
  <si>
    <t>Jaguar Juggernauts</t>
  </si>
  <si>
    <t>Elephant Elites</t>
  </si>
  <si>
    <t>Cheetah Chasers</t>
  </si>
  <si>
    <t>Raven Raiders</t>
  </si>
  <si>
    <t>Stallion Strikers</t>
  </si>
  <si>
    <t>Buffalo Battlers</t>
  </si>
  <si>
    <t>Gorilla Goalscorers</t>
  </si>
  <si>
    <t>Overall 2</t>
  </si>
  <si>
    <t>PlayerName</t>
  </si>
  <si>
    <t>CDM</t>
  </si>
  <si>
    <t>CAM</t>
  </si>
  <si>
    <t>Assist Probability</t>
  </si>
  <si>
    <t>Overall (stat)</t>
  </si>
  <si>
    <t>ScoringProbability</t>
  </si>
  <si>
    <t>KnownAs</t>
  </si>
  <si>
    <t>Venom Valley</t>
  </si>
  <si>
    <t>LW</t>
  </si>
  <si>
    <t>RW</t>
  </si>
  <si>
    <t>LB</t>
  </si>
  <si>
    <t>RB</t>
  </si>
  <si>
    <t>CB</t>
  </si>
  <si>
    <t>CM</t>
  </si>
  <si>
    <t>FB</t>
  </si>
  <si>
    <t>ST</t>
  </si>
  <si>
    <t>WGR</t>
  </si>
  <si>
    <t>OLD SYSTEM</t>
  </si>
  <si>
    <t>Shadowlands Arena</t>
  </si>
  <si>
    <t>My rank</t>
  </si>
  <si>
    <t>Stat Rank</t>
  </si>
  <si>
    <t>stat rank</t>
  </si>
  <si>
    <t>ovr</t>
  </si>
  <si>
    <t>range</t>
  </si>
  <si>
    <t>ovr range</t>
  </si>
  <si>
    <t>Known for his robust and formidable presence in goal, reminiscent of a rhino's strength.</t>
  </si>
  <si>
    <t>His powerful play and thunderous tackles make him a force on the defensive flank.</t>
  </si>
  <si>
    <t>Strong and fearless in defense, he embodies the fury of a charging rhino.</t>
  </si>
  <si>
    <t>Knot-like in his ability to entangle and frustrate opposing forwards with his tight marking.</t>
  </si>
  <si>
    <t>His sharp interceptions and solid defensive plays are as effective as a rhino's tusk.</t>
  </si>
  <si>
    <t>Dominates the midfield with powerful runs and a charging presence.</t>
  </si>
  <si>
    <t>Known for his mighty physicality and ability to control the tempo of the game.</t>
  </si>
  <si>
    <t>His skill in tracking and exploiting spaces in the opposition's defense is unparalleled.</t>
  </si>
  <si>
    <t>Quick and robust, his armor-like resilience makes him a formidable opponent on the wing.</t>
  </si>
  <si>
    <t>His piercing runs down the flank can penetrate even the toughest defenses.</t>
  </si>
  <si>
    <t>His sharp instincts in front of the goal make him a significant threat, much like a rhino's tusk.</t>
  </si>
  <si>
    <t>Takudzwa "Tank" Chirwa (Goalkeeper)</t>
  </si>
  <si>
    <t>Tinashe "Thunder" Moyo (Right Back)</t>
  </si>
  <si>
    <t>Farai "Fury" Nyoni (Center Back)</t>
  </si>
  <si>
    <t>Kudzai "Knot" Gumbo (Center Back)</t>
  </si>
  <si>
    <t>Tafadzwa "Tusk" Tsiga (Left Back)</t>
  </si>
  <si>
    <t>Chengetai "Charge" Chirinda (Defensive Midfielder)</t>
  </si>
  <si>
    <t>Munashe "Might" Maposa (Central Midfielder)</t>
  </si>
  <si>
    <t>Tendai "Tracker" Tembo (Attacking Midfielder)</t>
  </si>
  <si>
    <t>Anesu "Armor" Adebe (Right Winger)</t>
  </si>
  <si>
    <t>Shingirai "Shank" Sithole (Left Winger)</t>
  </si>
  <si>
    <t>Takura "Trample" Tendai (Striker)</t>
  </si>
  <si>
    <t>Horn Fortress</t>
  </si>
  <si>
    <t>Bengal Grounds</t>
  </si>
  <si>
    <t>His commanding presence and roaring saves make him a cornerstone of the team's defense.</t>
  </si>
  <si>
    <t>Known for his fierce tackles and relentless energy on the flank.</t>
  </si>
  <si>
    <t>Agile and robust, he's a master at intercepting and clearing the ball from danger.</t>
  </si>
  <si>
    <t>Dominant in aerial challenges and known for intruding into opposition plays to disrupt them.</t>
  </si>
  <si>
    <t>His nimble footwork and speed make him a key player in both defense and attack.</t>
  </si>
  <si>
    <t>His tenacity and tiger-like tackles are essential in controlling the midfield area.</t>
  </si>
  <si>
    <t>Skilled at moving the ball like a gentle breeze but with the sudden intensity of a storm.</t>
  </si>
  <si>
    <t>An ace at creating chances, his playmaking skills are integral to the team's offense.</t>
  </si>
  <si>
    <t>Known for his striking speed and ability to deliver precise crosses into the box.</t>
  </si>
  <si>
    <t>His impulsive runs and dribbling skills make him unpredictable and a constant threat.</t>
  </si>
  <si>
    <t>His rapid movements and sharp finishing skills make him a fearsome forward.</t>
  </si>
  <si>
    <t>Faisal "Fierce" Ahmed (Right Back)</t>
  </si>
  <si>
    <t>Iqbal "Intruder" Islam (Center Back)</t>
  </si>
  <si>
    <t>Nasir "Nimble" Miah (Left Back)</t>
  </si>
  <si>
    <t>Tanvir "Tiger" Talukdar (Defensive Midfielder)</t>
  </si>
  <si>
    <t>Samiul "Strike" Sheikh (Right Winger)</t>
  </si>
  <si>
    <t>Imran "Impulse" Iqbal (Left Winger)</t>
  </si>
  <si>
    <t>Rafiq "Rapid" Rahman (Striker)</t>
  </si>
  <si>
    <t>Zayan "Zoo" Zaman (Central Midfielder)</t>
  </si>
  <si>
    <t>Aarav "Amble" Ali (Attacking Midfielder)</t>
  </si>
  <si>
    <t>Asif "Growl" Rahman (Center Back)</t>
  </si>
  <si>
    <t>Rahim "Cat" Chowdhury (Goalkeeper)</t>
  </si>
  <si>
    <t>Known for his solid and imposing stature, much like a lumberjack - firm and unyielding in goal.</t>
  </si>
  <si>
    <t>His enduring energy and constant presence make him a reliable defender on the field.</t>
  </si>
  <si>
    <t>Strong and resilient, he embodies the spirit of the northern wilderness in his defensive play.</t>
  </si>
  <si>
    <t>Much like the maple leaf, he is a symbol of strength and unity in the team's defense.</t>
  </si>
  <si>
    <t>Known for his adventurous runs and love for the open play, he brings an 'outdoorsy' vigor to the game.</t>
  </si>
  <si>
    <t>His play style mirrors the vastness and diversity of the boreal forests, covering a lot of ground and versatile in approach.</t>
  </si>
  <si>
    <t>Thrives in the chaotic midfield 'wilderness', adept at navigating and controlling the play.</t>
  </si>
  <si>
    <t>Inspired by the beauty of Jasper National Park, his play is picturesque and creatively robust.</t>
  </si>
  <si>
    <t>His robust playing style is as formidable as the Rocky Mountains, strong and unyielding on the wing.</t>
  </si>
  <si>
    <t>Like a bright nova, he's a burst of energy and flair on the pitch, illuminating the team's attacks.</t>
  </si>
  <si>
    <t>With the strength and presence of a moose, he's a powerful force upfront and a key target for scoring.</t>
  </si>
  <si>
    <t>Logan "Lumber" McKenzie (Goalkeeper)</t>
  </si>
  <si>
    <t>Ethan "Evergreen" Tremblay (Right Back)</t>
  </si>
  <si>
    <t>Noah "Northern" Nguyen (Center Back)</t>
  </si>
  <si>
    <t>Liam "Leaf" Lafontaine (Center Back)</t>
  </si>
  <si>
    <t>Owen "Outdoors" Olivier (Left Back)</t>
  </si>
  <si>
    <t>Benjamin "Boreal" Bouchard (Defensive Midfielder)</t>
  </si>
  <si>
    <t>William "Wilderness" Wong (Central Midfielder)</t>
  </si>
  <si>
    <t>Jacob "Jasper" Joly (Attacking Midfielder)</t>
  </si>
  <si>
    <t>Ryan "Rocky" Rousseau (Right Winger)</t>
  </si>
  <si>
    <t>Nathan "Nova" Nadeau (Left Winger)</t>
  </si>
  <si>
    <t>Matthew "Moose" Moreau (Striker)</t>
  </si>
  <si>
    <t>Maple Den Stadium</t>
  </si>
  <si>
    <t>Country</t>
  </si>
  <si>
    <t>Zimbabwe</t>
  </si>
  <si>
    <t>Bangladesh</t>
  </si>
  <si>
    <t>Canada</t>
  </si>
  <si>
    <t>Indian</t>
  </si>
  <si>
    <t>USA</t>
  </si>
  <si>
    <t>Tanzania</t>
  </si>
  <si>
    <t>Chile</t>
  </si>
  <si>
    <t>Burma</t>
  </si>
  <si>
    <t>Russia</t>
  </si>
  <si>
    <t>Columbia</t>
  </si>
  <si>
    <t>Malaysia</t>
  </si>
  <si>
    <t>Peru</t>
  </si>
  <si>
    <t>Botswana</t>
  </si>
  <si>
    <t>Kenya</t>
  </si>
  <si>
    <t>Iceland</t>
  </si>
  <si>
    <t>Mongolia</t>
  </si>
  <si>
    <t>Gabon</t>
  </si>
  <si>
    <t>Pakistan</t>
  </si>
  <si>
    <t>Australia</t>
  </si>
  <si>
    <t>Indonesia</t>
  </si>
  <si>
    <t>Renowned for his agile 'swoops' to save goals, much like a hawk diving for its prey.</t>
  </si>
  <si>
    <t>His sharp, hawk-like gaze helps him anticipate and intercept opposition moves effectively.</t>
  </si>
  <si>
    <t>A true guardian in defense, his presence is commanding and his tackles precise.</t>
  </si>
  <si>
    <t>Solid and reliable, he forms the 'nest' of the team's defense, always there to protect.</t>
  </si>
  <si>
    <t>Agile and quick, he covers his territory on the field with the grace of an eagle.</t>
  </si>
  <si>
    <t>His play is like that of a falcon - sharp, focused, and decisive in midfield battles.</t>
  </si>
  <si>
    <t>Known for his dynamic play, constantly creating opportunities and driving the team forward.</t>
  </si>
  <si>
    <t>A 'hunter' in the field, always seeking out chances to set up or score goals.</t>
  </si>
  <si>
    <t>His runs down the wing are like a swift flight, often catching defenses off guard.</t>
  </si>
  <si>
    <t>Quick and stealthy like a lynx, his movements on the field are both fluid and unpredictable.</t>
  </si>
  <si>
    <t>His ability to find space and move through defenses is as if he's gliding on air, always ready to strike.</t>
  </si>
  <si>
    <t>Santiago "Swoop" Sánchez (Goalkeeper)</t>
  </si>
  <si>
    <t>Mateo "Mirada" Martínez (Right Back)</t>
  </si>
  <si>
    <t>Gabriel "Guardián" Gutiérrez (Center Back)</t>
  </si>
  <si>
    <t>Nicolás "Nido" Navarro (Center Back)</t>
  </si>
  <si>
    <t>Alejandro "Aguileño" Álvarez (Left Back)</t>
  </si>
  <si>
    <t>Felipe "Faucon" Fernández (Defensive Midfielder)</t>
  </si>
  <si>
    <t>Diego "Dinámico" Díaz (Central Midfielder)</t>
  </si>
  <si>
    <t>Carlos "Cazador" Castro (Attacking Midfielder)</t>
  </si>
  <si>
    <t>Javier "Vuelo" Vargas (Right Winger)</t>
  </si>
  <si>
    <t>Luis "Lince" López (Left Winger)</t>
  </si>
  <si>
    <t>Andrés "Aire" Arroyo (Striker)</t>
  </si>
  <si>
    <t>Sky Perch Colesseum</t>
  </si>
  <si>
    <t>Serpents Lair Stadium</t>
  </si>
  <si>
    <t>Known for his ability to constrict the goal area, making it tough for opponents to score.</t>
  </si>
  <si>
    <t>His playing style is like an anaconda, powerful and overwhelming in defense.</t>
  </si>
  <si>
    <t>Dominant in defense, his tackles and interceptions are as precise as a python's strike.</t>
  </si>
  <si>
    <t>Quick and decisive, he's a viper in intercepting and clearing the ball from danger.</t>
  </si>
  <si>
    <t>His fluid movements and quick pace on the flank are reminiscent of the mythical Naga.</t>
  </si>
  <si>
    <t>Known for his venomous tackles and solid control in the midfield.</t>
  </si>
  <si>
    <t>His sharp passes and strikes are as threatening as a cobra's bite.</t>
  </si>
  <si>
    <t>With his sly movements and cunning play, he's like a serpent in the heart of the field.</t>
  </si>
  <si>
    <t>His quick, darting runs and crosses are as deadly as a taipan's strike.</t>
  </si>
  <si>
    <t>Known for his rapid pace and lethal finishing, much like the swift mamba.</t>
  </si>
  <si>
    <t>His striking ability is as fast and impactful as a whip, always a threat in front of goal.</t>
  </si>
  <si>
    <t>Min Khant "Constrictor" Kyaw (Goalkeeper)</t>
  </si>
  <si>
    <t>Aung Myo "Anaconda" Htet (Right Back)</t>
  </si>
  <si>
    <t>Thet Paing "Python" Soe (Center Back)</t>
  </si>
  <si>
    <t>Zaw Lwin "Viper" Maung (Center Back)</t>
  </si>
  <si>
    <t>Nay Lin "Naga" Aung (Left Back)</t>
  </si>
  <si>
    <t>Kyaw Zin "Krait" Hein (Defensive Midfielder)</t>
  </si>
  <si>
    <t>Htin Kyaw "Cobra" Win (Central Midfielder)</t>
  </si>
  <si>
    <t>Soe Moe "Serpent" Thu (Attacking Midfielder)</t>
  </si>
  <si>
    <t>Than Htike "Taipan" Zaw (Right Winger)</t>
  </si>
  <si>
    <t>Hlaing Min "Mamba" Oo (Left Winger)</t>
  </si>
  <si>
    <t>Wai Phyo "Whip" Aye (Striker)</t>
  </si>
  <si>
    <r>
      <t>Bagus "Bali" Bintang</t>
    </r>
    <r>
      <rPr>
        <sz val="12"/>
        <color theme="1"/>
        <rFont val="Segoe UI"/>
        <family val="2"/>
      </rPr>
      <t xml:space="preserve"> (Goalkeeper)</t>
    </r>
  </si>
  <si>
    <t>Known for his agility and graceful dives, much like a dolphin leaping in Bali's waters.</t>
  </si>
  <si>
    <r>
      <t>Irfan "Island" Iskandar</t>
    </r>
    <r>
      <rPr>
        <sz val="12"/>
        <color theme="1"/>
        <rFont val="Segoe UI"/>
        <family val="2"/>
      </rPr>
      <t xml:space="preserve"> (Right Back)</t>
    </r>
  </si>
  <si>
    <t>His ability to navigate the field is as skillful as navigating through Indonesia's myriad islands.</t>
  </si>
  <si>
    <r>
      <t>Arya "Arjuna" Aditya</t>
    </r>
    <r>
      <rPr>
        <sz val="12"/>
        <color theme="1"/>
        <rFont val="Segoe UI"/>
        <family val="2"/>
      </rPr>
      <t xml:space="preserve"> (Center Back)</t>
    </r>
  </si>
  <si>
    <t>Strong and wise in defense, he embodies the spirit of the legendary Arjuna.</t>
  </si>
  <si>
    <r>
      <t>Rizki "Ripple" Raharjo</t>
    </r>
    <r>
      <rPr>
        <sz val="12"/>
        <color theme="1"/>
        <rFont val="Segoe UI"/>
        <family val="2"/>
      </rPr>
      <t xml:space="preserve"> (Center Back)</t>
    </r>
  </si>
  <si>
    <t>His play style creates ripples in the defense, disrupting opposition attacks effectively.</t>
  </si>
  <si>
    <r>
      <t>Dewa "Dive" Dharma</t>
    </r>
    <r>
      <rPr>
        <sz val="12"/>
        <color theme="1"/>
        <rFont val="Segoe UI"/>
        <family val="2"/>
      </rPr>
      <t xml:space="preserve"> (Left Back)</t>
    </r>
  </si>
  <si>
    <t>Quick and fluid in his movements, his diving tackles are both effective and elegant.</t>
  </si>
  <si>
    <r>
      <t>Bima "Bay" Baskara</t>
    </r>
    <r>
      <rPr>
        <sz val="12"/>
        <color theme="1"/>
        <rFont val="Segoe UI"/>
        <family val="2"/>
      </rPr>
      <t xml:space="preserve"> (Defensive Midfielder)</t>
    </r>
  </si>
  <si>
    <t>Controls the midfield like the calm waters of a bay, steady and unyielding.</t>
  </si>
  <si>
    <r>
      <t>Andi "Aceh" Alam</t>
    </r>
    <r>
      <rPr>
        <sz val="12"/>
        <color theme="1"/>
        <rFont val="Segoe UI"/>
        <family val="2"/>
      </rPr>
      <t xml:space="preserve"> (Central Midfielder)</t>
    </r>
  </si>
  <si>
    <t>His skills are as diverse as the cultural heritage of Aceh, bringing creativity and flair to the midfield.</t>
  </si>
  <si>
    <r>
      <t>Yudha "Yogyakarta" Yulianto</t>
    </r>
    <r>
      <rPr>
        <sz val="12"/>
        <color theme="1"/>
        <rFont val="Segoe UI"/>
        <family val="2"/>
      </rPr>
      <t xml:space="preserve"> (Attacking Midfielder)</t>
    </r>
  </si>
  <si>
    <t>Creative and artistic in his play, much like the cultural richness of Yogyakarta.</t>
  </si>
  <si>
    <r>
      <t>Putra "Papua" Pratama</t>
    </r>
    <r>
      <rPr>
        <sz val="12"/>
        <color theme="1"/>
        <rFont val="Segoe UI"/>
        <family val="2"/>
      </rPr>
      <t xml:space="preserve"> (Right Winger)</t>
    </r>
  </si>
  <si>
    <t>Quick and adventurous on the wing, his play mirrors the untamed beauty of Papua.</t>
  </si>
  <si>
    <r>
      <t>Agus "Aqua" Arifianto</t>
    </r>
    <r>
      <rPr>
        <sz val="12"/>
        <color theme="1"/>
        <rFont val="Segoe UI"/>
        <family val="2"/>
      </rPr>
      <t xml:space="preserve"> (Left Winger)</t>
    </r>
  </si>
  <si>
    <t>Smooth and fluid in his dribbling, he moves like water, unpredictable and graceful.</t>
  </si>
  <si>
    <r>
      <t>Indra "Island Hopper" Irawan</t>
    </r>
    <r>
      <rPr>
        <sz val="12"/>
        <color theme="1"/>
        <rFont val="Segoe UI"/>
        <family val="2"/>
      </rPr>
      <t xml:space="preserve"> (Striker)</t>
    </r>
  </si>
  <si>
    <t>His ability to hop between defensive lines and find scoring opportunities is unmatched.</t>
  </si>
  <si>
    <t>Coral Reef Arena</t>
  </si>
  <si>
    <t>Amazonas Fortress</t>
  </si>
  <si>
    <t>Known for his dexterity and quick reflexes, embodying the agility of a jaguar.</t>
  </si>
  <si>
    <t>A hunter on the field, his tackles and interceptions are sharp and precise.</t>
  </si>
  <si>
    <t>Strong and unmovable like a mountain, he's the backbone of the defense.</t>
  </si>
  <si>
    <t>Agile and quick, his defensive moves are as swift as a lynx.</t>
  </si>
  <si>
    <t>His play mirrors the complexity and unpredictability of the jungle, making him effective in both defense and offense.</t>
  </si>
  <si>
    <t>Like the vast Amazon, his presence on the field is encompassing and vital to the team's structure.</t>
  </si>
  <si>
    <t>His flowing playstyle and ability to navigate through the opposition is like a river cutting through the landscape.</t>
  </si>
  <si>
    <t>Fierce and daring in his play, he's a key creator for the team.</t>
  </si>
  <si>
    <t>Known for his wild and unpredictable moves, much like the mysteries of the selva (jungle).</t>
  </si>
  <si>
    <t>Quick, powerful, and stealthy, he embodies the spirit of the jaguar in his play.</t>
  </si>
  <si>
    <t>His agility and sharp instincts in front of the goal make him a constant threat.</t>
  </si>
  <si>
    <t>Diego "Destreza" Dávila (Goalkeeper)</t>
  </si>
  <si>
    <t>Carlos "Cazador" Campos (Right Back)</t>
  </si>
  <si>
    <t>Miguel "Montaña" Mendoza (Center Back)</t>
  </si>
  <si>
    <t>Luis "Lince" Linares (Center Back)</t>
  </si>
  <si>
    <t>Javier "Jungle" Juárez (Left Back)</t>
  </si>
  <si>
    <t>Alejandro "Amazonas" Alarcón (Defensive Midfielder)</t>
  </si>
  <si>
    <t>Ricardo "Rio" Rojas (Central Midfielder)</t>
  </si>
  <si>
    <t>Fernando "Feroz" Flores (Attacking Midfielder)</t>
  </si>
  <si>
    <t>Sergio "Selva" Sánchez (Right Winger)</t>
  </si>
  <si>
    <t>Juan "Jaguar" Jiménez (Left Winger)</t>
  </si>
  <si>
    <t>Andrés "Agile" Arroyo (Striker)</t>
  </si>
  <si>
    <t>Savannah Dome</t>
  </si>
  <si>
    <t>Known for his commanding presence in goal, much like the powerful trunk of an elephant.</t>
  </si>
  <si>
    <t>His endurance and ability to cover vast spaces on the field mirror the expanse of the Kalahari.</t>
  </si>
  <si>
    <t>Strong and unyielding in defense, he's as steadfast as an elephant.</t>
  </si>
  <si>
    <t>With his towering height and strength, he's a formidable barrier in the defense.</t>
  </si>
  <si>
    <t>His powerful play and strong tackles are reminiscent of an elephant's might.</t>
  </si>
  <si>
    <t>Dominates the midfield with his substantial presence and intelligent play.</t>
  </si>
  <si>
    <t>A leader in the midfield, guiding the team with wisdom and skill.</t>
  </si>
  <si>
    <t>Known for his sharp passes and formidable attack, much like the tusks of an elephant.</t>
  </si>
  <si>
    <t>His pace and agility on the wing are key to penetrating the opposition's defense.</t>
  </si>
  <si>
    <t>Carries the legacy of his predecessors with his skillful play and quick movements.</t>
  </si>
  <si>
    <t>His strong presence in the attack and powerful shots are as impactful as a behemoth.</t>
  </si>
  <si>
    <t>Tshepo "Trunk" Tshabalala (Goalkeeper)</t>
  </si>
  <si>
    <t>Kagiso "Kalahari" Khama (Right Back)</t>
  </si>
  <si>
    <t>Oarabile "Obstinate" Odirile (Center Back)</t>
  </si>
  <si>
    <t>Thabo "Tusker" Thamaga (Center Back)</t>
  </si>
  <si>
    <t>Mpho "Mighty" Motswakae (Left Back)</t>
  </si>
  <si>
    <t>Lerato "Leviathan" Lekgari (Defensive Midfielder)</t>
  </si>
  <si>
    <t>Kabelo "Kgosi" Kgafela (Central Midfielder)</t>
  </si>
  <si>
    <t>Tumelo "Tusks" Tumisang (Attacking Midfielder)</t>
  </si>
  <si>
    <t>Kelebogile "Kgari" Kgosietsile (Right Winger)</t>
  </si>
  <si>
    <t>Letlhogonolo "Legacy" Letsholathebe (Left Winger)</t>
  </si>
  <si>
    <t>Baruti "Behemoth" Bogatsu (Striker)</t>
  </si>
  <si>
    <t>Savanna Sprint Stadium</t>
  </si>
  <si>
    <t>Known for his swift reflexes and agility, reminiscent of a cheetah's speed.</t>
  </si>
  <si>
    <t>His fast-paced defending and ability to chase down attackers make him a key asset.</t>
  </si>
  <si>
    <t>Towering and dominant in the air, he's a crucial part of the team's defense.</t>
  </si>
  <si>
    <t>Quick and alert, his ability to read the game is unparalleled.</t>
  </si>
  <si>
    <t>His rapid recoveries and pace help him excel in both defensive and offensive roles.</t>
  </si>
  <si>
    <t>Agile and graceful, he covers the field effortlessly, much like a gazelle.</t>
  </si>
  <si>
    <t>His energetic play and ability to distribute the ball effectively make him the midfield's powerhouse.</t>
  </si>
  <si>
    <t>Known for his quick movements and sharp playmaking skills.</t>
  </si>
  <si>
    <t>His powerful sprints and skillful dribbling terrorize opposing defenses.</t>
  </si>
  <si>
    <t>Blazing speed and agility define his play, making him a constant offensive threat.</t>
  </si>
  <si>
    <t>Quick and lethal in front of the goal, his striking ability is as fast as a cheetah.</t>
  </si>
  <si>
    <t>Kamau "Kasi" Mwangi (Goalkeeper)</t>
  </si>
  <si>
    <t>Juma "Jabari" Ochieng (Right Back)</t>
  </si>
  <si>
    <t>Mutiso "Mrefu" Kimathi (Center Back)</t>
  </si>
  <si>
    <t>Kibet "Kasi" Korir (Center Back)</t>
  </si>
  <si>
    <t>Otieno "Okoa" Okoth (Left Back)</t>
  </si>
  <si>
    <t>Gitonga "Gazelle" Gachanja (Defensive Midfielder)</t>
  </si>
  <si>
    <t>Baraka "Bawa" Mburu (Central Midfielder)</t>
  </si>
  <si>
    <t>Mugo "Mwendo" Maina (Attacking Midfielder)</t>
  </si>
  <si>
    <t>Nyaga "Nguvu" Njenga (Right Winger)</t>
  </si>
  <si>
    <t>Kirui "Kasi" Kiprono (Left Winger)</t>
  </si>
  <si>
    <t>Macharia "Mwepesi" Mbogo (Striker)</t>
  </si>
  <si>
    <t>Midnight Skies Arena</t>
  </si>
  <si>
    <t>Known for his keen vision and quick reflexes, akin to the sharp eyes of a raven.</t>
  </si>
  <si>
    <t>His fiery play and tireless energy make him a key defender on the flank.</t>
  </si>
  <si>
    <t>Strong and imposing, he dominates the backline like the dark plumage of a raven.</t>
  </si>
  <si>
    <t>A true Viking in defense, his strength and courage are unparalleled.</t>
  </si>
  <si>
    <t>Agile and swift, his playing style mirrors the quickness of a raven.</t>
  </si>
  <si>
    <t>With his critical and strategic approach, he's essential in breaking down opposition plays.</t>
  </si>
  <si>
    <t>His powerful presence in midfield drives the team forward.</t>
  </si>
  <si>
    <t>Quick and clever in creating chances, much like a raven in flight.</t>
  </si>
  <si>
    <t>A formidable force on the wing, his play is as intimidating as a raven's call.</t>
  </si>
  <si>
    <t>His strength and agility make him a formidable opponent on the field.</t>
  </si>
  <si>
    <t>Like Odin's steed, he is both swift and powerful in his attacks on goal.</t>
  </si>
  <si>
    <t>Björn "Bliki" Sigurðsson (Goalkeeper)</t>
  </si>
  <si>
    <t>Einar "Eldur" Jónsson (Right Back)</t>
  </si>
  <si>
    <t>Snorri "Svartur" Stefánsson (Center Back)</t>
  </si>
  <si>
    <t>Valur "Víkingur" Vilhjálmsson (Center Back)</t>
  </si>
  <si>
    <t>Hákon "Hrafn" Haraldsson (Left Back)</t>
  </si>
  <si>
    <t>Gunnar "Gagnrýnandi" Guðmundsson (Defensive Midfielder)</t>
  </si>
  <si>
    <t>Kristófer "Kraftur" Kristjánsson (Central Midfielder)</t>
  </si>
  <si>
    <t>Finnur "Fleygur" Friðriksson (Attacking Midfielder)</t>
  </si>
  <si>
    <t>Ólafur "Ógnvekjandi" Ólafsson (Right Winger)</t>
  </si>
  <si>
    <t>Arnar "Afl" Árnason (Left Winger)</t>
  </si>
  <si>
    <t>Stefán "Sleipnir" Sigurðsson (Striker)</t>
  </si>
  <si>
    <t>Known for his commanding presence and quick reflexes, as strong and reliable as a Mongolian bat (strong).</t>
  </si>
  <si>
    <t>His resilient and powerful play mirrors that of Temujin, the birth name of Genghis Khan.</t>
  </si>
  <si>
    <t>Sturdy and fearless in defense, living up to his name Baatar, meaning 'hero'.</t>
  </si>
  <si>
    <t>Calm and composed under pressure, his playstyle embodies sükh (axe), a symbol of strength.</t>
  </si>
  <si>
    <t>Quick and agile, his movements are as fluid as the word 'galaa' suggests, meaning fire.</t>
  </si>
  <si>
    <t>Solid as a rock (chuluun), he's the backbone of the midfield with his unwavering play.</t>
  </si>
  <si>
    <t>Strong and dynamic, his name means 'steel', reflecting his robust style of play.</t>
  </si>
  <si>
    <t>Fearless and creative, Nergüi meaning 'no fear', he's the creative force of the team.</t>
  </si>
  <si>
    <t>His joyful (jargal) and victorious (saikhan) spirit energizes the team's attacks.</t>
  </si>
  <si>
    <t>Pure (ariun) and brave (bold), his sharp skills make him a key player in offensive maneuvers.</t>
  </si>
  <si>
    <t>Swift and strong like a wild horse (khulan), he's a constant goal threat.</t>
  </si>
  <si>
    <t>Batbold "Bat" Bayar (Goalkeeper)</t>
  </si>
  <si>
    <t>Temuujin "Temur" Erdene (Right Back)</t>
  </si>
  <si>
    <t>Bataar "Baatar" Ochir (Center Back)</t>
  </si>
  <si>
    <t>Sukh "Sükh" Bat (Center Back)</t>
  </si>
  <si>
    <t>Gal "Galaa" Altan (Left Back)</t>
  </si>
  <si>
    <t>Chuluun "Chi" Naran (Defensive Midfielder)</t>
  </si>
  <si>
    <t>Togtokh "Tog" Bolor (Central Midfielder)</t>
  </si>
  <si>
    <t>Nergui "Nergüi" Enkh (Attacking Midfielder)</t>
  </si>
  <si>
    <t>Jargal "Jargalant" Saikhan (Right Winger)</t>
  </si>
  <si>
    <t>Ariun "Ari" Bold (Left Winger)</t>
  </si>
  <si>
    <t>Khulan "Khu" Ganbold (Striker)</t>
  </si>
  <si>
    <t>Steppe Thunder Grounds</t>
  </si>
  <si>
    <t>Known for his invaluable ('anmol') saves and solid presence in goal.</t>
  </si>
  <si>
    <t>His lightning ('barq') quick pace and sharp tackles make him a formidable defender.</t>
  </si>
  <si>
    <t>Strong as steel ('faulad'), he is the unbreakable backbone of the team's defense.</t>
  </si>
  <si>
    <t>His game is marked by excellence ('ijaz') in aerial duels and interceptions.</t>
  </si>
  <si>
    <t>His successful ('kamiyab') runs and crosses from the left make him a key offensive player.</t>
  </si>
  <si>
    <t>Rare ('nayab') in his ability to read the game and intercept plays, he's a vital part of the midfield.</t>
  </si>
  <si>
    <t>Skilled like the legendary Owais of Arabia, his play is both creative and strategic.</t>
  </si>
  <si>
    <t>Noble ('raees') in his playmaking ability, orchestrating the team's offensive maneuvers.</t>
  </si>
  <si>
    <t>His fluid dribbling and pace are like that of a 'saqi' (cupbearer), serving up opportunities for the team.</t>
  </si>
  <si>
    <t>Strong ('taqat') and determined, his runs down the wing are vital for creating scoring chances.</t>
  </si>
  <si>
    <t>Elegant ('zarif') in his technique and finishing, he's a constant threat in front of goal.</t>
  </si>
  <si>
    <t>Aamir "Anmol" Ali (Goalkeeper)</t>
  </si>
  <si>
    <t>Bilal "Barq" Bashir (Right Back)</t>
  </si>
  <si>
    <t>Fahad "Faulad" Farooq (Center Back)</t>
  </si>
  <si>
    <t>Imran "Ijaz" Iqbal (Center Back)</t>
  </si>
  <si>
    <t>Khalid "Kamiyab" Khan (Left Back)</t>
  </si>
  <si>
    <t>Nadeem "Nayab" Niazi (Defensive Midfielder)</t>
  </si>
  <si>
    <t>Omar "Owais" Osman (Central Midfielder)</t>
  </si>
  <si>
    <t>Rashid "Raees" Rahman (Attacking Midfielder)</t>
  </si>
  <si>
    <t>Saqib "Saqi" Saleem (Right Winger)</t>
  </si>
  <si>
    <t>Tariq "Taqat" Talib (Left Winger)</t>
  </si>
  <si>
    <t>Zubair "Zarif" Zafar (Striker)</t>
  </si>
  <si>
    <t>Mighty Plains Arena</t>
  </si>
  <si>
    <t>Misty Forests Stadium</t>
  </si>
  <si>
    <t>His imposing presence in goal is as commanding as a gorilla's, making him a key defensive asset.</t>
  </si>
  <si>
    <t>Agile and robust, his play mirrors the versatility of moving through a dense jungle.</t>
  </si>
  <si>
    <t>Strong in aerial battles and tenacious in defense, much like a gorilla climbing through the forest.</t>
  </si>
  <si>
    <t>His tactical prowess and physical strength make him a cornerstone of the defense.</t>
  </si>
  <si>
    <t>Known for his thunderous pace and solid tackles, he's a vital part of the team's back line.</t>
  </si>
  <si>
    <t>As the team's leader, he orchestrates the play with intelligence and strength.</t>
  </si>
  <si>
    <t>His daring runs and robust playstyle drive the heart of the team's midfield.</t>
  </si>
  <si>
    <t>His boundless energy and creativity fuel the team's offensive moves.</t>
  </si>
  <si>
    <t>Powerful and skillful, his brawny play is key in breaking down defenses.</t>
  </si>
  <si>
    <t>Swift and cunning on the wing, he's a constant threat to the opposition.</t>
  </si>
  <si>
    <t>His might in front of goal and ability to find scoring opportunities are unmatched.</t>
  </si>
  <si>
    <t>Yann "Yaya" Ndong (Goalkeeper)</t>
  </si>
  <si>
    <t>Jean "Jungle" M'ba (Right Back)</t>
  </si>
  <si>
    <t>Cédric "Climber" Ondo (Center Back)</t>
  </si>
  <si>
    <t>Pierre "Prowess" Kanga (Center Back)</t>
  </si>
  <si>
    <t>Thierry "Thunder" Bongo (Left Back)</t>
  </si>
  <si>
    <t>Louis "Leader" Mouketou (Defensive Midfielder)</t>
  </si>
  <si>
    <t>Didier "Daring" Makaga (Central Midfielder)</t>
  </si>
  <si>
    <t>Étienne "Energy" Engonga (Attacking Midfielder)</t>
  </si>
  <si>
    <t>Bruno "Brawn" Boussougou (Right Winger)</t>
  </si>
  <si>
    <t>Samuel "Swift" Mvé (Left Winger)</t>
  </si>
  <si>
    <t>Marc "Might" Assoumou (Striker)</t>
  </si>
  <si>
    <t>Liberty Wings Arena</t>
  </si>
  <si>
    <t>His sharp reflexes and commanding presence in goal are as keen as an eagle's talons.</t>
  </si>
  <si>
    <t>Known for his exceptional vision on the field and precision in interceptions.</t>
  </si>
  <si>
    <t>Strong and dependable, he's the stalwart of the team's defense.</t>
  </si>
  <si>
    <t>Courageous and unyielding, his bravery in defense is critical to the team's success.</t>
  </si>
  <si>
    <t>Fast and agile, he excels in both defense and supporting the offense.</t>
  </si>
  <si>
    <t>With a keen sense of justice, he ensures fair play and balance in the midfield.</t>
  </si>
  <si>
    <t>His majestic playmaking skills and vision control the flow of the game.</t>
  </si>
  <si>
    <t>His journeying runs and creativity spark the team's offensive plays.</t>
  </si>
  <si>
    <t>His courageous runs and daring plays make him a threat on the wing.</t>
  </si>
  <si>
    <t>Known for his ace skills and ability to make decisive plays in critical moments.</t>
  </si>
  <si>
    <t>His high-flying skills and sharp shooting make him a top goal scorer.</t>
  </si>
  <si>
    <t>Tyler "Talon" Johnson (Goalkeeper)</t>
  </si>
  <si>
    <t>Ethan "Eagle Eye" Miller (Right Back)</t>
  </si>
  <si>
    <t>Michael "Mighty" Anderson (Center Back)</t>
  </si>
  <si>
    <t>Brandon "Brave" Baker (Center Back)</t>
  </si>
  <si>
    <t>Ryan "Raptor" Roberts (Left Back)</t>
  </si>
  <si>
    <t>Jacob "Justice" James (Defensive Midfielder)</t>
  </si>
  <si>
    <t>Matthew "Majestic" Morgan (Central Midfielder)</t>
  </si>
  <si>
    <t>Joshua "Journey" Jackson (Attacking Midfielder)</t>
  </si>
  <si>
    <t>Christopher "Courage" Carter (Right Winger)</t>
  </si>
  <si>
    <t>Alexander "Ace" Adams (Left Winger)</t>
  </si>
  <si>
    <t>Andrew "Aviator" Allen (Striker)</t>
  </si>
  <si>
    <t>Known for his courageous ('jasiri') saves and commanding presence in the goal.</t>
  </si>
  <si>
    <t>His play is full of pride ('fahari') and determination, making him a formidable defender.</t>
  </si>
  <si>
    <t>Strong and noble like a lion ('simba'), he anchors the team's defense.</t>
  </si>
  <si>
    <t>His name means 'peace', and he brings calm and stability to the back line.</t>
  </si>
  <si>
    <t>Agile and skillful, his name 'zuri' meaning 'good', reflects his reliable play.</t>
  </si>
  <si>
    <t>Respected ('heshima') for his discipline and control in the midfield.</t>
  </si>
  <si>
    <t>His energetic play lights up ('radi') the midfield with creativity and drive.</t>
  </si>
  <si>
    <t>Strong ('imara') and decisive, he's the creative spark of the team.</t>
  </si>
  <si>
    <t>Fearless and fast, he embodies the spirit of a lion on the wing.</t>
  </si>
  <si>
    <t>Dependable ('yakinifu') and skillful, his play is critical in opening up defenses.</t>
  </si>
  <si>
    <t>His name means 'honor' and 'pride', and he leads the attack with skill and dignity.</t>
  </si>
  <si>
    <t>Juma "Jasiri" Kipanga (Goalkeeper)</t>
  </si>
  <si>
    <t>Faraji "Fahari" Mwamba (Right Back)</t>
  </si>
  <si>
    <t>Amani "Asante" Chacha (Center Back)</t>
  </si>
  <si>
    <t>Zuberi "Zuri" Majaliwa (Left Back)</t>
  </si>
  <si>
    <t>Hassan "Heshima" Saidi (Defensive Midfielder)</t>
  </si>
  <si>
    <t>Rashidi "Radi" Nyoni (Central Midfielder)</t>
  </si>
  <si>
    <t>Issa "Imara" Juma (Attacking Midfielder)</t>
  </si>
  <si>
    <t>Salim "Simba" Abdallah (Right Winger)</t>
  </si>
  <si>
    <t>Yusuf "Yakinifu" Mzuri (Left Winger)</t>
  </si>
  <si>
    <t>Fadhili "Fahari" Mbwana (Striker)</t>
  </si>
  <si>
    <t>Known for his sharp reflexes and agility, like the deadly strike of a cobra.</t>
  </si>
  <si>
    <t>His royal ('raj') defensive play is both dignified and effective.</t>
  </si>
  <si>
    <t>Solid and unyielding, his name 'aghat' meaning 'impact' reflects his defensive prowess.</t>
  </si>
  <si>
    <t>Brave ('veer') and strong, he's a formidable force in the heart of the defense.</t>
  </si>
  <si>
    <t>His skillful ('siddhi') play and agility make him a key asset in both defense and attack.</t>
  </si>
  <si>
    <t>Skillful ('nipun') and precise, he controls the midfield with his tactical intelligence.</t>
  </si>
  <si>
    <t>His name means 'silver', and he adds a shining quality to the team's play.</t>
  </si>
  <si>
    <t>Fiery ('agni') and passionate, he ignites the team's attacking moves.</t>
  </si>
  <si>
    <t>Believing in 'karma', his hard work and dedication always pay off on the field.</t>
  </si>
  <si>
    <t>His name means 'victory', and he consistently delivers winning performances.</t>
  </si>
  <si>
    <t>A 'beginning' ('aadi') of new attacks, his striking ability is formidable and decisive.</t>
  </si>
  <si>
    <t>Arjun "Astra" Singh (Goalkeeper)</t>
  </si>
  <si>
    <t>Rohan "Raj" Gupta (Right Back)</t>
  </si>
  <si>
    <t>Amit "Aghat" Sharma (Center Back)</t>
  </si>
  <si>
    <t>Vikram "Veer" Patel (Center Back)</t>
  </si>
  <si>
    <t>Siddharth "Siddhi" Mehta (Left Back)</t>
  </si>
  <si>
    <t>Nikhil "Nipun" Nair (Defensive Midfielder)</t>
  </si>
  <si>
    <t>Rajesh "Rajat" Kumar (Central Midfielder)</t>
  </si>
  <si>
    <t>Abhishek "Agni" Joshi (Attacking Midfielder)</t>
  </si>
  <si>
    <t>Kunal "Karma" Chaudhary (Right Winger)</t>
  </si>
  <si>
    <t>Vivek "Vijay" Verma (Left Winger)</t>
  </si>
  <si>
    <t>Aditya "Aadi" Rana (Striker)</t>
  </si>
  <si>
    <t>Andean Heights Arena</t>
  </si>
  <si>
    <t>Known for his sharp 'mirada' (gaze), his quick reflexes and keen eye make him an excellent goalkeeper.</t>
  </si>
  <si>
    <t>Agile and quick like a 'lince' (lynx), he's exceptional in both defense and supporting the attack.</t>
  </si>
  <si>
    <t>A 'guerrero' (warrior) in defense, his strength and leadership are vital.</t>
  </si>
  <si>
    <t>His 'noble' (noble) play and fair tactics make him a respected figure in the defense.</t>
  </si>
  <si>
    <t>'Sombra' (shadow) represents his ability to seamlessly cover and defend against attackers.</t>
  </si>
  <si>
    <t>Like a 'faucon' (falcon), his sharp vision and quick response control the midfield.</t>
  </si>
  <si>
    <t>His play is as majestic as an 'aguila' (eagle), with graceful yet impactful contributions.</t>
  </si>
  <si>
    <t>'Dinámico' (dynamic) in his approach, he is the creative engine of the team.</t>
  </si>
  <si>
    <t>His wide range and soaring runs down the wing are reminiscent of a 'cóndor' (condor).</t>
  </si>
  <si>
    <t>His swift and powerful play on the wing mirrors the qualities of a 'jaguar'.</t>
  </si>
  <si>
    <t>'El Águila' (The Eagle) for his sharp attacking instincts and soaring finishes.</t>
  </si>
  <si>
    <t>Matías "Mirada" Mendoza (Goalkeeper)</t>
  </si>
  <si>
    <t>Lucas "Lince" López (Right Back)</t>
  </si>
  <si>
    <t>Gabriel "Guerrero" Gutiérrez (Center Back)</t>
  </si>
  <si>
    <t>Nicolás "Noble" Navarro (Center Back)</t>
  </si>
  <si>
    <t>Sebastián "Sombra" Silva (Left Back)</t>
  </si>
  <si>
    <t>Fernando "Faucon" Flores (Defensive Midfielder)</t>
  </si>
  <si>
    <t>Antonio "Aguila" Araya (Central Midfielder)</t>
  </si>
  <si>
    <t>Diego "Dinámico" Díaz (Attacking Midfielder)</t>
  </si>
  <si>
    <t>Carlos "Cóndor" Carrasco (Right Winger)</t>
  </si>
  <si>
    <t>Eduardo "El Águila" Espinoza (Striker)</t>
  </si>
  <si>
    <t>Javier "Jimenez" Jiménez (Left Winger)</t>
  </si>
  <si>
    <t>Known for his 'awan' (cloud-like) reflexes, his quick and graceful dives make him a reliable goalkeeper.</t>
  </si>
  <si>
    <t>His 'sinar' (ray) of energy and speed on the right flank is indispensable for both defense and offense.</t>
  </si>
  <si>
    <t>With 'firasat' (instinct), his anticipation and tackles make him a vital part of the defense.</t>
  </si>
  <si>
    <t>His 'zahir' (evident) presence in the defense line provides strength and stability.</t>
  </si>
  <si>
    <t>Known for his 'iringan' (accompaniment), his support in both defense and attack is key.</t>
  </si>
  <si>
    <t>'Rimau' (tiger) represents his aggressive yet intelligent control in the midfield.</t>
  </si>
  <si>
    <t>His play reflects 'alam' (nature), encompassing versatility and natural skill.</t>
  </si>
  <si>
    <t>Like a 'harimau' (tiger), his daring and impactful plays spark the team’s attacks.</t>
  </si>
  <si>
    <t>His 'angin' (wind) like pace and skill on the wing are vital for breaking down defenses.</t>
  </si>
  <si>
    <t>His 'fajar' (dawn) of creativity and energy on the field illuminates the team's play.</t>
  </si>
  <si>
    <t>'Kuasa' (power) defines his strength and potency in front of the goal.</t>
  </si>
  <si>
    <t>Ahmad "Awan" Aziz (Goalkeeper)</t>
  </si>
  <si>
    <t>Syed "Sinar" Rahman (Right Back)</t>
  </si>
  <si>
    <t>Faisal "Firasat" Bakar (Center Back)</t>
  </si>
  <si>
    <t>Zulkifli "Zahir" Zainal (Center Back)</t>
  </si>
  <si>
    <t>Ismail "Iringan" Adnan (Left Back)</t>
  </si>
  <si>
    <t>Rizal "Rimau" Jamal (Defensive Midfielder)</t>
  </si>
  <si>
    <t>Amir "Alam" Ali (Central Midfielder)</t>
  </si>
  <si>
    <t>Hafiz "Harimau" Hassan (Attacking Midfielder)</t>
  </si>
  <si>
    <t>Azhar "Angin" Abdullah (Right Winger)</t>
  </si>
  <si>
    <t>Farid "Fajar" Fauzi (Left Winger)</t>
  </si>
  <si>
    <t>Kamarul "Kuasa" Khairi (Striker)</t>
  </si>
  <si>
    <t>Great Barrier Grounds</t>
  </si>
  <si>
    <t>Known for his formidable presence in goal, much like the Great Barrier itself.</t>
  </si>
  <si>
    <t>Quick and agile, his playstyle mirrors the unpredictable eddies of the ocean.</t>
  </si>
  <si>
    <t>His keen instincts and defensive nips disrupt opposing attacks effectively.</t>
  </si>
  <si>
    <t>As rugged and reliable as the Australian outback, he's a staple in the team’s defense.</t>
  </si>
  <si>
    <t>His fluid movements and ability to ride the defensive wave make him crucial to the team’s structure.</t>
  </si>
  <si>
    <t>Deceptively calm but impactful, like a jellyfish, he controls the midfield with poise.</t>
  </si>
  <si>
    <t>His play is as serene and deep as a lagoon, with a sudden striking ability.</t>
  </si>
  <si>
    <t>A safe harbor for the ball, he's the team's anchor in creating attacking opportunities.</t>
  </si>
  <si>
    <t>Fast and sharp, much like a marlin, his runs down the wing are a spectacle.</t>
  </si>
  <si>
    <t>With the strength and unpredictability of ocean currents, he's vital in the team's attacks.</t>
  </si>
  <si>
    <t>Ebbing and flowing like the tide, his ability to find and exploit spaces is unmatched.</t>
  </si>
  <si>
    <t>Liam "Barrier" Baxter (Goalkeeper)</t>
  </si>
  <si>
    <t>Ethan "Eddy" Edwards (Right Back)</t>
  </si>
  <si>
    <t>Noah "Nipper" Nicholson (Center Back)</t>
  </si>
  <si>
    <t>Oliver "Outback" O'Connor (Center Back)</t>
  </si>
  <si>
    <t>William "Wave" Walker (Left Back)</t>
  </si>
  <si>
    <t>Jack "Jellyfish" Johnson (Defensive Midfielder)</t>
  </si>
  <si>
    <t>Lucas "Lagoon" Lewis (Central Midfielder)</t>
  </si>
  <si>
    <t>Henry "Harbor" Harris (Attacking Midfielder)</t>
  </si>
  <si>
    <t>Mason "Marlin" Mitchell (Right Winger)</t>
  </si>
  <si>
    <t>Charlie "Current" Campbell (Left Winger)</t>
  </si>
  <si>
    <t>Thomas "Tide" Taylor (Striker)</t>
  </si>
  <si>
    <t>Taiga Territory Stadium</t>
  </si>
  <si>
    <t>Known for his 'druzhok' (buddy-like) camaraderie and sharp reflexes in goal.</t>
  </si>
  <si>
    <t>His robust and resilient play mirrors the Russian spirit.</t>
  </si>
  <si>
    <t>Strong and stealthy like an 'irbis' (snow leopard), he's a key figure in defense.</t>
  </si>
  <si>
    <t>His 'sokol' (falcon) like focus and aerial ability make him formidable in defense.</t>
  </si>
  <si>
    <t>'Azart' (enthusiasm) characterizes his passionate play and quick runs on the flank.</t>
  </si>
  <si>
    <t>'Volchok' (little wolf) for his tenacity and leadership in the midfield.</t>
  </si>
  <si>
    <t>His play is as strong and steady as a 'medved' (bear), dominating the midfield.</t>
  </si>
  <si>
    <t>Agile and sharp like a 'yastreb' (hawk), his playmaking is crucial for the team.</t>
  </si>
  <si>
    <t>His endurance and skill are reminiscent of the vast and challenging Arctic.</t>
  </si>
  <si>
    <t>'Krepost' (fortress) for his solid and unwavering play on the wing.</t>
  </si>
  <si>
    <t>'Molniya' (lightning) for his striking speed and lethal finishing.</t>
  </si>
  <si>
    <t>Dmitri "Druzhok" Ivanov (Goalkeeper)</t>
  </si>
  <si>
    <t>Nikolai "Nikol" Petrov (Right Back)</t>
  </si>
  <si>
    <t>Igor "Irbis" Smirnov (Center Back)</t>
  </si>
  <si>
    <t>Sergei "Sokol" Kuznetsov (Center Back)</t>
  </si>
  <si>
    <t>Alexei "Azart" Alexandrov (Left Back)</t>
  </si>
  <si>
    <t>Vladimir "Volchok" Vasilyev (Defensive Midfielder)</t>
  </si>
  <si>
    <t>Mikhail "Medved" Morozov (Central Midfielder)</t>
  </si>
  <si>
    <t>Yuri "Yastreb" Yudin (Attacking Midfielder)</t>
  </si>
  <si>
    <t>Andrei "Arktika" Antonov (Right Winger)</t>
  </si>
  <si>
    <t>Konstantin "Krepost" Kozlov (Left Winger)</t>
  </si>
  <si>
    <t>Maxim "Molniya" Makarov (Striker)</t>
  </si>
  <si>
    <t>Baraka "Lema" Lema (Center Back)</t>
  </si>
  <si>
    <t>Accuracy</t>
  </si>
  <si>
    <t>rating</t>
  </si>
  <si>
    <t>Team Sheet</t>
  </si>
  <si>
    <t>Points</t>
  </si>
  <si>
    <t>Played</t>
  </si>
  <si>
    <t>Wins</t>
  </si>
  <si>
    <t>Draws</t>
  </si>
  <si>
    <t>Losses</t>
  </si>
  <si>
    <t>GF</t>
  </si>
  <si>
    <t>GA</t>
  </si>
  <si>
    <t>GD</t>
  </si>
  <si>
    <t>Wolfpack Wanderers</t>
  </si>
  <si>
    <t>Eagle Eyed United</t>
  </si>
  <si>
    <t>Panther Prowlers</t>
  </si>
  <si>
    <t>Lionheart Rovers</t>
  </si>
  <si>
    <t>Hawk Haven</t>
  </si>
  <si>
    <t>Cheetah Chasers</t>
  </si>
  <si>
    <t>Jaguar Juggernauts</t>
  </si>
  <si>
    <t>Tiger Tacklers</t>
  </si>
  <si>
    <t>Gorilla Goalscorers</t>
  </si>
  <si>
    <t>Dolphin Dribblers</t>
  </si>
  <si>
    <t>Raven Raiders</t>
  </si>
  <si>
    <t>Sharkfin Athletic</t>
  </si>
  <si>
    <t>Falcon Flyers</t>
  </si>
  <si>
    <t>Stallion Strikers</t>
  </si>
  <si>
    <t>Bear Brigade</t>
  </si>
  <si>
    <t>Rhino Rampage</t>
  </si>
  <si>
    <t>Python Power</t>
  </si>
  <si>
    <t>Elephant Elites</t>
  </si>
  <si>
    <t>Cobra Strike FC</t>
  </si>
  <si>
    <t>Buffalo Battlers</t>
  </si>
  <si>
    <t>Showing 1 to 20 of 20 entries, 10 total columns</t>
  </si>
  <si>
    <t>Pos</t>
  </si>
  <si>
    <t>Pld</t>
  </si>
  <si>
    <t>W</t>
  </si>
  <si>
    <t>D</t>
  </si>
  <si>
    <t>L</t>
  </si>
  <si>
    <t>Pts</t>
  </si>
  <si>
    <t>Qualification or relegation</t>
  </si>
  <si>
    <t>Manchester City (C)</t>
  </si>
  <si>
    <t>Qualification for the Champions League group stage</t>
  </si>
  <si>
    <t>Liverpool</t>
  </si>
  <si>
    <t>Chelsea</t>
  </si>
  <si>
    <t>Tottenham Hotspur</t>
  </si>
  <si>
    <t>Arsenal</t>
  </si>
  <si>
    <r>
      <t>Qualification for the </t>
    </r>
    <r>
      <rPr>
        <sz val="11"/>
        <color rgb="FF3366CC"/>
        <rFont val="Arial"/>
        <family val="2"/>
      </rPr>
      <t>Europa League group stage</t>
    </r>
    <r>
      <rPr>
        <vertAlign val="superscript"/>
        <sz val="8"/>
        <color rgb="FF3366CC"/>
        <rFont val="Arial"/>
        <family val="2"/>
      </rPr>
      <t>[a]</t>
    </r>
  </si>
  <si>
    <t>Manchester United</t>
  </si>
  <si>
    <t>West Ham United</t>
  </si>
  <si>
    <r>
      <t>Qualification for the </t>
    </r>
    <r>
      <rPr>
        <sz val="11"/>
        <color rgb="FF3366CC"/>
        <rFont val="Arial"/>
        <family val="2"/>
      </rPr>
      <t>Europa Conference League play-off round</t>
    </r>
    <r>
      <rPr>
        <vertAlign val="superscript"/>
        <sz val="8"/>
        <color rgb="FF3366CC"/>
        <rFont val="Arial"/>
        <family val="2"/>
      </rPr>
      <t>[a]</t>
    </r>
  </si>
  <si>
    <t>Leicester City</t>
  </si>
  <si>
    <t>Brighton &amp; Hove Albion</t>
  </si>
  <si>
    <t>−2</t>
  </si>
  <si>
    <t>Wolverhampton Wanderers</t>
  </si>
  <si>
    <t>−5</t>
  </si>
  <si>
    <t>Newcastle United</t>
  </si>
  <si>
    <t>−18</t>
  </si>
  <si>
    <t>Crystal Palace</t>
  </si>
  <si>
    <t>Brentford</t>
  </si>
  <si>
    <t>−8</t>
  </si>
  <si>
    <t>Aston Villa</t>
  </si>
  <si>
    <t>Southampton</t>
  </si>
  <si>
    <t>−24</t>
  </si>
  <si>
    <t>Everton</t>
  </si>
  <si>
    <t>−23</t>
  </si>
  <si>
    <t>Leeds United</t>
  </si>
  <si>
    <t>−37</t>
  </si>
  <si>
    <t>Burnley (R)</t>
  </si>
  <si>
    <t>−19</t>
  </si>
  <si>
    <t>Relegation to EFL Championship</t>
  </si>
  <si>
    <t>Watford (R)</t>
  </si>
  <si>
    <t>−43</t>
  </si>
  <si>
    <t>Norwich City (R)</t>
  </si>
  <si>
    <t>−61</t>
  </si>
  <si>
    <t>seed 696</t>
  </si>
  <si>
    <t>21/22</t>
  </si>
  <si>
    <t>Yann</t>
  </si>
  <si>
    <t>Ndong</t>
  </si>
  <si>
    <t>Y. Ndong</t>
  </si>
  <si>
    <t>Yaya</t>
  </si>
  <si>
    <t>Jean</t>
  </si>
  <si>
    <t>M'ba</t>
  </si>
  <si>
    <t>J. M'ba</t>
  </si>
  <si>
    <t>Jungle</t>
  </si>
  <si>
    <t>Cédric</t>
  </si>
  <si>
    <t>Ondo</t>
  </si>
  <si>
    <t>C. Ondo</t>
  </si>
  <si>
    <t>Climber</t>
  </si>
  <si>
    <t>Pierre</t>
  </si>
  <si>
    <t>Kanga</t>
  </si>
  <si>
    <t>P. Kanga</t>
  </si>
  <si>
    <t>Prowess</t>
  </si>
  <si>
    <t>Thierry</t>
  </si>
  <si>
    <t>Bongo</t>
  </si>
  <si>
    <t>T. Bongo</t>
  </si>
  <si>
    <t>Thunder</t>
  </si>
  <si>
    <t>Louis</t>
  </si>
  <si>
    <t>Mouketou</t>
  </si>
  <si>
    <t>L. Mouketou</t>
  </si>
  <si>
    <t>Leader</t>
  </si>
  <si>
    <t>Didier</t>
  </si>
  <si>
    <t>Makaga</t>
  </si>
  <si>
    <t>D. Makaga</t>
  </si>
  <si>
    <t>Daring</t>
  </si>
  <si>
    <t>Étienne</t>
  </si>
  <si>
    <t>Engonga</t>
  </si>
  <si>
    <t>É. Engonga</t>
  </si>
  <si>
    <t>Energy</t>
  </si>
  <si>
    <t>Bruno</t>
  </si>
  <si>
    <t>Boussougou</t>
  </si>
  <si>
    <t>B. Boussougou</t>
  </si>
  <si>
    <t>Brawn</t>
  </si>
  <si>
    <t>Samuel</t>
  </si>
  <si>
    <t>Mvé</t>
  </si>
  <si>
    <t>S. Mvé</t>
  </si>
  <si>
    <t>Swift</t>
  </si>
  <si>
    <t>Marc</t>
  </si>
  <si>
    <t>Assoumou</t>
  </si>
  <si>
    <t>M. Assoumou</t>
  </si>
  <si>
    <t>Might</t>
  </si>
  <si>
    <t>Aamir</t>
  </si>
  <si>
    <t>Ali</t>
  </si>
  <si>
    <t>A. Ali</t>
  </si>
  <si>
    <t>Anmol</t>
  </si>
  <si>
    <t>Bilal</t>
  </si>
  <si>
    <t>Bashir</t>
  </si>
  <si>
    <t>B. Bashir</t>
  </si>
  <si>
    <t>Barq</t>
  </si>
  <si>
    <t>Fahad</t>
  </si>
  <si>
    <t>Farooq</t>
  </si>
  <si>
    <t>F. Farooq</t>
  </si>
  <si>
    <t>Faulad</t>
  </si>
  <si>
    <t>Imran</t>
  </si>
  <si>
    <t>Iqbal</t>
  </si>
  <si>
    <t>I. Iqbal</t>
  </si>
  <si>
    <t>Ijaz</t>
  </si>
  <si>
    <t>Khalid</t>
  </si>
  <si>
    <t>Khan</t>
  </si>
  <si>
    <t>K. Khan</t>
  </si>
  <si>
    <t>Kamiyab</t>
  </si>
  <si>
    <t>Nadeem</t>
  </si>
  <si>
    <t>Niazi</t>
  </si>
  <si>
    <t>N. Niazi</t>
  </si>
  <si>
    <t>Nayab</t>
  </si>
  <si>
    <t>Omar</t>
  </si>
  <si>
    <t>Osman</t>
  </si>
  <si>
    <t>O. Osman</t>
  </si>
  <si>
    <t>Owais</t>
  </si>
  <si>
    <t>Rashid</t>
  </si>
  <si>
    <t>Rahman</t>
  </si>
  <si>
    <t>R. Rahman</t>
  </si>
  <si>
    <t>Raees</t>
  </si>
  <si>
    <t>Saqib</t>
  </si>
  <si>
    <t>Saleem</t>
  </si>
  <si>
    <t>S. Saleem</t>
  </si>
  <si>
    <t>Saqi</t>
  </si>
  <si>
    <t>Tariq</t>
  </si>
  <si>
    <t>Talib</t>
  </si>
  <si>
    <t>T. Talib</t>
  </si>
  <si>
    <t>Taqat</t>
  </si>
  <si>
    <t>Zubair</t>
  </si>
  <si>
    <t>Zafar</t>
  </si>
  <si>
    <t>Z. Zafar</t>
  </si>
  <si>
    <t>Zarif</t>
  </si>
  <si>
    <t>Björn</t>
  </si>
  <si>
    <t>Sigurðsson</t>
  </si>
  <si>
    <t>B. Sigurðsson</t>
  </si>
  <si>
    <t>Bliki</t>
  </si>
  <si>
    <t>Einar</t>
  </si>
  <si>
    <t>Jónsson</t>
  </si>
  <si>
    <t>E. Jónsson</t>
  </si>
  <si>
    <t>Eldur</t>
  </si>
  <si>
    <t>Snorri</t>
  </si>
  <si>
    <t>Stefánsson</t>
  </si>
  <si>
    <t>S. Stefánsson</t>
  </si>
  <si>
    <t>Svartur</t>
  </si>
  <si>
    <t>Valur</t>
  </si>
  <si>
    <t>Vilhjálmsson</t>
  </si>
  <si>
    <t>V. Vilhjálmsson</t>
  </si>
  <si>
    <t>Víkingur</t>
  </si>
  <si>
    <t>Hákon</t>
  </si>
  <si>
    <t>Haraldsson</t>
  </si>
  <si>
    <t>H. Haraldsson</t>
  </si>
  <si>
    <t>Hrafn</t>
  </si>
  <si>
    <t>Gunnar</t>
  </si>
  <si>
    <t>Guðmundsson</t>
  </si>
  <si>
    <t>G. Guðmundsson</t>
  </si>
  <si>
    <t>Gagnrýnandi</t>
  </si>
  <si>
    <t>Kristófer</t>
  </si>
  <si>
    <t>Kristjánsson</t>
  </si>
  <si>
    <t>K. Kristjánsson</t>
  </si>
  <si>
    <t>Kraftur</t>
  </si>
  <si>
    <t>Finnur</t>
  </si>
  <si>
    <t>Friðriksson</t>
  </si>
  <si>
    <t>F. Friðriksson</t>
  </si>
  <si>
    <t>Fleygur</t>
  </si>
  <si>
    <t>Ólafur</t>
  </si>
  <si>
    <t>Ólafsson</t>
  </si>
  <si>
    <t>Ó. Ólafsson</t>
  </si>
  <si>
    <t>Ógnvekjandi</t>
  </si>
  <si>
    <t>Arnar</t>
  </si>
  <si>
    <t>Árnason</t>
  </si>
  <si>
    <t>A. Árnason</t>
  </si>
  <si>
    <t>Afl</t>
  </si>
  <si>
    <t>Stefán</t>
  </si>
  <si>
    <t>S. Sigurðsson</t>
  </si>
  <si>
    <t>Sleipnir</t>
  </si>
  <si>
    <t>Kamau</t>
  </si>
  <si>
    <t>Mwangi</t>
  </si>
  <si>
    <t>K. Mwangi</t>
  </si>
  <si>
    <t>Kasi</t>
  </si>
  <si>
    <t>Juma</t>
  </si>
  <si>
    <t>Ochieng</t>
  </si>
  <si>
    <t>J. Ochieng</t>
  </si>
  <si>
    <t>Jabari</t>
  </si>
  <si>
    <t>Mutiso</t>
  </si>
  <si>
    <t>Kimathi</t>
  </si>
  <si>
    <t>M. Kimathi</t>
  </si>
  <si>
    <t>Mrefu</t>
  </si>
  <si>
    <t>Kibet</t>
  </si>
  <si>
    <t>Korir</t>
  </si>
  <si>
    <t>K. Korir</t>
  </si>
  <si>
    <t>Otieno</t>
  </si>
  <si>
    <t>Okoth</t>
  </si>
  <si>
    <t>O. Okoth</t>
  </si>
  <si>
    <t>Okoa</t>
  </si>
  <si>
    <t>Gitonga</t>
  </si>
  <si>
    <t>Gachanja</t>
  </si>
  <si>
    <t>G. Gachanja</t>
  </si>
  <si>
    <t>Gazelle</t>
  </si>
  <si>
    <t>Baraka</t>
  </si>
  <si>
    <t>Mburu</t>
  </si>
  <si>
    <t>B. Mburu</t>
  </si>
  <si>
    <t>Bawa</t>
  </si>
  <si>
    <t>Mugo</t>
  </si>
  <si>
    <t>Maina</t>
  </si>
  <si>
    <t>M. Maina</t>
  </si>
  <si>
    <t>Mwendo</t>
  </si>
  <si>
    <t>Nyaga</t>
  </si>
  <si>
    <t>Njenga</t>
  </si>
  <si>
    <t>N. Njenga</t>
  </si>
  <si>
    <t>Nguvu</t>
  </si>
  <si>
    <t>Kirui</t>
  </si>
  <si>
    <t>Kiprono</t>
  </si>
  <si>
    <t>K. Kiprono</t>
  </si>
  <si>
    <t>Macharia</t>
  </si>
  <si>
    <t>Mbogo</t>
  </si>
  <si>
    <t>M. Mbogo</t>
  </si>
  <si>
    <t>Mwepesi</t>
  </si>
  <si>
    <t>Tshepo</t>
  </si>
  <si>
    <t>Tshabalala</t>
  </si>
  <si>
    <t>T. Tshabalala</t>
  </si>
  <si>
    <t>Trunk</t>
  </si>
  <si>
    <t>Kagiso</t>
  </si>
  <si>
    <t>Khama</t>
  </si>
  <si>
    <t>K. Khama</t>
  </si>
  <si>
    <t>Kalahari</t>
  </si>
  <si>
    <t>Oarabile</t>
  </si>
  <si>
    <t>Odirile</t>
  </si>
  <si>
    <t>O. Odirile</t>
  </si>
  <si>
    <t>Obstinate</t>
  </si>
  <si>
    <t>Thabo</t>
  </si>
  <si>
    <t>Thamaga</t>
  </si>
  <si>
    <t>T. Thamaga</t>
  </si>
  <si>
    <t>Tusker</t>
  </si>
  <si>
    <t>Mpho</t>
  </si>
  <si>
    <t>Motswakae</t>
  </si>
  <si>
    <t>M. Motswakae</t>
  </si>
  <si>
    <t>Mighty</t>
  </si>
  <si>
    <t>Lerato</t>
  </si>
  <si>
    <t>Lekgari</t>
  </si>
  <si>
    <t>L. Lekgari</t>
  </si>
  <si>
    <t>Leviathan</t>
  </si>
  <si>
    <t>Kabelo</t>
  </si>
  <si>
    <t>Kgafela</t>
  </si>
  <si>
    <t>K. Kgafela</t>
  </si>
  <si>
    <t>Kgosi</t>
  </si>
  <si>
    <t>Tumelo</t>
  </si>
  <si>
    <t>Tumisang</t>
  </si>
  <si>
    <t>T. Tumisang</t>
  </si>
  <si>
    <t>Tusks</t>
  </si>
  <si>
    <t>Kelebogile</t>
  </si>
  <si>
    <t>Kgosietsile</t>
  </si>
  <si>
    <t>K. Kgosietsile</t>
  </si>
  <si>
    <t>Kgari</t>
  </si>
  <si>
    <t>Letlhogonolo</t>
  </si>
  <si>
    <t>Letsholathebe</t>
  </si>
  <si>
    <t>L. Letsholathebe</t>
  </si>
  <si>
    <t>Legacy</t>
  </si>
  <si>
    <t>Baruti</t>
  </si>
  <si>
    <t>Bogatsu</t>
  </si>
  <si>
    <t>B. Bogatsu</t>
  </si>
  <si>
    <t>Behemoth</t>
  </si>
  <si>
    <t>Bagus</t>
  </si>
  <si>
    <t>Bintang</t>
  </si>
  <si>
    <t>B. Bintang</t>
  </si>
  <si>
    <t>Bali</t>
  </si>
  <si>
    <t>Irfan</t>
  </si>
  <si>
    <t>Iskandar</t>
  </si>
  <si>
    <t>I. Iskandar</t>
  </si>
  <si>
    <t>Island</t>
  </si>
  <si>
    <t>Arya</t>
  </si>
  <si>
    <t>Aditya</t>
  </si>
  <si>
    <t>A. Aditya</t>
  </si>
  <si>
    <t>Arjuna</t>
  </si>
  <si>
    <t>Rizki</t>
  </si>
  <si>
    <t>Raharjo</t>
  </si>
  <si>
    <t>R. Raharjo</t>
  </si>
  <si>
    <t>Ripple</t>
  </si>
  <si>
    <t>Dewa</t>
  </si>
  <si>
    <t>Dharma</t>
  </si>
  <si>
    <t>D. Dharma</t>
  </si>
  <si>
    <t>Dive</t>
  </si>
  <si>
    <t>Bima</t>
  </si>
  <si>
    <t>Baskara</t>
  </si>
  <si>
    <t>B. Baskara</t>
  </si>
  <si>
    <t>Bay</t>
  </si>
  <si>
    <t>Andi</t>
  </si>
  <si>
    <t>Alam</t>
  </si>
  <si>
    <t>A. Alam</t>
  </si>
  <si>
    <t>Aceh</t>
  </si>
  <si>
    <t>Yudha</t>
  </si>
  <si>
    <t>Yulianto</t>
  </si>
  <si>
    <t>Y. Yulianto</t>
  </si>
  <si>
    <t>Yogyakarta</t>
  </si>
  <si>
    <t>Putra</t>
  </si>
  <si>
    <t>Pratama</t>
  </si>
  <si>
    <t>P. Pratama</t>
  </si>
  <si>
    <t>Papua</t>
  </si>
  <si>
    <t>Agus</t>
  </si>
  <si>
    <t>Arifianto</t>
  </si>
  <si>
    <t>A. Arifianto</t>
  </si>
  <si>
    <t>Aqua</t>
  </si>
  <si>
    <t>Indra</t>
  </si>
  <si>
    <t>Irawan</t>
  </si>
  <si>
    <t>I. Irawan</t>
  </si>
  <si>
    <t>Island Hopper</t>
  </si>
  <si>
    <t>Min</t>
  </si>
  <si>
    <t>Kyaw</t>
  </si>
  <si>
    <t>M. Kyaw</t>
  </si>
  <si>
    <t>Constrictor</t>
  </si>
  <si>
    <t>Aung</t>
  </si>
  <si>
    <t>Htet</t>
  </si>
  <si>
    <t>A. Htet</t>
  </si>
  <si>
    <t>Anaconda</t>
  </si>
  <si>
    <t>Thet</t>
  </si>
  <si>
    <t>Soe</t>
  </si>
  <si>
    <t>T. Soe</t>
  </si>
  <si>
    <t>Python</t>
  </si>
  <si>
    <t>Zaw</t>
  </si>
  <si>
    <t>Maung</t>
  </si>
  <si>
    <t>Z. Maung</t>
  </si>
  <si>
    <t>Viper</t>
  </si>
  <si>
    <t>Nay</t>
  </si>
  <si>
    <t>N. Aung</t>
  </si>
  <si>
    <t>Naga</t>
  </si>
  <si>
    <t>Hein</t>
  </si>
  <si>
    <t>K. Hein</t>
  </si>
  <si>
    <t>Krait</t>
  </si>
  <si>
    <t>Htin</t>
  </si>
  <si>
    <t>Win</t>
  </si>
  <si>
    <t>H. Win</t>
  </si>
  <si>
    <t>Cobra</t>
  </si>
  <si>
    <t>Thu</t>
  </si>
  <si>
    <t>S. Thu</t>
  </si>
  <si>
    <t>Serpent</t>
  </si>
  <si>
    <t>Than</t>
  </si>
  <si>
    <t>T. Zaw</t>
  </si>
  <si>
    <t>Taipan</t>
  </si>
  <si>
    <t>Hlaing</t>
  </si>
  <si>
    <t>Oo</t>
  </si>
  <si>
    <t>H. Oo</t>
  </si>
  <si>
    <t>Mamba</t>
  </si>
  <si>
    <t>Wai</t>
  </si>
  <si>
    <t>Aye</t>
  </si>
  <si>
    <t>W. Aye</t>
  </si>
  <si>
    <t>Whip</t>
  </si>
  <si>
    <t>Santiago</t>
  </si>
  <si>
    <t>Sánchez</t>
  </si>
  <si>
    <t>S. Sánchez</t>
  </si>
  <si>
    <t>Swoop</t>
  </si>
  <si>
    <t>Mateo</t>
  </si>
  <si>
    <t>Martínez</t>
  </si>
  <si>
    <t>M. Martínez</t>
  </si>
  <si>
    <t>Mirada</t>
  </si>
  <si>
    <t>Gabriel</t>
  </si>
  <si>
    <t>Gutiérrez</t>
  </si>
  <si>
    <t>G. Gutiérrez</t>
  </si>
  <si>
    <t>Guardián</t>
  </si>
  <si>
    <t>Nicolás</t>
  </si>
  <si>
    <t>Navarro</t>
  </si>
  <si>
    <t>N. Navarro</t>
  </si>
  <si>
    <t>Nido</t>
  </si>
  <si>
    <t>Alejandro</t>
  </si>
  <si>
    <t>Álvarez</t>
  </si>
  <si>
    <t>A. Álvarez</t>
  </si>
  <si>
    <t>Aguileño</t>
  </si>
  <si>
    <t>Felipe</t>
  </si>
  <si>
    <t>Fernández</t>
  </si>
  <si>
    <t>F. Fernández</t>
  </si>
  <si>
    <t>Faucon</t>
  </si>
  <si>
    <t>Diego</t>
  </si>
  <si>
    <t>Díaz</t>
  </si>
  <si>
    <t>D. Díaz</t>
  </si>
  <si>
    <t>Dinámico</t>
  </si>
  <si>
    <t>Carlos</t>
  </si>
  <si>
    <t>Castro</t>
  </si>
  <si>
    <t>C. Castro</t>
  </si>
  <si>
    <t>Cazador</t>
  </si>
  <si>
    <t>Javier</t>
  </si>
  <si>
    <t>Vargas</t>
  </si>
  <si>
    <t>J. Vargas</t>
  </si>
  <si>
    <t>Vuelo</t>
  </si>
  <si>
    <t>Luis</t>
  </si>
  <si>
    <t>López</t>
  </si>
  <si>
    <t>L. López</t>
  </si>
  <si>
    <t>Lince</t>
  </si>
  <si>
    <t>Andrés</t>
  </si>
  <si>
    <t>Arroyo</t>
  </si>
  <si>
    <t>A. Arroyo</t>
  </si>
  <si>
    <t>Aire</t>
  </si>
  <si>
    <t>Logan</t>
  </si>
  <si>
    <t>McKenzie</t>
  </si>
  <si>
    <t>L. McKenzie</t>
  </si>
  <si>
    <t>Lumber</t>
  </si>
  <si>
    <t>Ethan</t>
  </si>
  <si>
    <t>Tremblay</t>
  </si>
  <si>
    <t>E. Tremblay</t>
  </si>
  <si>
    <t>Evergreen</t>
  </si>
  <si>
    <t>Noah</t>
  </si>
  <si>
    <t>Nguyen</t>
  </si>
  <si>
    <t>N. Nguyen</t>
  </si>
  <si>
    <t>Northern</t>
  </si>
  <si>
    <t>Liam</t>
  </si>
  <si>
    <t>Lafontaine</t>
  </si>
  <si>
    <t>L. Lafontaine</t>
  </si>
  <si>
    <t>Leaf</t>
  </si>
  <si>
    <t>Owen</t>
  </si>
  <si>
    <t>Olivier</t>
  </si>
  <si>
    <t>O. Olivier</t>
  </si>
  <si>
    <t>Outdoors</t>
  </si>
  <si>
    <t>Benjamin</t>
  </si>
  <si>
    <t>Bouchard</t>
  </si>
  <si>
    <t>B. Bouchard</t>
  </si>
  <si>
    <t>Boreal</t>
  </si>
  <si>
    <t>William</t>
  </si>
  <si>
    <t>Wong</t>
  </si>
  <si>
    <t>W. Wong</t>
  </si>
  <si>
    <t>Wilderness</t>
  </si>
  <si>
    <t>Jacob</t>
  </si>
  <si>
    <t>Joly</t>
  </si>
  <si>
    <t>J. Joly</t>
  </si>
  <si>
    <t>Jasper</t>
  </si>
  <si>
    <t>Ryan</t>
  </si>
  <si>
    <t>Rousseau</t>
  </si>
  <si>
    <t>R. Rousseau</t>
  </si>
  <si>
    <t>Rocky</t>
  </si>
  <si>
    <t>Nathan</t>
  </si>
  <si>
    <t>Nadeau</t>
  </si>
  <si>
    <t>N. Nadeau</t>
  </si>
  <si>
    <t>Nova</t>
  </si>
  <si>
    <t>Matthew</t>
  </si>
  <si>
    <t>Moreau</t>
  </si>
  <si>
    <t>M. Moreau</t>
  </si>
  <si>
    <t>Moose</t>
  </si>
  <si>
    <t>Rahim</t>
  </si>
  <si>
    <t>Chowdhury</t>
  </si>
  <si>
    <t>R. Chowdhury</t>
  </si>
  <si>
    <t>Cat</t>
  </si>
  <si>
    <t>Faisal</t>
  </si>
  <si>
    <t>Ahmed</t>
  </si>
  <si>
    <t>F. Ahmed</t>
  </si>
  <si>
    <t>Fierce</t>
  </si>
  <si>
    <t>Asif</t>
  </si>
  <si>
    <t>A. Rahman</t>
  </si>
  <si>
    <t>Growl</t>
  </si>
  <si>
    <t>Islam</t>
  </si>
  <si>
    <t>I. Islam</t>
  </si>
  <si>
    <t>Intruder</t>
  </si>
  <si>
    <t>Nasir</t>
  </si>
  <si>
    <t>Miah</t>
  </si>
  <si>
    <t>N. Miah</t>
  </si>
  <si>
    <t>Nimble</t>
  </si>
  <si>
    <t>Tanvir</t>
  </si>
  <si>
    <t>Talukdar</t>
  </si>
  <si>
    <t>T. Talukdar</t>
  </si>
  <si>
    <t>Tiger</t>
  </si>
  <si>
    <t>Zayan</t>
  </si>
  <si>
    <t>Zaman</t>
  </si>
  <si>
    <t>Z. Zaman</t>
  </si>
  <si>
    <t>Zoo</t>
  </si>
  <si>
    <t>Aarav</t>
  </si>
  <si>
    <t>Amble</t>
  </si>
  <si>
    <t>Samiul</t>
  </si>
  <si>
    <t>Sheikh</t>
  </si>
  <si>
    <t>S. Sheikh</t>
  </si>
  <si>
    <t>Strike</t>
  </si>
  <si>
    <t>Impulse</t>
  </si>
  <si>
    <t>Rafiq</t>
  </si>
  <si>
    <t>Rapid</t>
  </si>
  <si>
    <t>Takudzwa</t>
  </si>
  <si>
    <t>Chirwa</t>
  </si>
  <si>
    <t>T. Chirwa</t>
  </si>
  <si>
    <t>Tank</t>
  </si>
  <si>
    <t>Tinashe</t>
  </si>
  <si>
    <t>Moyo</t>
  </si>
  <si>
    <t>T. Moyo</t>
  </si>
  <si>
    <t>Farai</t>
  </si>
  <si>
    <t>Nyoni</t>
  </si>
  <si>
    <t>F. Nyoni</t>
  </si>
  <si>
    <t>Fury</t>
  </si>
  <si>
    <t>Kudzai</t>
  </si>
  <si>
    <t>Gumbo</t>
  </si>
  <si>
    <t>K. Gumbo</t>
  </si>
  <si>
    <t>Knot</t>
  </si>
  <si>
    <t>Tafadzwa</t>
  </si>
  <si>
    <t>Tsiga</t>
  </si>
  <si>
    <t>T. Tsiga</t>
  </si>
  <si>
    <t>Tusk</t>
  </si>
  <si>
    <t>Chengetai</t>
  </si>
  <si>
    <t>Chirinda</t>
  </si>
  <si>
    <t>C. Chirinda</t>
  </si>
  <si>
    <t>Charge</t>
  </si>
  <si>
    <t>Munashe</t>
  </si>
  <si>
    <t>Maposa</t>
  </si>
  <si>
    <t>M. Maposa</t>
  </si>
  <si>
    <t>Tendai</t>
  </si>
  <si>
    <t>Tembo</t>
  </si>
  <si>
    <t>T. Tembo</t>
  </si>
  <si>
    <t>Tracker</t>
  </si>
  <si>
    <t>Anesu</t>
  </si>
  <si>
    <t>Adebe</t>
  </si>
  <si>
    <t>A. Adebe</t>
  </si>
  <si>
    <t>Armor</t>
  </si>
  <si>
    <t>Shingirai</t>
  </si>
  <si>
    <t>Sithole</t>
  </si>
  <si>
    <t>S. Sithole</t>
  </si>
  <si>
    <t>Shank</t>
  </si>
  <si>
    <t>Takura</t>
  </si>
  <si>
    <t>T. Tendai</t>
  </si>
  <si>
    <t>Trample</t>
  </si>
  <si>
    <t>Dmitri</t>
  </si>
  <si>
    <t>Ivanov</t>
  </si>
  <si>
    <t>D. Ivanov</t>
  </si>
  <si>
    <t>Druzhok</t>
  </si>
  <si>
    <t>Nikolai</t>
  </si>
  <si>
    <t>Petrov</t>
  </si>
  <si>
    <t>N. Petrov</t>
  </si>
  <si>
    <t>Nikol</t>
  </si>
  <si>
    <t>Igor</t>
  </si>
  <si>
    <t>Smirnov</t>
  </si>
  <si>
    <t>I. Smirnov</t>
  </si>
  <si>
    <t>Irbis</t>
  </si>
  <si>
    <t>Sergei</t>
  </si>
  <si>
    <t>Kuznetsov</t>
  </si>
  <si>
    <t>S. Kuznetsov</t>
  </si>
  <si>
    <t>Sokol</t>
  </si>
  <si>
    <t>Alexei</t>
  </si>
  <si>
    <t>Alexandrov</t>
  </si>
  <si>
    <t>A. Alexandrov</t>
  </si>
  <si>
    <t>Azart</t>
  </si>
  <si>
    <t>Vladimir</t>
  </si>
  <si>
    <t>Vasilyev</t>
  </si>
  <si>
    <t>V. Vasilyev</t>
  </si>
  <si>
    <t>Volchok</t>
  </si>
  <si>
    <t>Mikhail</t>
  </si>
  <si>
    <t>Morozov</t>
  </si>
  <si>
    <t>M. Morozov</t>
  </si>
  <si>
    <t>Medved</t>
  </si>
  <si>
    <t>Yuri</t>
  </si>
  <si>
    <t>Yudin</t>
  </si>
  <si>
    <t>Y. Yudin</t>
  </si>
  <si>
    <t>Yastreb</t>
  </si>
  <si>
    <t>Andrei</t>
  </si>
  <si>
    <t>Antonov</t>
  </si>
  <si>
    <t>A. Antonov</t>
  </si>
  <si>
    <t>Arktika</t>
  </si>
  <si>
    <t>Konstantin</t>
  </si>
  <si>
    <t>Kozlov</t>
  </si>
  <si>
    <t>K. Kozlov</t>
  </si>
  <si>
    <t>Krepost</t>
  </si>
  <si>
    <t>Maxim</t>
  </si>
  <si>
    <t>Makarov</t>
  </si>
  <si>
    <t>M. Makarov</t>
  </si>
  <si>
    <t>Molniya</t>
  </si>
  <si>
    <t>Ahmad</t>
  </si>
  <si>
    <t>Aziz</t>
  </si>
  <si>
    <t>A. Aziz</t>
  </si>
  <si>
    <t>Awan</t>
  </si>
  <si>
    <t>Syed</t>
  </si>
  <si>
    <t>S. Rahman</t>
  </si>
  <si>
    <t>Sinar</t>
  </si>
  <si>
    <t>Bakar</t>
  </si>
  <si>
    <t>F. Bakar</t>
  </si>
  <si>
    <t>Firasat</t>
  </si>
  <si>
    <t>Zulkifli</t>
  </si>
  <si>
    <t>Zainal</t>
  </si>
  <si>
    <t>Z. Zainal</t>
  </si>
  <si>
    <t>Zahir</t>
  </si>
  <si>
    <t>Ismail</t>
  </si>
  <si>
    <t>Adnan</t>
  </si>
  <si>
    <t>I. Adnan</t>
  </si>
  <si>
    <t>Iringan</t>
  </si>
  <si>
    <t>Rizal</t>
  </si>
  <si>
    <t>Jamal</t>
  </si>
  <si>
    <t>R. Jamal</t>
  </si>
  <si>
    <t>Rimau</t>
  </si>
  <si>
    <t>Amir</t>
  </si>
  <si>
    <t>Hafiz</t>
  </si>
  <si>
    <t>Hassan</t>
  </si>
  <si>
    <t>H. Hassan</t>
  </si>
  <si>
    <t>Harimau</t>
  </si>
  <si>
    <t>Azhar</t>
  </si>
  <si>
    <t>Abdullah</t>
  </si>
  <si>
    <t>A. Abdullah</t>
  </si>
  <si>
    <t>Angin</t>
  </si>
  <si>
    <t>Farid</t>
  </si>
  <si>
    <t>Fauzi</t>
  </si>
  <si>
    <t>F. Fauzi</t>
  </si>
  <si>
    <t>Fajar</t>
  </si>
  <si>
    <t>Kamarul</t>
  </si>
  <si>
    <t>Khairi</t>
  </si>
  <si>
    <t>K. Khairi</t>
  </si>
  <si>
    <t>Kuasa</t>
  </si>
  <si>
    <t>Baxter</t>
  </si>
  <si>
    <t>L. Baxter</t>
  </si>
  <si>
    <t>Barrier</t>
  </si>
  <si>
    <t>Edwards</t>
  </si>
  <si>
    <t>E. Edwards</t>
  </si>
  <si>
    <t>Eddy</t>
  </si>
  <si>
    <t>Nicholson</t>
  </si>
  <si>
    <t>N. Nicholson</t>
  </si>
  <si>
    <t>Nipper</t>
  </si>
  <si>
    <t>Oliver</t>
  </si>
  <si>
    <t>O'Connor</t>
  </si>
  <si>
    <t>O. O'Connor</t>
  </si>
  <si>
    <t>Outback</t>
  </si>
  <si>
    <t>Walker</t>
  </si>
  <si>
    <t>W. Walker</t>
  </si>
  <si>
    <t>Wave</t>
  </si>
  <si>
    <t>Jack</t>
  </si>
  <si>
    <t>Johnson</t>
  </si>
  <si>
    <t>J. Johnson</t>
  </si>
  <si>
    <t>Jellyfish</t>
  </si>
  <si>
    <t>Lucas</t>
  </si>
  <si>
    <t>Lewis</t>
  </si>
  <si>
    <t>L. Lewis</t>
  </si>
  <si>
    <t>Lagoon</t>
  </si>
  <si>
    <t>Henry</t>
  </si>
  <si>
    <t>Harris</t>
  </si>
  <si>
    <t>H. Harris</t>
  </si>
  <si>
    <t>Harbor</t>
  </si>
  <si>
    <t>Mason</t>
  </si>
  <si>
    <t>Mitchell</t>
  </si>
  <si>
    <t>M. Mitchell</t>
  </si>
  <si>
    <t>Marlin</t>
  </si>
  <si>
    <t>Charlie</t>
  </si>
  <si>
    <t>Campbell</t>
  </si>
  <si>
    <t>C. Campbell</t>
  </si>
  <si>
    <t>Current</t>
  </si>
  <si>
    <t>Thomas</t>
  </si>
  <si>
    <t>Taylor</t>
  </si>
  <si>
    <t>T. Taylor</t>
  </si>
  <si>
    <t>Tide</t>
  </si>
  <si>
    <t>Matías</t>
  </si>
  <si>
    <t>Mendoza</t>
  </si>
  <si>
    <t>M. Mendoza</t>
  </si>
  <si>
    <t>Guerrero</t>
  </si>
  <si>
    <t>Noble</t>
  </si>
  <si>
    <t>Sebastián</t>
  </si>
  <si>
    <t>Silva</t>
  </si>
  <si>
    <t>S. Silva</t>
  </si>
  <si>
    <t>Sombra</t>
  </si>
  <si>
    <t>Fernando</t>
  </si>
  <si>
    <t>Flores</t>
  </si>
  <si>
    <t>F. Flores</t>
  </si>
  <si>
    <t>Antonio</t>
  </si>
  <si>
    <t>Araya</t>
  </si>
  <si>
    <t>A. Araya</t>
  </si>
  <si>
    <t>Aguila</t>
  </si>
  <si>
    <t>Carrasco</t>
  </si>
  <si>
    <t>C. Carrasco</t>
  </si>
  <si>
    <t>Cóndor</t>
  </si>
  <si>
    <t>Jiménez</t>
  </si>
  <si>
    <t>J. Jiménez</t>
  </si>
  <si>
    <t>Jimenez</t>
  </si>
  <si>
    <t>Eduardo</t>
  </si>
  <si>
    <t>Espinoza</t>
  </si>
  <si>
    <t>E. Espinoza</t>
  </si>
  <si>
    <t>El Águila</t>
  </si>
  <si>
    <t>Arjun</t>
  </si>
  <si>
    <t>Singh</t>
  </si>
  <si>
    <t>A. Singh</t>
  </si>
  <si>
    <t>Astra</t>
  </si>
  <si>
    <t>Rohan</t>
  </si>
  <si>
    <t>Gupta</t>
  </si>
  <si>
    <t>R. Gupta</t>
  </si>
  <si>
    <t>Raj</t>
  </si>
  <si>
    <t>Amit</t>
  </si>
  <si>
    <t>Sharma</t>
  </si>
  <si>
    <t>A. Sharma</t>
  </si>
  <si>
    <t>Aghat</t>
  </si>
  <si>
    <t>Vikram</t>
  </si>
  <si>
    <t>Patel</t>
  </si>
  <si>
    <t>V. Patel</t>
  </si>
  <si>
    <t>Veer</t>
  </si>
  <si>
    <t>Siddharth</t>
  </si>
  <si>
    <t>Mehta</t>
  </si>
  <si>
    <t>S. Mehta</t>
  </si>
  <si>
    <t>Siddhi</t>
  </si>
  <si>
    <t>Nikhil</t>
  </si>
  <si>
    <t>Nair</t>
  </si>
  <si>
    <t>N. Nair</t>
  </si>
  <si>
    <t>Nipun</t>
  </si>
  <si>
    <t>Rajesh</t>
  </si>
  <si>
    <t>Kumar</t>
  </si>
  <si>
    <t>R. Kumar</t>
  </si>
  <si>
    <t>Rajat</t>
  </si>
  <si>
    <t>Abhishek</t>
  </si>
  <si>
    <t>Joshi</t>
  </si>
  <si>
    <t>A. Joshi</t>
  </si>
  <si>
    <t>Agni</t>
  </si>
  <si>
    <t>Kunal</t>
  </si>
  <si>
    <t>Chaudhary</t>
  </si>
  <si>
    <t>K. Chaudhary</t>
  </si>
  <si>
    <t>Karma</t>
  </si>
  <si>
    <t>Vivek</t>
  </si>
  <si>
    <t>Verma</t>
  </si>
  <si>
    <t>V. Verma</t>
  </si>
  <si>
    <t>Vijay</t>
  </si>
  <si>
    <t>Rana</t>
  </si>
  <si>
    <t>A. Rana</t>
  </si>
  <si>
    <t>Aadi</t>
  </si>
  <si>
    <t>Kipanga</t>
  </si>
  <si>
    <t>J. Kipanga</t>
  </si>
  <si>
    <t>Jasiri</t>
  </si>
  <si>
    <t>Faraji</t>
  </si>
  <si>
    <t>Mwamba</t>
  </si>
  <si>
    <t>F. Mwamba</t>
  </si>
  <si>
    <t>Fahari</t>
  </si>
  <si>
    <t>Lema</t>
  </si>
  <si>
    <t>B. Lema</t>
  </si>
  <si>
    <t>Amani</t>
  </si>
  <si>
    <t>Chacha</t>
  </si>
  <si>
    <t>A. Chacha</t>
  </si>
  <si>
    <t>Asante</t>
  </si>
  <si>
    <t>Zuberi</t>
  </si>
  <si>
    <t>Majaliwa</t>
  </si>
  <si>
    <t>Z. Majaliwa</t>
  </si>
  <si>
    <t>Zuri</t>
  </si>
  <si>
    <t>Saidi</t>
  </si>
  <si>
    <t>H. Saidi</t>
  </si>
  <si>
    <t>Heshima</t>
  </si>
  <si>
    <t>Rashidi</t>
  </si>
  <si>
    <t>R. Nyoni</t>
  </si>
  <si>
    <t>Radi</t>
  </si>
  <si>
    <t>Issa</t>
  </si>
  <si>
    <t>I. Juma</t>
  </si>
  <si>
    <t>Imara</t>
  </si>
  <si>
    <t>Salim</t>
  </si>
  <si>
    <t>Abdallah</t>
  </si>
  <si>
    <t>S. Abdallah</t>
  </si>
  <si>
    <t>Simba</t>
  </si>
  <si>
    <t>Yusuf</t>
  </si>
  <si>
    <t>Mzuri</t>
  </si>
  <si>
    <t>Y. Mzuri</t>
  </si>
  <si>
    <t>Yakinifu</t>
  </si>
  <si>
    <t>Fadhili</t>
  </si>
  <si>
    <t>Mbwana</t>
  </si>
  <si>
    <t>F. Mbwana</t>
  </si>
  <si>
    <t>Tyler</t>
  </si>
  <si>
    <t>T. Johnson</t>
  </si>
  <si>
    <t>Talon</t>
  </si>
  <si>
    <t>Miller</t>
  </si>
  <si>
    <t>E. Miller</t>
  </si>
  <si>
    <t>Eagle Eye</t>
  </si>
  <si>
    <t>Michael</t>
  </si>
  <si>
    <t>Anderson</t>
  </si>
  <si>
    <t>M. Anderson</t>
  </si>
  <si>
    <t>Brandon</t>
  </si>
  <si>
    <t>Baker</t>
  </si>
  <si>
    <t>B. Baker</t>
  </si>
  <si>
    <t>Brave</t>
  </si>
  <si>
    <t>Roberts</t>
  </si>
  <si>
    <t>R. Roberts</t>
  </si>
  <si>
    <t>Raptor</t>
  </si>
  <si>
    <t>James</t>
  </si>
  <si>
    <t>J. James</t>
  </si>
  <si>
    <t>Justice</t>
  </si>
  <si>
    <t>Morgan</t>
  </si>
  <si>
    <t>M. Morgan</t>
  </si>
  <si>
    <t>Majestic</t>
  </si>
  <si>
    <t>Joshua</t>
  </si>
  <si>
    <t>Jackson</t>
  </si>
  <si>
    <t>J. Jackson</t>
  </si>
  <si>
    <t>Journey</t>
  </si>
  <si>
    <t>Christopher</t>
  </si>
  <si>
    <t>Carter</t>
  </si>
  <si>
    <t>C. Carter</t>
  </si>
  <si>
    <t>Courage</t>
  </si>
  <si>
    <t>Alexander</t>
  </si>
  <si>
    <t>Adams</t>
  </si>
  <si>
    <t>A. Adams</t>
  </si>
  <si>
    <t>Ace</t>
  </si>
  <si>
    <t>Andrew</t>
  </si>
  <si>
    <t>Allen</t>
  </si>
  <si>
    <t>A. Allen</t>
  </si>
  <si>
    <t>Aviator</t>
  </si>
  <si>
    <t>Age</t>
  </si>
  <si>
    <t>Potential</t>
  </si>
  <si>
    <t>Value ($M)</t>
  </si>
  <si>
    <t>New Player Generation</t>
  </si>
  <si>
    <t>0</t>
  </si>
  <si>
    <t>Index</t>
  </si>
  <si>
    <t>Retirees</t>
  </si>
  <si>
    <t>Season 1 Retirees</t>
  </si>
  <si>
    <t>New Generation</t>
  </si>
  <si>
    <t>Regen</t>
  </si>
  <si>
    <t>Balance</t>
  </si>
  <si>
    <t>All Players</t>
  </si>
  <si>
    <t>Goals (Season)</t>
  </si>
  <si>
    <t>Goals (All Time)</t>
  </si>
  <si>
    <t>Games (All Time)</t>
  </si>
  <si>
    <t>Seed</t>
  </si>
  <si>
    <t>Winner</t>
  </si>
  <si>
    <t>Golden  Boot</t>
  </si>
  <si>
    <t>Juan</t>
  </si>
  <si>
    <t>Jaguar</t>
  </si>
  <si>
    <t>Juárez</t>
  </si>
  <si>
    <t>J. Juárez</t>
  </si>
  <si>
    <t>Alarcón</t>
  </si>
  <si>
    <t>A. Alarcón</t>
  </si>
  <si>
    <t>Amazonas</t>
  </si>
  <si>
    <t>Linares</t>
  </si>
  <si>
    <t>L. Linares</t>
  </si>
  <si>
    <t>Bataar</t>
  </si>
  <si>
    <t>Ochir</t>
  </si>
  <si>
    <t>B. Ochir</t>
  </si>
  <si>
    <t>Baatar</t>
  </si>
  <si>
    <t>Sergio</t>
  </si>
  <si>
    <t>Selva</t>
  </si>
  <si>
    <t>Dávila</t>
  </si>
  <si>
    <t>D. Dávila</t>
  </si>
  <si>
    <t>Destreza</t>
  </si>
  <si>
    <t>Gal</t>
  </si>
  <si>
    <t>Altan</t>
  </si>
  <si>
    <t>G. Altan</t>
  </si>
  <si>
    <t>Galaa</t>
  </si>
  <si>
    <t>Campos</t>
  </si>
  <si>
    <t>C. Campos</t>
  </si>
  <si>
    <t>Ricardo</t>
  </si>
  <si>
    <t>Rojas</t>
  </si>
  <si>
    <t>R. Rojas</t>
  </si>
  <si>
    <t>Rio</t>
  </si>
  <si>
    <t>Temuujin</t>
  </si>
  <si>
    <t>Erdene</t>
  </si>
  <si>
    <t>T. Erdene</t>
  </si>
  <si>
    <t>Temur</t>
  </si>
  <si>
    <t>Jargal</t>
  </si>
  <si>
    <t>Saikhan</t>
  </si>
  <si>
    <t>J. Saikhan</t>
  </si>
  <si>
    <t>Jargalant</t>
  </si>
  <si>
    <t>Chuluun</t>
  </si>
  <si>
    <t>Naran</t>
  </si>
  <si>
    <t>C. Naran</t>
  </si>
  <si>
    <t>Chi</t>
  </si>
  <si>
    <t>Agile</t>
  </si>
  <si>
    <t>Feroz</t>
  </si>
  <si>
    <t>Sukh</t>
  </si>
  <si>
    <t>Bat</t>
  </si>
  <si>
    <t>S. Bat</t>
  </si>
  <si>
    <t>Sükh</t>
  </si>
  <si>
    <t>Miguel</t>
  </si>
  <si>
    <t>Montaña</t>
  </si>
  <si>
    <t>Khulan</t>
  </si>
  <si>
    <t>Ganbold</t>
  </si>
  <si>
    <t>K. Ganbold</t>
  </si>
  <si>
    <t>Khu</t>
  </si>
  <si>
    <t>Ariun</t>
  </si>
  <si>
    <t>Bold</t>
  </si>
  <si>
    <t>A. Bold</t>
  </si>
  <si>
    <t>Ari</t>
  </si>
  <si>
    <t>Nergui</t>
  </si>
  <si>
    <t>Enkh</t>
  </si>
  <si>
    <t>N. Enkh</t>
  </si>
  <si>
    <t>Nergüi</t>
  </si>
  <si>
    <t>Togtokh</t>
  </si>
  <si>
    <t>Bolor</t>
  </si>
  <si>
    <t>T. Bolor</t>
  </si>
  <si>
    <t>Tog</t>
  </si>
  <si>
    <t>Batbold</t>
  </si>
  <si>
    <t>Bayar</t>
  </si>
  <si>
    <t>B. Bayar</t>
  </si>
  <si>
    <t>Player</t>
  </si>
  <si>
    <t>Goals</t>
  </si>
  <si>
    <t>El Águila</t>
  </si>
  <si>
    <t>Island Hopper</t>
  </si>
  <si>
    <t>Eagle Eye</t>
  </si>
  <si>
    <t>Showing 1 to 20 of 174 entries, 3 total columns</t>
  </si>
  <si>
    <t>Golden Boot</t>
  </si>
  <si>
    <t>2nd</t>
  </si>
  <si>
    <t>3rd</t>
  </si>
  <si>
    <t>Championships</t>
  </si>
  <si>
    <t>Start of season ranks</t>
  </si>
  <si>
    <t>Exp. Place</t>
  </si>
  <si>
    <t>Overachievers</t>
  </si>
  <si>
    <t>Underachievers</t>
  </si>
  <si>
    <t>Expected</t>
  </si>
  <si>
    <t>Actual</t>
  </si>
  <si>
    <t>Insert</t>
  </si>
  <si>
    <t>Trophies (Season</t>
  </si>
  <si>
    <t>Trophies (All Time)</t>
  </si>
  <si>
    <t>Est. Value ($M)</t>
  </si>
  <si>
    <t>Season 1 Regens</t>
  </si>
  <si>
    <t>Season 1 retirees</t>
  </si>
  <si>
    <t>Money Earned</t>
  </si>
  <si>
    <t>Diff</t>
  </si>
  <si>
    <t>Expected Rank</t>
  </si>
  <si>
    <t>Actual Rank</t>
  </si>
  <si>
    <t>Index team</t>
  </si>
  <si>
    <t>Team index</t>
  </si>
  <si>
    <t>Team Index</t>
  </si>
  <si>
    <t>No. of spaces</t>
  </si>
  <si>
    <t xml:space="preserve">Cost </t>
  </si>
  <si>
    <t>Player received</t>
  </si>
  <si>
    <t>Round 1</t>
  </si>
  <si>
    <t>Round 2</t>
  </si>
  <si>
    <t>Remaining Balance</t>
  </si>
  <si>
    <t>New Team</t>
  </si>
  <si>
    <t>Kipanga Jr.</t>
  </si>
  <si>
    <t>J. Kipanga Jr.</t>
  </si>
  <si>
    <t>Jasiri Jr.</t>
  </si>
  <si>
    <t>Lema Jr.</t>
  </si>
  <si>
    <t>B. Lema Jr.</t>
  </si>
  <si>
    <t>Lekgari Jr.</t>
  </si>
  <si>
    <t>L. Lekgari Jr.</t>
  </si>
  <si>
    <t>Leviathan Jr.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</si>
</sst>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;[Red]\-&quot;$&quot;#,##0"/>
    <numFmt numFmtId="44" formatCode="_-&quot;$&quot;* #,##0.00_-;\-&quot;$&quot;* #,##0.00_-;_-&quot;$&quot;* &quot;-&quot;??_-;_-@_-"/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2"/>
      <color theme="1"/>
      <name val="Segoe UI"/>
      <family val="2"/>
    </font>
    <font>
      <sz val="12"/>
      <color theme="1"/>
      <name val="Segoe UI"/>
      <family val="2"/>
    </font>
    <font>
      <sz val="10"/>
      <color rgb="FF0C0D0E"/>
      <name val="Cascadia Mono"/>
      <family val="3"/>
    </font>
    <font>
      <b/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8"/>
      <color rgb="FFFFFFFF"/>
      <name val="Segoe UI"/>
      <family val="2"/>
    </font>
    <font>
      <sz val="8"/>
      <color rgb="FFFFFFFF"/>
      <name val="Segoe UI"/>
      <family val="2"/>
    </font>
    <font>
      <sz val="8"/>
      <color theme="1"/>
      <name val="Segoe UI"/>
      <family val="2"/>
    </font>
    <font>
      <b/>
      <sz val="11"/>
      <color rgb="FF202122"/>
      <name val="Arial"/>
      <family val="2"/>
    </font>
    <font>
      <sz val="11"/>
      <color rgb="FF202122"/>
      <name val="Arial"/>
      <family val="2"/>
    </font>
    <font>
      <sz val="11"/>
      <color rgb="FF3366CC"/>
      <name val="Arial"/>
      <family val="2"/>
    </font>
    <font>
      <vertAlign val="superscript"/>
      <sz val="8"/>
      <color rgb="FF3366CC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4E5C68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EAECF0"/>
        <bgColor indexed="64"/>
      </patternFill>
    </fill>
    <fill>
      <patternFill patternType="solid">
        <fgColor rgb="FFBBF3BB"/>
        <bgColor indexed="64"/>
      </patternFill>
    </fill>
    <fill>
      <patternFill patternType="solid">
        <fgColor rgb="FFBBF3FF"/>
        <bgColor indexed="64"/>
      </patternFill>
    </fill>
    <fill>
      <patternFill patternType="solid">
        <fgColor rgb="FFFFFFBB"/>
        <bgColor indexed="64"/>
      </patternFill>
    </fill>
    <fill>
      <patternFill patternType="solid">
        <fgColor rgb="FFFFBBBB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medium">
        <color rgb="FF0C1F30"/>
      </right>
      <top/>
      <bottom style="medium">
        <color rgb="FF0C1F30"/>
      </bottom>
      <diagonal/>
    </border>
    <border>
      <left/>
      <right style="medium">
        <color rgb="FF0C1F30"/>
      </right>
      <top/>
      <bottom/>
      <diagonal/>
    </border>
    <border>
      <left/>
      <right/>
      <top style="medium">
        <color rgb="FF0C1F30"/>
      </top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/>
      <diagonal/>
    </border>
    <border>
      <left style="medium">
        <color rgb="FFA2A9B1"/>
      </left>
      <right style="medium">
        <color rgb="FFA2A9B1"/>
      </right>
      <top/>
      <bottom/>
      <diagonal/>
    </border>
    <border>
      <left style="medium">
        <color rgb="FFA2A9B1"/>
      </left>
      <right style="medium">
        <color rgb="FFA2A9B1"/>
      </right>
      <top/>
      <bottom style="medium">
        <color rgb="FFA2A9B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5" fillId="5" borderId="0" applyNumberFormat="0" applyBorder="0" applyAlignment="0" applyProtection="0"/>
    <xf numFmtId="0" fontId="6" fillId="6" borderId="1" applyNumberFormat="0" applyAlignment="0" applyProtection="0"/>
    <xf numFmtId="0" fontId="11" fillId="0" borderId="0" applyNumberFormat="0" applyFill="0" applyBorder="0" applyAlignment="0" applyProtection="0"/>
    <xf numFmtId="44" fontId="1" fillId="0" borderId="0" applyFont="0" applyFill="0" applyBorder="0" applyAlignment="0" applyProtection="0"/>
  </cellStyleXfs>
  <cellXfs count="63">
    <xf numFmtId="0" fontId="0" fillId="0" borderId="0" xfId="0"/>
    <xf numFmtId="164" fontId="0" fillId="0" borderId="0" xfId="0" applyNumberFormat="1"/>
    <xf numFmtId="1" fontId="0" fillId="0" borderId="0" xfId="0" applyNumberFormat="1"/>
    <xf numFmtId="0" fontId="3" fillId="0" borderId="0" xfId="0" applyFont="1"/>
    <xf numFmtId="0" fontId="2" fillId="2" borderId="0" xfId="2"/>
    <xf numFmtId="1" fontId="2" fillId="2" borderId="0" xfId="2" applyNumberFormat="1"/>
    <xf numFmtId="0" fontId="4" fillId="0" borderId="0" xfId="0" applyFont="1"/>
    <xf numFmtId="0" fontId="1" fillId="3" borderId="0" xfId="3"/>
    <xf numFmtId="0" fontId="1" fillId="4" borderId="0" xfId="4"/>
    <xf numFmtId="1" fontId="0" fillId="0" borderId="0" xfId="1" applyNumberFormat="1" applyFont="1"/>
    <xf numFmtId="2" fontId="2" fillId="2" borderId="0" xfId="2" applyNumberFormat="1"/>
    <xf numFmtId="1" fontId="6" fillId="6" borderId="1" xfId="6" applyNumberFormat="1"/>
    <xf numFmtId="164" fontId="5" fillId="5" borderId="0" xfId="5" applyNumberFormat="1"/>
    <xf numFmtId="0" fontId="8" fillId="0" borderId="0" xfId="0" applyFont="1" applyAlignment="1">
      <alignment horizontal="left" vertical="center" indent="1"/>
    </xf>
    <xf numFmtId="0" fontId="7" fillId="0" borderId="0" xfId="0" applyFont="1" applyAlignment="1">
      <alignment horizontal="left" vertical="center" indent="1"/>
    </xf>
    <xf numFmtId="0" fontId="7" fillId="0" borderId="0" xfId="0" applyFont="1" applyAlignment="1">
      <alignment horizontal="left" vertical="center" indent="2"/>
    </xf>
    <xf numFmtId="49" fontId="0" fillId="0" borderId="0" xfId="0" applyNumberFormat="1"/>
    <xf numFmtId="0" fontId="9" fillId="0" borderId="0" xfId="0" applyFont="1"/>
    <xf numFmtId="0" fontId="5" fillId="5" borderId="0" xfId="5"/>
    <xf numFmtId="1" fontId="5" fillId="5" borderId="0" xfId="5" applyNumberFormat="1"/>
    <xf numFmtId="0" fontId="10" fillId="0" borderId="0" xfId="0" applyFont="1"/>
    <xf numFmtId="0" fontId="12" fillId="7" borderId="2" xfId="0" applyFont="1" applyFill="1" applyBorder="1" applyAlignment="1">
      <alignment horizontal="left" vertical="center" wrapText="1"/>
    </xf>
    <xf numFmtId="0" fontId="12" fillId="7" borderId="3" xfId="0" applyFont="1" applyFill="1" applyBorder="1" applyAlignment="1">
      <alignment horizontal="left" vertical="center" wrapText="1"/>
    </xf>
    <xf numFmtId="0" fontId="13" fillId="7" borderId="2" xfId="0" applyFont="1" applyFill="1" applyBorder="1" applyAlignment="1">
      <alignment horizontal="right" vertical="center"/>
    </xf>
    <xf numFmtId="0" fontId="14" fillId="0" borderId="2" xfId="0" applyFont="1" applyBorder="1" applyAlignment="1">
      <alignment horizontal="right" vertical="center"/>
    </xf>
    <xf numFmtId="0" fontId="14" fillId="0" borderId="2" xfId="0" applyFont="1" applyBorder="1" applyAlignment="1">
      <alignment vertical="center"/>
    </xf>
    <xf numFmtId="0" fontId="13" fillId="0" borderId="4" xfId="0" applyFont="1" applyBorder="1" applyAlignment="1">
      <alignment horizontal="left" vertical="center" wrapText="1"/>
    </xf>
    <xf numFmtId="0" fontId="15" fillId="9" borderId="5" xfId="0" applyFont="1" applyFill="1" applyBorder="1" applyAlignment="1">
      <alignment horizontal="center" vertical="center" wrapText="1"/>
    </xf>
    <xf numFmtId="0" fontId="16" fillId="10" borderId="5" xfId="0" applyFont="1" applyFill="1" applyBorder="1" applyAlignment="1">
      <alignment horizontal="center" vertical="center" wrapText="1"/>
    </xf>
    <xf numFmtId="0" fontId="11" fillId="10" borderId="5" xfId="7" applyFill="1" applyBorder="1" applyAlignment="1">
      <alignment horizontal="left" vertical="center"/>
    </xf>
    <xf numFmtId="0" fontId="16" fillId="10" borderId="5" xfId="0" applyFont="1" applyFill="1" applyBorder="1" applyAlignment="1">
      <alignment vertical="center" wrapText="1"/>
    </xf>
    <xf numFmtId="0" fontId="15" fillId="10" borderId="5" xfId="0" applyFont="1" applyFill="1" applyBorder="1" applyAlignment="1">
      <alignment vertical="center" wrapText="1"/>
    </xf>
    <xf numFmtId="0" fontId="16" fillId="11" borderId="5" xfId="0" applyFont="1" applyFill="1" applyBorder="1" applyAlignment="1">
      <alignment horizontal="center" vertical="center" wrapText="1"/>
    </xf>
    <xf numFmtId="0" fontId="11" fillId="11" borderId="5" xfId="7" applyFill="1" applyBorder="1" applyAlignment="1">
      <alignment horizontal="left" vertical="center"/>
    </xf>
    <xf numFmtId="0" fontId="16" fillId="11" borderId="5" xfId="0" applyFont="1" applyFill="1" applyBorder="1" applyAlignment="1">
      <alignment vertical="center" wrapText="1"/>
    </xf>
    <xf numFmtId="0" fontId="15" fillId="11" borderId="5" xfId="0" applyFont="1" applyFill="1" applyBorder="1" applyAlignment="1">
      <alignment vertical="center" wrapText="1"/>
    </xf>
    <xf numFmtId="0" fontId="16" fillId="12" borderId="5" xfId="0" applyFont="1" applyFill="1" applyBorder="1" applyAlignment="1">
      <alignment horizontal="center" vertical="center" wrapText="1"/>
    </xf>
    <xf numFmtId="0" fontId="11" fillId="12" borderId="5" xfId="7" applyFill="1" applyBorder="1" applyAlignment="1">
      <alignment horizontal="left" vertical="center"/>
    </xf>
    <xf numFmtId="0" fontId="16" fillId="12" borderId="5" xfId="0" applyFont="1" applyFill="1" applyBorder="1" applyAlignment="1">
      <alignment vertical="center" wrapText="1"/>
    </xf>
    <xf numFmtId="0" fontId="15" fillId="12" borderId="5" xfId="0" applyFont="1" applyFill="1" applyBorder="1" applyAlignment="1">
      <alignment vertical="center" wrapText="1"/>
    </xf>
    <xf numFmtId="0" fontId="16" fillId="8" borderId="5" xfId="0" applyFont="1" applyFill="1" applyBorder="1" applyAlignment="1">
      <alignment horizontal="center" vertical="center" wrapText="1"/>
    </xf>
    <xf numFmtId="0" fontId="11" fillId="8" borderId="5" xfId="7" applyFill="1" applyBorder="1" applyAlignment="1">
      <alignment horizontal="left" vertical="center"/>
    </xf>
    <xf numFmtId="0" fontId="16" fillId="8" borderId="5" xfId="0" applyFont="1" applyFill="1" applyBorder="1" applyAlignment="1">
      <alignment vertical="center" wrapText="1"/>
    </xf>
    <xf numFmtId="0" fontId="15" fillId="8" borderId="5" xfId="0" applyFont="1" applyFill="1" applyBorder="1" applyAlignment="1">
      <alignment vertical="center" wrapText="1"/>
    </xf>
    <xf numFmtId="0" fontId="16" fillId="13" borderId="5" xfId="0" applyFont="1" applyFill="1" applyBorder="1" applyAlignment="1">
      <alignment horizontal="center" vertical="center" wrapText="1"/>
    </xf>
    <xf numFmtId="0" fontId="11" fillId="13" borderId="5" xfId="7" applyFill="1" applyBorder="1" applyAlignment="1">
      <alignment horizontal="left" vertical="center"/>
    </xf>
    <xf numFmtId="0" fontId="16" fillId="13" borderId="5" xfId="0" applyFont="1" applyFill="1" applyBorder="1" applyAlignment="1">
      <alignment vertical="center" wrapText="1"/>
    </xf>
    <xf numFmtId="0" fontId="15" fillId="13" borderId="5" xfId="0" applyFont="1" applyFill="1" applyBorder="1" applyAlignment="1">
      <alignment vertical="center" wrapText="1"/>
    </xf>
    <xf numFmtId="2" fontId="0" fillId="0" borderId="0" xfId="0" applyNumberFormat="1"/>
    <xf numFmtId="44" fontId="0" fillId="0" borderId="0" xfId="8" applyFont="1"/>
    <xf numFmtId="44" fontId="0" fillId="0" borderId="0" xfId="0" applyNumberFormat="1"/>
    <xf numFmtId="6" fontId="0" fillId="0" borderId="0" xfId="0" applyNumberFormat="1"/>
    <xf numFmtId="0" fontId="11" fillId="10" borderId="6" xfId="7" applyFill="1" applyBorder="1" applyAlignment="1">
      <alignment vertical="center" wrapText="1"/>
    </xf>
    <xf numFmtId="0" fontId="11" fillId="10" borderId="7" xfId="7" applyFill="1" applyBorder="1" applyAlignment="1">
      <alignment vertical="center" wrapText="1"/>
    </xf>
    <xf numFmtId="0" fontId="11" fillId="10" borderId="8" xfId="7" applyFill="1" applyBorder="1" applyAlignment="1">
      <alignment vertical="center" wrapText="1"/>
    </xf>
    <xf numFmtId="0" fontId="16" fillId="11" borderId="6" xfId="0" applyFont="1" applyFill="1" applyBorder="1" applyAlignment="1">
      <alignment vertical="center" wrapText="1"/>
    </xf>
    <xf numFmtId="0" fontId="16" fillId="11" borderId="8" xfId="0" applyFont="1" applyFill="1" applyBorder="1" applyAlignment="1">
      <alignment vertical="center" wrapText="1"/>
    </xf>
    <xf numFmtId="0" fontId="16" fillId="8" borderId="6" xfId="0" applyFont="1" applyFill="1" applyBorder="1" applyAlignment="1">
      <alignment vertical="center" wrapText="1"/>
    </xf>
    <xf numFmtId="0" fontId="16" fillId="8" borderId="7" xfId="0" applyFont="1" applyFill="1" applyBorder="1" applyAlignment="1">
      <alignment vertical="center" wrapText="1"/>
    </xf>
    <xf numFmtId="0" fontId="16" fillId="8" borderId="8" xfId="0" applyFont="1" applyFill="1" applyBorder="1" applyAlignment="1">
      <alignment vertical="center" wrapText="1"/>
    </xf>
    <xf numFmtId="0" fontId="11" fillId="13" borderId="6" xfId="7" applyFill="1" applyBorder="1" applyAlignment="1">
      <alignment vertical="center" wrapText="1"/>
    </xf>
    <xf numFmtId="0" fontId="11" fillId="13" borderId="7" xfId="7" applyFill="1" applyBorder="1" applyAlignment="1">
      <alignment vertical="center" wrapText="1"/>
    </xf>
    <xf numFmtId="0" fontId="11" fillId="13" borderId="8" xfId="7" applyFill="1" applyBorder="1" applyAlignment="1">
      <alignment vertical="center" wrapText="1"/>
    </xf>
  </cellXfs>
  <cellStyles count="9">
    <cellStyle name="20% - Accent3" xfId="3" builtinId="38"/>
    <cellStyle name="40% - Accent3" xfId="4" builtinId="39"/>
    <cellStyle name="Calculation" xfId="6" builtinId="22"/>
    <cellStyle name="Currency" xfId="8" builtinId="4"/>
    <cellStyle name="Good" xfId="2" builtinId="26"/>
    <cellStyle name="Hyperlink" xfId="7" builtinId="8"/>
    <cellStyle name="Neutral" xfId="5" builtinId="28"/>
    <cellStyle name="Normal" xfId="0" builtinId="0"/>
    <cellStyle name="Per cent" xfId="1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20</xdr:row>
      <xdr:rowOff>0</xdr:rowOff>
    </xdr:from>
    <xdr:to>
      <xdr:col>15</xdr:col>
      <xdr:colOff>276908</xdr:colOff>
      <xdr:row>45</xdr:row>
      <xdr:rowOff>134033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56AB3F-FE5A-B17B-8077-4FBE654A3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62725" y="3619500"/>
          <a:ext cx="4896533" cy="48965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</xdr:row>
      <xdr:rowOff>0</xdr:rowOff>
    </xdr:from>
    <xdr:to>
      <xdr:col>23</xdr:col>
      <xdr:colOff>381681</xdr:colOff>
      <xdr:row>45</xdr:row>
      <xdr:rowOff>105454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E9FB4B-6394-59AD-8E4E-B91DEA23B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34875" y="3619500"/>
          <a:ext cx="4877481" cy="48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0</xdr:row>
      <xdr:rowOff>0</xdr:rowOff>
    </xdr:from>
    <xdr:to>
      <xdr:col>3</xdr:col>
      <xdr:colOff>942975</xdr:colOff>
      <xdr:row>4</xdr:row>
      <xdr:rowOff>37685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853730-4963-D080-F4FB-EDE586665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200" y="0"/>
          <a:ext cx="857250" cy="799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</xdr:colOff>
      <xdr:row>20</xdr:row>
      <xdr:rowOff>9525</xdr:rowOff>
    </xdr:from>
    <xdr:to>
      <xdr:col>15</xdr:col>
      <xdr:colOff>619806</xdr:colOff>
      <xdr:row>45</xdr:row>
      <xdr:rowOff>124506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6636B0-99D2-1426-22B6-F36FDBF26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7350" y="3629025"/>
          <a:ext cx="4877481" cy="48774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1</xdr:rowOff>
    </xdr:from>
    <xdr:to>
      <xdr:col>4</xdr:col>
      <xdr:colOff>38100</xdr:colOff>
      <xdr:row>4</xdr:row>
      <xdr:rowOff>107029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D86E89-CA12-81EF-1D5A-0AED3C6B9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3575" y="1"/>
          <a:ext cx="828675" cy="8690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20</xdr:row>
      <xdr:rowOff>0</xdr:rowOff>
    </xdr:from>
    <xdr:to>
      <xdr:col>16</xdr:col>
      <xdr:colOff>19733</xdr:colOff>
      <xdr:row>45</xdr:row>
      <xdr:rowOff>114981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1384F-E72D-BCB6-AF26-ABC002982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5425" y="3619500"/>
          <a:ext cx="4896533" cy="48774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20</xdr:row>
      <xdr:rowOff>0</xdr:rowOff>
    </xdr:from>
    <xdr:to>
      <xdr:col>18</xdr:col>
      <xdr:colOff>10207</xdr:colOff>
      <xdr:row>45</xdr:row>
      <xdr:rowOff>134033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076942-CB95-6062-650E-B57BEAC9E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48425" y="3619500"/>
          <a:ext cx="4887007" cy="48965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20</xdr:row>
      <xdr:rowOff>0</xdr:rowOff>
    </xdr:from>
    <xdr:to>
      <xdr:col>17</xdr:col>
      <xdr:colOff>457882</xdr:colOff>
      <xdr:row>45</xdr:row>
      <xdr:rowOff>124507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4C189E-A8BF-86DB-EB48-D0BE90F4C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4175" y="3619500"/>
          <a:ext cx="4887007" cy="48870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West_Ham_United_F.C." TargetMode="External"/><Relationship Id="rId13" Type="http://schemas.openxmlformats.org/officeDocument/2006/relationships/hyperlink" Target="https://en.wikipedia.org/wiki/Crystal_Palace_F.C." TargetMode="External"/><Relationship Id="rId18" Type="http://schemas.openxmlformats.org/officeDocument/2006/relationships/hyperlink" Target="https://en.wikipedia.org/wiki/Leeds_United_F.C." TargetMode="External"/><Relationship Id="rId3" Type="http://schemas.openxmlformats.org/officeDocument/2006/relationships/hyperlink" Target="https://en.wikipedia.org/wiki/Liverpool_F.C." TargetMode="External"/><Relationship Id="rId21" Type="http://schemas.openxmlformats.org/officeDocument/2006/relationships/hyperlink" Target="https://en.wikipedia.org/wiki/Watford_F.C." TargetMode="External"/><Relationship Id="rId7" Type="http://schemas.openxmlformats.org/officeDocument/2006/relationships/hyperlink" Target="https://en.wikipedia.org/wiki/Manchester_United_F.C." TargetMode="External"/><Relationship Id="rId12" Type="http://schemas.openxmlformats.org/officeDocument/2006/relationships/hyperlink" Target="https://en.wikipedia.org/wiki/Newcastle_United_F.C." TargetMode="External"/><Relationship Id="rId17" Type="http://schemas.openxmlformats.org/officeDocument/2006/relationships/hyperlink" Target="https://en.wikipedia.org/wiki/Everton_F.C." TargetMode="External"/><Relationship Id="rId2" Type="http://schemas.openxmlformats.org/officeDocument/2006/relationships/hyperlink" Target="https://en.wikipedia.org/wiki/2022%E2%80%9323_UEFA_Champions_League" TargetMode="External"/><Relationship Id="rId16" Type="http://schemas.openxmlformats.org/officeDocument/2006/relationships/hyperlink" Target="https://en.wikipedia.org/wiki/Southampton_F.C." TargetMode="External"/><Relationship Id="rId20" Type="http://schemas.openxmlformats.org/officeDocument/2006/relationships/hyperlink" Target="https://en.wikipedia.org/wiki/2022%E2%80%9323_EFL_Championship" TargetMode="External"/><Relationship Id="rId1" Type="http://schemas.openxmlformats.org/officeDocument/2006/relationships/hyperlink" Target="https://en.wikipedia.org/wiki/Manchester_City_F.C." TargetMode="External"/><Relationship Id="rId6" Type="http://schemas.openxmlformats.org/officeDocument/2006/relationships/hyperlink" Target="https://en.wikipedia.org/wiki/Arsenal_F.C." TargetMode="External"/><Relationship Id="rId11" Type="http://schemas.openxmlformats.org/officeDocument/2006/relationships/hyperlink" Target="https://en.wikipedia.org/wiki/Wolverhampton_Wanderers_F.C." TargetMode="External"/><Relationship Id="rId5" Type="http://schemas.openxmlformats.org/officeDocument/2006/relationships/hyperlink" Target="https://en.wikipedia.org/wiki/Tottenham_Hotspur_F.C." TargetMode="External"/><Relationship Id="rId15" Type="http://schemas.openxmlformats.org/officeDocument/2006/relationships/hyperlink" Target="https://en.wikipedia.org/wiki/Aston_Villa_F.C." TargetMode="External"/><Relationship Id="rId10" Type="http://schemas.openxmlformats.org/officeDocument/2006/relationships/hyperlink" Target="https://en.wikipedia.org/wiki/Brighton_%26_Hove_Albion_F.C." TargetMode="External"/><Relationship Id="rId19" Type="http://schemas.openxmlformats.org/officeDocument/2006/relationships/hyperlink" Target="https://en.wikipedia.org/wiki/Burnley_F.C." TargetMode="External"/><Relationship Id="rId4" Type="http://schemas.openxmlformats.org/officeDocument/2006/relationships/hyperlink" Target="https://en.wikipedia.org/wiki/Chelsea_F.C." TargetMode="External"/><Relationship Id="rId9" Type="http://schemas.openxmlformats.org/officeDocument/2006/relationships/hyperlink" Target="https://en.wikipedia.org/wiki/Leicester_City_F.C." TargetMode="External"/><Relationship Id="rId14" Type="http://schemas.openxmlformats.org/officeDocument/2006/relationships/hyperlink" Target="https://en.wikipedia.org/wiki/Brentford_F.C." TargetMode="External"/><Relationship Id="rId22" Type="http://schemas.openxmlformats.org/officeDocument/2006/relationships/hyperlink" Target="https://en.wikipedia.org/wiki/Norwich_City_F.C.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63E32-7A9E-4974-B5CA-CE3A429AEF2E}">
  <sheetPr codeName="Sheet2">
    <tabColor theme="1"/>
  </sheetPr>
  <dimension ref="A1:H22"/>
  <sheetViews>
    <sheetView workbookViewId="0">
      <selection activeCell="H2" sqref="H2"/>
    </sheetView>
  </sheetViews>
  <sheetFormatPr defaultRowHeight="15" x14ac:dyDescent="0.25"/>
  <cols>
    <col min="2" max="2" width="18" customWidth="1"/>
    <col min="3" max="3" width="9.5703125" bestFit="1" customWidth="1"/>
    <col min="4" max="4" width="10.5703125" bestFit="1" customWidth="1"/>
    <col min="5" max="5" width="9.5703125" bestFit="1" customWidth="1"/>
    <col min="6" max="6" width="9.42578125" bestFit="1" customWidth="1"/>
    <col min="8" max="8" width="17.85546875" customWidth="1"/>
    <col min="9" max="9" width="9.85546875" customWidth="1"/>
    <col min="23" max="23" width="11.140625" customWidth="1"/>
  </cols>
  <sheetData>
    <row r="1" spans="1:8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8" x14ac:dyDescent="0.25">
      <c r="A2">
        <v>2</v>
      </c>
      <c r="B2" t="s">
        <v>23</v>
      </c>
      <c r="C2" s="2">
        <f>'Lionheart Rovers'!B20</f>
        <v>83.790416666666673</v>
      </c>
      <c r="D2" s="2">
        <f>'Lionheart Rovers'!C20</f>
        <v>82.513750000000002</v>
      </c>
      <c r="E2" s="2">
        <f>'Lionheart Rovers'!D20</f>
        <v>61.86363636363636</v>
      </c>
      <c r="F2" s="9">
        <f t="shared" ref="F2:F21" si="0">((C2+D2)/2)</f>
        <v>83.152083333333337</v>
      </c>
      <c r="G2">
        <f t="shared" ref="G2:G21" si="1">_xlfn.RANK.AVG(F2,F:F)</f>
        <v>1</v>
      </c>
      <c r="H2" t="str">
        <f>_xlfn.CONCAT(LEFT(B2,2),CODE(B2))</f>
        <v>Li76</v>
      </c>
    </row>
    <row r="3" spans="1:8" x14ac:dyDescent="0.25">
      <c r="A3">
        <v>5</v>
      </c>
      <c r="B3" t="s">
        <v>27</v>
      </c>
      <c r="C3" s="2">
        <f>'Panther Prowlers'!B20</f>
        <v>84.714333333333329</v>
      </c>
      <c r="D3" s="2">
        <f>'Panther Prowlers'!C20</f>
        <v>80.509</v>
      </c>
      <c r="E3" s="2">
        <f>'Panther Prowlers'!D20</f>
        <v>60.68181818181818</v>
      </c>
      <c r="F3" s="9">
        <f t="shared" si="0"/>
        <v>82.611666666666665</v>
      </c>
      <c r="G3">
        <f t="shared" si="1"/>
        <v>2</v>
      </c>
      <c r="H3" t="str">
        <f t="shared" ref="H3:H21" si="2">_xlfn.CONCAT(LEFT(B3,2),CODE(B3))</f>
        <v>Pa80</v>
      </c>
    </row>
    <row r="4" spans="1:8" x14ac:dyDescent="0.25">
      <c r="A4">
        <v>9</v>
      </c>
      <c r="B4" t="s">
        <v>31</v>
      </c>
      <c r="C4" s="2">
        <f>'Tiger Tacklers'!B20</f>
        <v>82.463083333333344</v>
      </c>
      <c r="D4" s="2">
        <f>'Tiger Tacklers'!C20</f>
        <v>79.847749999999991</v>
      </c>
      <c r="E4" s="2">
        <f>'Tiger Tacklers'!D20</f>
        <v>59.590909090909093</v>
      </c>
      <c r="F4" s="9">
        <f t="shared" si="0"/>
        <v>81.155416666666667</v>
      </c>
      <c r="G4">
        <f t="shared" si="1"/>
        <v>3</v>
      </c>
      <c r="H4" t="str">
        <f t="shared" si="2"/>
        <v>Ti84</v>
      </c>
    </row>
    <row r="5" spans="1:8" x14ac:dyDescent="0.25">
      <c r="A5">
        <v>7</v>
      </c>
      <c r="B5" t="s">
        <v>29</v>
      </c>
      <c r="C5" s="2">
        <f>'Wolfpack Wanderers'!B20</f>
        <v>80.23308333333334</v>
      </c>
      <c r="D5" s="2">
        <f>'Wolfpack Wanderers'!C20</f>
        <v>73.777749999999997</v>
      </c>
      <c r="E5" s="2">
        <f>'Wolfpack Wanderers'!D20</f>
        <v>86.590909090909093</v>
      </c>
      <c r="F5" s="9">
        <f t="shared" si="0"/>
        <v>77.005416666666662</v>
      </c>
      <c r="G5">
        <f t="shared" si="1"/>
        <v>4</v>
      </c>
      <c r="H5" t="str">
        <f t="shared" si="2"/>
        <v>Wo87</v>
      </c>
    </row>
    <row r="6" spans="1:8" x14ac:dyDescent="0.25">
      <c r="A6">
        <v>14</v>
      </c>
      <c r="B6" t="s">
        <v>36</v>
      </c>
      <c r="C6" s="2">
        <f>'Jaguar Juggernauts'!B20</f>
        <v>72.445000000000007</v>
      </c>
      <c r="D6" s="2">
        <f>'Jaguar Juggernauts'!C20</f>
        <v>74.004999999999981</v>
      </c>
      <c r="E6" s="2">
        <f>'Jaguar Juggernauts'!D20</f>
        <v>56.13636363636364</v>
      </c>
      <c r="F6" s="9">
        <f t="shared" si="0"/>
        <v>73.224999999999994</v>
      </c>
      <c r="G6">
        <f t="shared" si="1"/>
        <v>5</v>
      </c>
      <c r="H6" t="str">
        <f t="shared" si="2"/>
        <v>Ja74</v>
      </c>
    </row>
    <row r="7" spans="1:8" x14ac:dyDescent="0.25">
      <c r="A7">
        <v>20</v>
      </c>
      <c r="B7" t="s">
        <v>42</v>
      </c>
      <c r="C7" s="2">
        <f>'Gorilla Goalscorers'!B20</f>
        <v>65.365750000000006</v>
      </c>
      <c r="D7" s="2">
        <f>'Gorilla Goalscorers'!C20</f>
        <v>76.051750000000013</v>
      </c>
      <c r="E7" s="2">
        <f>'Gorilla Goalscorers'!D20</f>
        <v>41.81818181818182</v>
      </c>
      <c r="F7" s="9">
        <f t="shared" si="0"/>
        <v>70.708750000000009</v>
      </c>
      <c r="G7">
        <f t="shared" si="1"/>
        <v>6</v>
      </c>
      <c r="H7" t="str">
        <f t="shared" si="2"/>
        <v>Go71</v>
      </c>
    </row>
    <row r="8" spans="1:8" x14ac:dyDescent="0.25">
      <c r="A8">
        <v>1</v>
      </c>
      <c r="B8" t="s">
        <v>21</v>
      </c>
      <c r="C8" s="2">
        <f>'Eagle Eyed United'!B20</f>
        <v>79.290333333333336</v>
      </c>
      <c r="D8" s="2">
        <f>'Eagle Eyed United'!C20</f>
        <v>60.173000000000002</v>
      </c>
      <c r="E8" s="2">
        <f>'Eagle Eyed United'!D20</f>
        <v>56.545454545454547</v>
      </c>
      <c r="F8" s="9">
        <f t="shared" si="0"/>
        <v>69.731666666666669</v>
      </c>
      <c r="G8">
        <f t="shared" si="1"/>
        <v>8</v>
      </c>
      <c r="H8" t="str">
        <f t="shared" si="2"/>
        <v>Ea69</v>
      </c>
    </row>
    <row r="9" spans="1:8" x14ac:dyDescent="0.25">
      <c r="A9">
        <v>6</v>
      </c>
      <c r="B9" t="s">
        <v>28</v>
      </c>
      <c r="C9" s="2">
        <f>'Sharkfin Athletic'!B20</f>
        <v>66.875583333333338</v>
      </c>
      <c r="D9" s="2">
        <f>'Sharkfin Athletic'!C20</f>
        <v>73.160250000000005</v>
      </c>
      <c r="E9" s="2">
        <f>'Sharkfin Athletic'!D20</f>
        <v>35.31818181818182</v>
      </c>
      <c r="F9" s="9">
        <f t="shared" si="0"/>
        <v>70.017916666666679</v>
      </c>
      <c r="G9">
        <f t="shared" si="1"/>
        <v>7</v>
      </c>
      <c r="H9" t="str">
        <f t="shared" si="2"/>
        <v>Sh83</v>
      </c>
    </row>
    <row r="10" spans="1:8" x14ac:dyDescent="0.25">
      <c r="A10">
        <v>11</v>
      </c>
      <c r="B10" t="s">
        <v>33</v>
      </c>
      <c r="C10" s="2">
        <f>'Hawk Haven'!B20</f>
        <v>78.33241666666666</v>
      </c>
      <c r="D10" s="2">
        <f>'Hawk Haven'!C20</f>
        <v>58.751750000000001</v>
      </c>
      <c r="E10" s="2">
        <f>'Hawk Haven'!D20</f>
        <v>80</v>
      </c>
      <c r="F10" s="9">
        <f t="shared" si="0"/>
        <v>68.542083333333323</v>
      </c>
      <c r="G10">
        <f t="shared" si="1"/>
        <v>9</v>
      </c>
      <c r="H10" t="str">
        <f t="shared" si="2"/>
        <v>Ha72</v>
      </c>
    </row>
    <row r="11" spans="1:8" x14ac:dyDescent="0.25">
      <c r="A11">
        <v>16</v>
      </c>
      <c r="B11" t="s">
        <v>38</v>
      </c>
      <c r="C11" s="2">
        <f>'Cheetah Chasers'!B20</f>
        <v>73.539583333333326</v>
      </c>
      <c r="D11" s="2">
        <f>'Cheetah Chasers'!C20</f>
        <v>62.256249999999994</v>
      </c>
      <c r="E11" s="2">
        <f>'Cheetah Chasers'!D20</f>
        <v>59.727272727272734</v>
      </c>
      <c r="F11" s="9">
        <f t="shared" si="0"/>
        <v>67.89791666666666</v>
      </c>
      <c r="G11">
        <f t="shared" si="1"/>
        <v>10</v>
      </c>
      <c r="H11" t="str">
        <f t="shared" si="2"/>
        <v>Ch67</v>
      </c>
    </row>
    <row r="12" spans="1:8" x14ac:dyDescent="0.25">
      <c r="A12">
        <v>13</v>
      </c>
      <c r="B12" t="s">
        <v>35</v>
      </c>
      <c r="C12" s="2">
        <f>'Dolphin Dribblers'!B20</f>
        <v>68.518833333333347</v>
      </c>
      <c r="D12" s="2">
        <f>'Dolphin Dribblers'!C20</f>
        <v>56.109499999999997</v>
      </c>
      <c r="E12" s="2">
        <f>'Dolphin Dribblers'!D20</f>
        <v>87.681818181818187</v>
      </c>
      <c r="F12" s="9">
        <f t="shared" si="0"/>
        <v>62.314166666666672</v>
      </c>
      <c r="G12">
        <f t="shared" si="1"/>
        <v>11</v>
      </c>
      <c r="H12" t="str">
        <f t="shared" si="2"/>
        <v>Do68</v>
      </c>
    </row>
    <row r="13" spans="1:8" x14ac:dyDescent="0.25">
      <c r="A13">
        <v>18</v>
      </c>
      <c r="B13" t="s">
        <v>40</v>
      </c>
      <c r="C13" s="2">
        <f>'Stallion Strikers'!B20</f>
        <v>59.274916666666677</v>
      </c>
      <c r="D13" s="2">
        <f>'Stallion Strikers'!C20</f>
        <v>65.234250000000003</v>
      </c>
      <c r="E13" s="2">
        <f>'Stallion Strikers'!D20</f>
        <v>69.318181818181813</v>
      </c>
      <c r="F13" s="9">
        <f t="shared" si="0"/>
        <v>62.254583333333343</v>
      </c>
      <c r="G13">
        <f t="shared" si="1"/>
        <v>12</v>
      </c>
      <c r="H13" t="str">
        <f t="shared" si="2"/>
        <v>St83</v>
      </c>
    </row>
    <row r="14" spans="1:8" x14ac:dyDescent="0.25">
      <c r="A14">
        <v>3</v>
      </c>
      <c r="B14" t="s">
        <v>25</v>
      </c>
      <c r="C14" s="2">
        <f>'Cobra Strike FC'!B20</f>
        <v>67.463916666666663</v>
      </c>
      <c r="D14" s="2">
        <f>'Cobra Strike FC'!C20</f>
        <v>55.255249999999997</v>
      </c>
      <c r="E14" s="2">
        <f>'Cobra Strike FC'!D20</f>
        <v>56.227272727272734</v>
      </c>
      <c r="F14" s="9">
        <f t="shared" si="0"/>
        <v>61.359583333333333</v>
      </c>
      <c r="G14">
        <f t="shared" si="1"/>
        <v>13</v>
      </c>
      <c r="H14" t="str">
        <f t="shared" si="2"/>
        <v>Co67</v>
      </c>
    </row>
    <row r="15" spans="1:8" x14ac:dyDescent="0.25">
      <c r="A15">
        <v>4</v>
      </c>
      <c r="B15" t="s">
        <v>26</v>
      </c>
      <c r="C15" s="2">
        <f>'Falcon Flyers'!B20</f>
        <v>70.841083333333344</v>
      </c>
      <c r="D15" s="2">
        <f>'Falcon Flyers'!C20</f>
        <v>51.489750000000001</v>
      </c>
      <c r="E15" s="2">
        <f>'Falcon Flyers'!D20</f>
        <v>60.227272727272727</v>
      </c>
      <c r="F15" s="9">
        <f t="shared" si="0"/>
        <v>61.165416666666673</v>
      </c>
      <c r="G15">
        <f t="shared" si="1"/>
        <v>14</v>
      </c>
      <c r="H15" t="str">
        <f t="shared" si="2"/>
        <v>Fa70</v>
      </c>
    </row>
    <row r="16" spans="1:8" x14ac:dyDescent="0.25">
      <c r="A16">
        <v>17</v>
      </c>
      <c r="B16" t="s">
        <v>39</v>
      </c>
      <c r="C16" s="2">
        <f>'Raven Raiders'!B20</f>
        <v>67.455416666666665</v>
      </c>
      <c r="D16" s="2">
        <f>'Raven Raiders'!C20</f>
        <v>53.098749999999995</v>
      </c>
      <c r="E16" s="2">
        <f>'Raven Raiders'!D20</f>
        <v>97.63636363636364</v>
      </c>
      <c r="F16" s="9">
        <f t="shared" si="0"/>
        <v>60.27708333333333</v>
      </c>
      <c r="G16">
        <f t="shared" si="1"/>
        <v>15</v>
      </c>
      <c r="H16" t="str">
        <f t="shared" si="2"/>
        <v>Ra82</v>
      </c>
    </row>
    <row r="17" spans="1:8" x14ac:dyDescent="0.25">
      <c r="A17">
        <v>10</v>
      </c>
      <c r="B17" t="s">
        <v>32</v>
      </c>
      <c r="C17" s="2">
        <f>'Bear Brigade'!B20</f>
        <v>52.087250000000004</v>
      </c>
      <c r="D17" s="2">
        <f>'Bear Brigade'!C20</f>
        <v>67.66525</v>
      </c>
      <c r="E17" s="2">
        <f>'Bear Brigade'!D20</f>
        <v>54.954545454545453</v>
      </c>
      <c r="F17" s="9">
        <f t="shared" si="0"/>
        <v>59.876249999999999</v>
      </c>
      <c r="G17">
        <f t="shared" si="1"/>
        <v>16</v>
      </c>
      <c r="H17" t="str">
        <f t="shared" si="2"/>
        <v>Be66</v>
      </c>
    </row>
    <row r="18" spans="1:8" x14ac:dyDescent="0.25">
      <c r="A18">
        <v>12</v>
      </c>
      <c r="B18" t="s">
        <v>34</v>
      </c>
      <c r="C18" s="2">
        <f>'Python Power'!B20</f>
        <v>57.381416666666674</v>
      </c>
      <c r="D18" s="2">
        <f>'Python Power'!C20</f>
        <v>53.312750000000001</v>
      </c>
      <c r="E18" s="2">
        <f>'Python Power'!D20</f>
        <v>56.818181818181813</v>
      </c>
      <c r="F18" s="9">
        <f t="shared" si="0"/>
        <v>55.347083333333337</v>
      </c>
      <c r="G18">
        <f t="shared" si="1"/>
        <v>17</v>
      </c>
      <c r="H18" t="str">
        <f t="shared" si="2"/>
        <v>Py80</v>
      </c>
    </row>
    <row r="19" spans="1:8" x14ac:dyDescent="0.25">
      <c r="A19">
        <v>15</v>
      </c>
      <c r="B19" t="s">
        <v>37</v>
      </c>
      <c r="C19" s="2">
        <f>'Elephant Elites'!B20</f>
        <v>47.263750000000009</v>
      </c>
      <c r="D19" s="2">
        <f>'Elephant Elites'!C20</f>
        <v>63.373749999999987</v>
      </c>
      <c r="E19" s="2">
        <f>'Elephant Elites'!D20</f>
        <v>80.318181818181813</v>
      </c>
      <c r="F19" s="9">
        <f t="shared" si="0"/>
        <v>55.318749999999994</v>
      </c>
      <c r="G19">
        <f t="shared" si="1"/>
        <v>18</v>
      </c>
      <c r="H19" t="str">
        <f t="shared" si="2"/>
        <v>El69</v>
      </c>
    </row>
    <row r="20" spans="1:8" x14ac:dyDescent="0.25">
      <c r="A20">
        <v>8</v>
      </c>
      <c r="B20" t="s">
        <v>30</v>
      </c>
      <c r="C20" s="2">
        <f>'Rhino Rampage'!B20</f>
        <v>41.128250000000008</v>
      </c>
      <c r="D20" s="2">
        <f>'Rhino Rampage'!C20</f>
        <v>57.914249999999996</v>
      </c>
      <c r="E20" s="2">
        <f>'Rhino Rampage'!D20</f>
        <v>35.090909090909093</v>
      </c>
      <c r="F20" s="9">
        <f t="shared" si="0"/>
        <v>49.521250000000002</v>
      </c>
      <c r="G20">
        <f t="shared" si="1"/>
        <v>19</v>
      </c>
      <c r="H20" t="str">
        <f t="shared" si="2"/>
        <v>Rh82</v>
      </c>
    </row>
    <row r="21" spans="1:8" x14ac:dyDescent="0.25">
      <c r="A21">
        <v>19</v>
      </c>
      <c r="B21" t="s">
        <v>41</v>
      </c>
      <c r="C21" s="2">
        <f>'Buffalo Battlers'!B20</f>
        <v>27.46125</v>
      </c>
      <c r="D21" s="2">
        <f>'Buffalo Battlers'!C20</f>
        <v>47.551249999999996</v>
      </c>
      <c r="E21" s="2">
        <f>'Buffalo Battlers'!D20</f>
        <v>76.590909090909093</v>
      </c>
      <c r="F21" s="9">
        <f t="shared" si="0"/>
        <v>37.506249999999994</v>
      </c>
      <c r="G21">
        <f t="shared" si="1"/>
        <v>20</v>
      </c>
      <c r="H21" t="str">
        <f t="shared" si="2"/>
        <v>Bu66</v>
      </c>
    </row>
    <row r="22" spans="1:8" x14ac:dyDescent="0.25">
      <c r="C22" s="2"/>
      <c r="D22" s="2"/>
      <c r="E22" s="2"/>
      <c r="F22" s="2"/>
    </row>
  </sheetData>
  <autoFilter ref="A1:G21" xr:uid="{D5163E32-7A9E-4974-B5CA-CE3A429AEF2E}">
    <sortState xmlns:xlrd2="http://schemas.microsoft.com/office/spreadsheetml/2017/richdata2" ref="A2:G21">
      <sortCondition ref="G1:G21"/>
    </sortState>
  </autoFilter>
  <sortState xmlns:xlrd2="http://schemas.microsoft.com/office/spreadsheetml/2017/richdata2" ref="A2:G21">
    <sortCondition ref="A2:A2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A40BC-8CCC-46E5-8323-58093D83EBF6}">
  <sheetPr codeName="Sheet3">
    <tabColor theme="1"/>
  </sheetPr>
  <dimension ref="A1:AG43"/>
  <sheetViews>
    <sheetView workbookViewId="0">
      <selection activeCell="O3" sqref="O3:P3"/>
    </sheetView>
  </sheetViews>
  <sheetFormatPr defaultRowHeight="15" x14ac:dyDescent="0.25"/>
  <cols>
    <col min="2" max="2" width="10.42578125" customWidth="1"/>
  </cols>
  <sheetData>
    <row r="1" spans="1:16" x14ac:dyDescent="0.25">
      <c r="B1" t="s">
        <v>17</v>
      </c>
      <c r="C1" t="s">
        <v>14</v>
      </c>
      <c r="D1" t="s">
        <v>15</v>
      </c>
      <c r="E1" t="s">
        <v>16</v>
      </c>
      <c r="J1" t="s">
        <v>61</v>
      </c>
    </row>
    <row r="2" spans="1:16" x14ac:dyDescent="0.25">
      <c r="A2" t="s">
        <v>11</v>
      </c>
      <c r="B2">
        <v>0.4</v>
      </c>
      <c r="C2">
        <v>0.35</v>
      </c>
      <c r="D2">
        <v>0.1</v>
      </c>
      <c r="E2">
        <v>0.15</v>
      </c>
      <c r="F2">
        <f>SUM(B2:E2)</f>
        <v>1</v>
      </c>
      <c r="J2" s="3" t="s">
        <v>1</v>
      </c>
      <c r="K2" s="3" t="s">
        <v>12</v>
      </c>
      <c r="N2" s="3" t="s">
        <v>1354</v>
      </c>
      <c r="O2" s="3" t="s">
        <v>1355</v>
      </c>
      <c r="P2" s="3" t="s">
        <v>1356</v>
      </c>
    </row>
    <row r="3" spans="1:16" x14ac:dyDescent="0.25">
      <c r="A3" t="s">
        <v>58</v>
      </c>
      <c r="B3">
        <v>0.15</v>
      </c>
      <c r="C3">
        <v>0.2</v>
      </c>
      <c r="D3">
        <v>0.35</v>
      </c>
      <c r="E3">
        <v>0.3</v>
      </c>
      <c r="F3">
        <f t="shared" ref="F3" si="0">SUM(B3:E3)</f>
        <v>1</v>
      </c>
      <c r="J3" s="4">
        <f>AVERAGE(B3:E3)*0</f>
        <v>0</v>
      </c>
      <c r="K3" s="5">
        <f>0.4*B3+0.4*C3+0.1*D3+0.1*E3</f>
        <v>0.20500000000000002</v>
      </c>
      <c r="L3" s="5">
        <f>K3</f>
        <v>0.20500000000000002</v>
      </c>
      <c r="N3">
        <f t="shared" ref="N3" ca="1" si="1">RANDBETWEEN(18,35)</f>
        <v>20</v>
      </c>
      <c r="O3">
        <f t="shared" ref="O3" ca="1" si="2">RANDBETWEEN(J3,J3+(35-N3)*2)</f>
        <v>24</v>
      </c>
      <c r="P3" s="49" t="str">
        <f t="shared" ref="P3" ca="1" si="3">IF((J3*0.5)+((O3*0.5)-((N3-18)*0.1))-40&lt;0,"0",(J3*0.5)+((O3*0.5)-((N3-18)*0.1))-40)</f>
        <v>0</v>
      </c>
    </row>
    <row r="4" spans="1:16" x14ac:dyDescent="0.25">
      <c r="A4" t="s">
        <v>56</v>
      </c>
      <c r="B4">
        <v>0.125</v>
      </c>
      <c r="C4">
        <v>0.15</v>
      </c>
      <c r="D4">
        <v>0.57499999999999996</v>
      </c>
      <c r="E4">
        <v>0.15</v>
      </c>
      <c r="F4">
        <f>SUM(B4:E4)</f>
        <v>1</v>
      </c>
      <c r="J4" s="5">
        <f>(B6*0.4+C6*0.3+D6*0.1+E6*0.2)*0.3</f>
        <v>6.4500000000000002E-2</v>
      </c>
      <c r="K4" s="5">
        <f>D6*0.4+C6*0.3+B6*0.2+0.1*E6</f>
        <v>0.26</v>
      </c>
      <c r="L4" s="5">
        <f>0.9*K4+0.4*J4</f>
        <v>0.25980000000000003</v>
      </c>
    </row>
    <row r="5" spans="1:16" x14ac:dyDescent="0.25">
      <c r="A5" t="s">
        <v>56</v>
      </c>
      <c r="B5">
        <v>0.125</v>
      </c>
      <c r="C5">
        <v>0.15</v>
      </c>
      <c r="D5">
        <v>0.57499999999999996</v>
      </c>
      <c r="E5">
        <v>0.15</v>
      </c>
      <c r="F5">
        <f>SUM(B5:E5)</f>
        <v>1</v>
      </c>
      <c r="J5" s="5">
        <f>(B5*0.4+C5*0.3+D5*0.1+E5*0.2)*0.3</f>
        <v>5.475E-2</v>
      </c>
      <c r="K5" s="5">
        <f>D5*0.4+C5*0.3+B5*0.2+0.1*E5</f>
        <v>0.315</v>
      </c>
      <c r="L5" s="5">
        <f>0.9*K5+0.4*J5</f>
        <v>0.3054</v>
      </c>
    </row>
    <row r="6" spans="1:16" x14ac:dyDescent="0.25">
      <c r="A6" t="s">
        <v>58</v>
      </c>
      <c r="B6">
        <v>0.15</v>
      </c>
      <c r="C6">
        <v>0.2</v>
      </c>
      <c r="D6">
        <v>0.35</v>
      </c>
      <c r="E6">
        <v>0.3</v>
      </c>
      <c r="F6">
        <f t="shared" ref="F6" si="4">SUM(B6:E6)</f>
        <v>1</v>
      </c>
      <c r="J6" s="5">
        <f>(B4*0.4+C4*0.3+D4*0.1+E4*0.2)*0.3</f>
        <v>5.475E-2</v>
      </c>
      <c r="K6" s="5">
        <f>D4*0.4+C4*0.3+B4*0.2+0.1*E4</f>
        <v>0.315</v>
      </c>
      <c r="L6" s="5">
        <f>0.9*K6+0.4*J6</f>
        <v>0.3054</v>
      </c>
    </row>
    <row r="7" spans="1:16" x14ac:dyDescent="0.25">
      <c r="A7" t="s">
        <v>45</v>
      </c>
      <c r="B7">
        <v>0.15</v>
      </c>
      <c r="C7">
        <v>0.3</v>
      </c>
      <c r="D7">
        <v>0.4</v>
      </c>
      <c r="E7">
        <v>0.15</v>
      </c>
      <c r="F7">
        <f t="shared" ref="F7:F12" si="5">SUM(B7:E7)</f>
        <v>1</v>
      </c>
      <c r="J7" s="5">
        <f>(B7*0.4+C7*0.3+D7*0.1+E7*0.2)*0.3</f>
        <v>6.6000000000000003E-2</v>
      </c>
      <c r="K7" s="5">
        <f>D7*0.4+C7*0.3+B7*0.2+0.1*E7</f>
        <v>0.29500000000000004</v>
      </c>
      <c r="L7" s="5">
        <f>0.9*K7+0.4*J7</f>
        <v>0.29190000000000005</v>
      </c>
    </row>
    <row r="8" spans="1:16" x14ac:dyDescent="0.25">
      <c r="A8" t="s">
        <v>57</v>
      </c>
      <c r="B8">
        <v>0.25</v>
      </c>
      <c r="C8">
        <v>0.45</v>
      </c>
      <c r="D8">
        <v>0.15</v>
      </c>
      <c r="E8">
        <v>0.15</v>
      </c>
      <c r="F8">
        <f t="shared" si="5"/>
        <v>1</v>
      </c>
      <c r="J8" s="5">
        <f>(B8*0.4+C8*0.3+D8*0.1+E8*0.2)*0.7</f>
        <v>0.19600000000000001</v>
      </c>
      <c r="K8" s="5">
        <f>(D8*0.4+C8*0.3+B8*0.2+0.1*E8)*0.9</f>
        <v>0.23400000000000001</v>
      </c>
      <c r="L8" s="5">
        <f>0.5*J8+0.75*K8</f>
        <v>0.27350000000000002</v>
      </c>
    </row>
    <row r="9" spans="1:16" x14ac:dyDescent="0.25">
      <c r="A9" t="s">
        <v>46</v>
      </c>
      <c r="B9">
        <v>0.35</v>
      </c>
      <c r="C9">
        <v>0.4</v>
      </c>
      <c r="D9">
        <v>0.05</v>
      </c>
      <c r="E9">
        <v>0.2</v>
      </c>
      <c r="F9">
        <f t="shared" si="5"/>
        <v>1</v>
      </c>
      <c r="J9" s="5">
        <f>(B9*0.4+C9*0.3+D9*0.1+E9*0.2)*0.8</f>
        <v>0.24400000000000005</v>
      </c>
      <c r="K9" s="5">
        <f>(D9*0.4+C9*0.3+B9*0.2+0.1*E9)*0.8</f>
        <v>0.18400000000000005</v>
      </c>
      <c r="L9" s="5">
        <f>0.625*J9+0.625*K9</f>
        <v>0.26750000000000007</v>
      </c>
    </row>
    <row r="10" spans="1:16" x14ac:dyDescent="0.25">
      <c r="A10" t="s">
        <v>60</v>
      </c>
      <c r="B10">
        <v>0.35</v>
      </c>
      <c r="C10">
        <v>0.15</v>
      </c>
      <c r="D10">
        <v>0.05</v>
      </c>
      <c r="E10">
        <v>0.45</v>
      </c>
      <c r="F10">
        <f t="shared" si="5"/>
        <v>1</v>
      </c>
      <c r="J10" s="5">
        <f>(B10*0.4+C10*0.3+D10*0.1+E10*0.2)*0.9</f>
        <v>0.25200000000000006</v>
      </c>
      <c r="K10" s="5">
        <f>(D10*0.4+C10*0.3+B10*0.2+0.1*E10)*0.7</f>
        <v>0.126</v>
      </c>
      <c r="L10" s="5">
        <f>0.75*J10+0.5*K10</f>
        <v>0.25200000000000006</v>
      </c>
    </row>
    <row r="11" spans="1:16" x14ac:dyDescent="0.25">
      <c r="A11" t="s">
        <v>59</v>
      </c>
      <c r="B11">
        <v>0.35</v>
      </c>
      <c r="C11">
        <v>0.25</v>
      </c>
      <c r="D11">
        <v>0.1</v>
      </c>
      <c r="E11">
        <v>0.3</v>
      </c>
      <c r="F11">
        <f t="shared" si="5"/>
        <v>1</v>
      </c>
      <c r="J11" s="5">
        <f>B12*0.4+C12*0.3+D12*0.1+E12*0.2</f>
        <v>0.28000000000000003</v>
      </c>
      <c r="K11" s="5">
        <f>(D12*0.4+C12*0.3+B12*0.2+0.1*E12)*0.3</f>
        <v>5.4000000000000006E-2</v>
      </c>
      <c r="L11" s="5">
        <f>0.9*J11+0.4*K11</f>
        <v>0.27360000000000007</v>
      </c>
    </row>
    <row r="12" spans="1:16" x14ac:dyDescent="0.25">
      <c r="A12" t="s">
        <v>60</v>
      </c>
      <c r="B12">
        <v>0.35</v>
      </c>
      <c r="C12">
        <v>0.15</v>
      </c>
      <c r="D12">
        <v>0.05</v>
      </c>
      <c r="E12">
        <v>0.45</v>
      </c>
      <c r="F12">
        <f t="shared" si="5"/>
        <v>1</v>
      </c>
      <c r="J12" s="5">
        <f>B11*0.4+C11*0.3+D11*0.1+E11*0.2</f>
        <v>0.28499999999999998</v>
      </c>
      <c r="K12" s="5">
        <f>(D11*0.4+C11*0.3+B11*0.2+0.1*E11)*0.3</f>
        <v>6.4500000000000002E-2</v>
      </c>
      <c r="L12" s="5">
        <f>0.9*J12+0.4*K12</f>
        <v>0.2823</v>
      </c>
    </row>
    <row r="13" spans="1:16" x14ac:dyDescent="0.25">
      <c r="B13">
        <f>SUM(B2:B12)</f>
        <v>2.7500000000000004</v>
      </c>
      <c r="C13">
        <f>SUM(C2:C12)</f>
        <v>2.75</v>
      </c>
      <c r="D13">
        <f>SUM(D2:D12)</f>
        <v>2.7499999999999991</v>
      </c>
      <c r="E13">
        <f>SUM(E2:E12)</f>
        <v>2.75</v>
      </c>
      <c r="G13">
        <f>AVERAGE(B13:E13)</f>
        <v>2.75</v>
      </c>
      <c r="J13" s="5">
        <f>B13*0.4+C13*0.3+D13*0.1+E13*0.2</f>
        <v>2.75</v>
      </c>
      <c r="K13" s="5">
        <f>(D13*0.4+C13*0.3+B13*0.2+0.1*E13)*0.3</f>
        <v>0.82499999999999984</v>
      </c>
      <c r="L13" s="5">
        <f>0.9*J13+0.4*K13</f>
        <v>2.8050000000000002</v>
      </c>
    </row>
    <row r="15" spans="1:16" x14ac:dyDescent="0.25">
      <c r="A15">
        <f>11/4</f>
        <v>2.75</v>
      </c>
    </row>
    <row r="20" spans="11:33" ht="15.75" thickBot="1" x14ac:dyDescent="0.3">
      <c r="K20" t="s">
        <v>620</v>
      </c>
      <c r="W20" t="s">
        <v>621</v>
      </c>
    </row>
    <row r="21" spans="11:33" ht="60.75" thickBot="1" x14ac:dyDescent="0.3">
      <c r="K21" s="21"/>
      <c r="L21" s="21" t="s">
        <v>5</v>
      </c>
      <c r="M21" s="21" t="s">
        <v>0</v>
      </c>
      <c r="N21" s="21" t="s">
        <v>550</v>
      </c>
      <c r="O21" s="21" t="s">
        <v>551</v>
      </c>
      <c r="P21" s="21" t="s">
        <v>552</v>
      </c>
      <c r="Q21" s="21" t="s">
        <v>553</v>
      </c>
      <c r="R21" s="21" t="s">
        <v>554</v>
      </c>
      <c r="S21" s="21" t="s">
        <v>555</v>
      </c>
      <c r="T21" s="21" t="s">
        <v>556</v>
      </c>
      <c r="U21" s="21" t="s">
        <v>557</v>
      </c>
      <c r="W21" s="27" t="s">
        <v>579</v>
      </c>
      <c r="X21" s="27" t="s">
        <v>0</v>
      </c>
      <c r="Y21" s="27" t="s">
        <v>580</v>
      </c>
      <c r="Z21" s="27" t="s">
        <v>581</v>
      </c>
      <c r="AA21" s="27" t="s">
        <v>582</v>
      </c>
      <c r="AB21" s="27" t="s">
        <v>583</v>
      </c>
      <c r="AC21" s="27" t="s">
        <v>555</v>
      </c>
      <c r="AD21" s="27" t="s">
        <v>556</v>
      </c>
      <c r="AE21" s="27" t="s">
        <v>557</v>
      </c>
      <c r="AF21" s="27" t="s">
        <v>584</v>
      </c>
      <c r="AG21" s="27" t="s">
        <v>585</v>
      </c>
    </row>
    <row r="22" spans="11:33" ht="57.75" customHeight="1" thickBot="1" x14ac:dyDescent="0.3"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W22" s="28">
        <v>1</v>
      </c>
      <c r="X22" s="29" t="s">
        <v>586</v>
      </c>
      <c r="Y22" s="30">
        <v>38</v>
      </c>
      <c r="Z22" s="30">
        <v>29</v>
      </c>
      <c r="AA22" s="30">
        <v>6</v>
      </c>
      <c r="AB22" s="30">
        <v>3</v>
      </c>
      <c r="AC22" s="30">
        <v>99</v>
      </c>
      <c r="AD22" s="30">
        <v>26</v>
      </c>
      <c r="AE22" s="30">
        <v>73</v>
      </c>
      <c r="AF22" s="31">
        <v>93</v>
      </c>
      <c r="AG22" s="52" t="s">
        <v>587</v>
      </c>
    </row>
    <row r="23" spans="11:33" ht="15.75" thickBot="1" x14ac:dyDescent="0.3">
      <c r="K23" s="23">
        <v>7</v>
      </c>
      <c r="L23" s="24">
        <v>1</v>
      </c>
      <c r="M23" s="25" t="s">
        <v>558</v>
      </c>
      <c r="N23" s="24">
        <v>75</v>
      </c>
      <c r="O23" s="24">
        <v>38</v>
      </c>
      <c r="P23" s="24">
        <v>22</v>
      </c>
      <c r="Q23" s="24">
        <v>9</v>
      </c>
      <c r="R23" s="24">
        <v>7</v>
      </c>
      <c r="S23" s="24">
        <v>75</v>
      </c>
      <c r="T23" s="24">
        <v>47</v>
      </c>
      <c r="U23" s="24">
        <v>28</v>
      </c>
      <c r="W23" s="28">
        <v>2</v>
      </c>
      <c r="X23" s="29" t="s">
        <v>588</v>
      </c>
      <c r="Y23" s="30">
        <v>38</v>
      </c>
      <c r="Z23" s="30">
        <v>28</v>
      </c>
      <c r="AA23" s="30">
        <v>8</v>
      </c>
      <c r="AB23" s="30">
        <v>2</v>
      </c>
      <c r="AC23" s="30">
        <v>94</v>
      </c>
      <c r="AD23" s="30">
        <v>26</v>
      </c>
      <c r="AE23" s="30">
        <v>68</v>
      </c>
      <c r="AF23" s="31">
        <v>92</v>
      </c>
      <c r="AG23" s="53"/>
    </row>
    <row r="24" spans="11:33" ht="15.75" thickBot="1" x14ac:dyDescent="0.3">
      <c r="K24" s="23">
        <v>1</v>
      </c>
      <c r="L24" s="24">
        <v>2</v>
      </c>
      <c r="M24" s="25" t="s">
        <v>559</v>
      </c>
      <c r="N24" s="24">
        <v>68</v>
      </c>
      <c r="O24" s="24">
        <v>38</v>
      </c>
      <c r="P24" s="24">
        <v>20</v>
      </c>
      <c r="Q24" s="24">
        <v>8</v>
      </c>
      <c r="R24" s="24">
        <v>10</v>
      </c>
      <c r="S24" s="24">
        <v>79</v>
      </c>
      <c r="T24" s="24">
        <v>57</v>
      </c>
      <c r="U24" s="24">
        <v>22</v>
      </c>
      <c r="W24" s="28">
        <v>3</v>
      </c>
      <c r="X24" s="29" t="s">
        <v>589</v>
      </c>
      <c r="Y24" s="30">
        <v>38</v>
      </c>
      <c r="Z24" s="30">
        <v>21</v>
      </c>
      <c r="AA24" s="30">
        <v>11</v>
      </c>
      <c r="AB24" s="30">
        <v>6</v>
      </c>
      <c r="AC24" s="30">
        <v>76</v>
      </c>
      <c r="AD24" s="30">
        <v>33</v>
      </c>
      <c r="AE24" s="30">
        <v>43</v>
      </c>
      <c r="AF24" s="31">
        <v>74</v>
      </c>
      <c r="AG24" s="53"/>
    </row>
    <row r="25" spans="11:33" ht="15.75" thickBot="1" x14ac:dyDescent="0.3">
      <c r="K25" s="23">
        <v>5</v>
      </c>
      <c r="L25" s="24">
        <v>3</v>
      </c>
      <c r="M25" s="25" t="s">
        <v>560</v>
      </c>
      <c r="N25" s="24">
        <v>64</v>
      </c>
      <c r="O25" s="24">
        <v>38</v>
      </c>
      <c r="P25" s="24">
        <v>19</v>
      </c>
      <c r="Q25" s="24">
        <v>7</v>
      </c>
      <c r="R25" s="24">
        <v>12</v>
      </c>
      <c r="S25" s="24">
        <v>64</v>
      </c>
      <c r="T25" s="24">
        <v>50</v>
      </c>
      <c r="U25" s="24">
        <v>14</v>
      </c>
      <c r="W25" s="28">
        <v>4</v>
      </c>
      <c r="X25" s="29" t="s">
        <v>590</v>
      </c>
      <c r="Y25" s="30">
        <v>38</v>
      </c>
      <c r="Z25" s="30">
        <v>22</v>
      </c>
      <c r="AA25" s="30">
        <v>5</v>
      </c>
      <c r="AB25" s="30">
        <v>11</v>
      </c>
      <c r="AC25" s="30">
        <v>69</v>
      </c>
      <c r="AD25" s="30">
        <v>40</v>
      </c>
      <c r="AE25" s="30">
        <v>29</v>
      </c>
      <c r="AF25" s="31">
        <v>71</v>
      </c>
      <c r="AG25" s="54"/>
    </row>
    <row r="26" spans="11:33" ht="84" customHeight="1" thickBot="1" x14ac:dyDescent="0.3">
      <c r="K26" s="23">
        <v>2</v>
      </c>
      <c r="L26" s="24">
        <v>4</v>
      </c>
      <c r="M26" s="25" t="s">
        <v>561</v>
      </c>
      <c r="N26" s="24">
        <v>63</v>
      </c>
      <c r="O26" s="24">
        <v>38</v>
      </c>
      <c r="P26" s="24">
        <v>17</v>
      </c>
      <c r="Q26" s="24">
        <v>12</v>
      </c>
      <c r="R26" s="24">
        <v>9</v>
      </c>
      <c r="S26" s="24">
        <v>64</v>
      </c>
      <c r="T26" s="24">
        <v>54</v>
      </c>
      <c r="U26" s="24">
        <v>10</v>
      </c>
      <c r="W26" s="32">
        <v>5</v>
      </c>
      <c r="X26" s="33" t="s">
        <v>591</v>
      </c>
      <c r="Y26" s="34">
        <v>38</v>
      </c>
      <c r="Z26" s="34">
        <v>22</v>
      </c>
      <c r="AA26" s="34">
        <v>3</v>
      </c>
      <c r="AB26" s="34">
        <v>13</v>
      </c>
      <c r="AC26" s="34">
        <v>61</v>
      </c>
      <c r="AD26" s="34">
        <v>48</v>
      </c>
      <c r="AE26" s="34">
        <v>13</v>
      </c>
      <c r="AF26" s="35">
        <v>69</v>
      </c>
      <c r="AG26" s="55" t="s">
        <v>592</v>
      </c>
    </row>
    <row r="27" spans="11:33" ht="15.75" thickBot="1" x14ac:dyDescent="0.3">
      <c r="K27" s="23">
        <v>11</v>
      </c>
      <c r="L27" s="24">
        <v>5</v>
      </c>
      <c r="M27" s="25" t="s">
        <v>562</v>
      </c>
      <c r="N27" s="24">
        <v>62</v>
      </c>
      <c r="O27" s="24">
        <v>38</v>
      </c>
      <c r="P27" s="24">
        <v>17</v>
      </c>
      <c r="Q27" s="24">
        <v>11</v>
      </c>
      <c r="R27" s="24">
        <v>10</v>
      </c>
      <c r="S27" s="24">
        <v>71</v>
      </c>
      <c r="T27" s="24">
        <v>56</v>
      </c>
      <c r="U27" s="24">
        <v>15</v>
      </c>
      <c r="W27" s="32">
        <v>6</v>
      </c>
      <c r="X27" s="33" t="s">
        <v>593</v>
      </c>
      <c r="Y27" s="34">
        <v>38</v>
      </c>
      <c r="Z27" s="34">
        <v>16</v>
      </c>
      <c r="AA27" s="34">
        <v>10</v>
      </c>
      <c r="AB27" s="34">
        <v>12</v>
      </c>
      <c r="AC27" s="34">
        <v>57</v>
      </c>
      <c r="AD27" s="34">
        <v>57</v>
      </c>
      <c r="AE27" s="34">
        <v>0</v>
      </c>
      <c r="AF27" s="35">
        <v>58</v>
      </c>
      <c r="AG27" s="56"/>
    </row>
    <row r="28" spans="11:33" ht="129" thickBot="1" x14ac:dyDescent="0.3">
      <c r="K28" s="23">
        <v>16</v>
      </c>
      <c r="L28" s="24">
        <v>6</v>
      </c>
      <c r="M28" s="25" t="s">
        <v>563</v>
      </c>
      <c r="N28" s="24">
        <v>60</v>
      </c>
      <c r="O28" s="24">
        <v>38</v>
      </c>
      <c r="P28" s="24">
        <v>18</v>
      </c>
      <c r="Q28" s="24">
        <v>6</v>
      </c>
      <c r="R28" s="24">
        <v>14</v>
      </c>
      <c r="S28" s="24">
        <v>70</v>
      </c>
      <c r="T28" s="24">
        <v>67</v>
      </c>
      <c r="U28" s="24">
        <v>3</v>
      </c>
      <c r="W28" s="36">
        <v>7</v>
      </c>
      <c r="X28" s="37" t="s">
        <v>594</v>
      </c>
      <c r="Y28" s="38">
        <v>38</v>
      </c>
      <c r="Z28" s="38">
        <v>16</v>
      </c>
      <c r="AA28" s="38">
        <v>8</v>
      </c>
      <c r="AB28" s="38">
        <v>14</v>
      </c>
      <c r="AC28" s="38">
        <v>60</v>
      </c>
      <c r="AD28" s="38">
        <v>51</v>
      </c>
      <c r="AE28" s="38">
        <v>9</v>
      </c>
      <c r="AF28" s="39">
        <v>56</v>
      </c>
      <c r="AG28" s="38" t="s">
        <v>595</v>
      </c>
    </row>
    <row r="29" spans="11:33" ht="15.75" thickBot="1" x14ac:dyDescent="0.3">
      <c r="K29" s="23">
        <v>14</v>
      </c>
      <c r="L29" s="24">
        <v>7</v>
      </c>
      <c r="M29" s="25" t="s">
        <v>564</v>
      </c>
      <c r="N29" s="24">
        <v>58</v>
      </c>
      <c r="O29" s="24">
        <v>38</v>
      </c>
      <c r="P29" s="24">
        <v>16</v>
      </c>
      <c r="Q29" s="24">
        <v>10</v>
      </c>
      <c r="R29" s="24">
        <v>12</v>
      </c>
      <c r="S29" s="24">
        <v>64</v>
      </c>
      <c r="T29" s="24">
        <v>54</v>
      </c>
      <c r="U29" s="24">
        <v>10</v>
      </c>
      <c r="W29" s="40">
        <v>8</v>
      </c>
      <c r="X29" s="41" t="s">
        <v>596</v>
      </c>
      <c r="Y29" s="42">
        <v>38</v>
      </c>
      <c r="Z29" s="42">
        <v>14</v>
      </c>
      <c r="AA29" s="42">
        <v>10</v>
      </c>
      <c r="AB29" s="42">
        <v>14</v>
      </c>
      <c r="AC29" s="42">
        <v>62</v>
      </c>
      <c r="AD29" s="42">
        <v>59</v>
      </c>
      <c r="AE29" s="42">
        <v>3</v>
      </c>
      <c r="AF29" s="43">
        <v>52</v>
      </c>
      <c r="AG29" s="57"/>
    </row>
    <row r="30" spans="11:33" ht="15.75" thickBot="1" x14ac:dyDescent="0.3">
      <c r="K30" s="23">
        <v>9</v>
      </c>
      <c r="L30" s="24">
        <v>8</v>
      </c>
      <c r="M30" s="25" t="s">
        <v>565</v>
      </c>
      <c r="N30" s="24">
        <v>54</v>
      </c>
      <c r="O30" s="24">
        <v>38</v>
      </c>
      <c r="P30" s="24">
        <v>13</v>
      </c>
      <c r="Q30" s="24">
        <v>15</v>
      </c>
      <c r="R30" s="24">
        <v>10</v>
      </c>
      <c r="S30" s="24">
        <v>63</v>
      </c>
      <c r="T30" s="24">
        <v>51</v>
      </c>
      <c r="U30" s="24">
        <v>12</v>
      </c>
      <c r="W30" s="40">
        <v>9</v>
      </c>
      <c r="X30" s="41" t="s">
        <v>597</v>
      </c>
      <c r="Y30" s="42">
        <v>38</v>
      </c>
      <c r="Z30" s="42">
        <v>12</v>
      </c>
      <c r="AA30" s="42">
        <v>15</v>
      </c>
      <c r="AB30" s="42">
        <v>11</v>
      </c>
      <c r="AC30" s="42">
        <v>42</v>
      </c>
      <c r="AD30" s="42">
        <v>44</v>
      </c>
      <c r="AE30" s="42" t="s">
        <v>598</v>
      </c>
      <c r="AF30" s="43">
        <v>51</v>
      </c>
      <c r="AG30" s="58"/>
    </row>
    <row r="31" spans="11:33" ht="15.75" thickBot="1" x14ac:dyDescent="0.3">
      <c r="K31" s="23">
        <v>20</v>
      </c>
      <c r="L31" s="24">
        <v>9</v>
      </c>
      <c r="M31" s="25" t="s">
        <v>566</v>
      </c>
      <c r="N31" s="24">
        <v>54</v>
      </c>
      <c r="O31" s="24">
        <v>38</v>
      </c>
      <c r="P31" s="24">
        <v>14</v>
      </c>
      <c r="Q31" s="24">
        <v>12</v>
      </c>
      <c r="R31" s="24">
        <v>12</v>
      </c>
      <c r="S31" s="24">
        <v>63</v>
      </c>
      <c r="T31" s="24">
        <v>55</v>
      </c>
      <c r="U31" s="24">
        <v>8</v>
      </c>
      <c r="W31" s="40">
        <v>10</v>
      </c>
      <c r="X31" s="41" t="s">
        <v>599</v>
      </c>
      <c r="Y31" s="42">
        <v>38</v>
      </c>
      <c r="Z31" s="42">
        <v>15</v>
      </c>
      <c r="AA31" s="42">
        <v>6</v>
      </c>
      <c r="AB31" s="42">
        <v>17</v>
      </c>
      <c r="AC31" s="42">
        <v>38</v>
      </c>
      <c r="AD31" s="42">
        <v>43</v>
      </c>
      <c r="AE31" s="42" t="s">
        <v>600</v>
      </c>
      <c r="AF31" s="43">
        <v>51</v>
      </c>
      <c r="AG31" s="58"/>
    </row>
    <row r="32" spans="11:33" ht="15.75" thickBot="1" x14ac:dyDescent="0.3">
      <c r="K32" s="23">
        <v>13</v>
      </c>
      <c r="L32" s="24">
        <v>10</v>
      </c>
      <c r="M32" s="25" t="s">
        <v>567</v>
      </c>
      <c r="N32" s="24">
        <v>54</v>
      </c>
      <c r="O32" s="24">
        <v>38</v>
      </c>
      <c r="P32" s="24">
        <v>15</v>
      </c>
      <c r="Q32" s="24">
        <v>9</v>
      </c>
      <c r="R32" s="24">
        <v>14</v>
      </c>
      <c r="S32" s="24">
        <v>65</v>
      </c>
      <c r="T32" s="24">
        <v>65</v>
      </c>
      <c r="U32" s="24">
        <v>0</v>
      </c>
      <c r="W32" s="40">
        <v>11</v>
      </c>
      <c r="X32" s="41" t="s">
        <v>601</v>
      </c>
      <c r="Y32" s="42">
        <v>38</v>
      </c>
      <c r="Z32" s="42">
        <v>13</v>
      </c>
      <c r="AA32" s="42">
        <v>10</v>
      </c>
      <c r="AB32" s="42">
        <v>15</v>
      </c>
      <c r="AC32" s="42">
        <v>44</v>
      </c>
      <c r="AD32" s="42">
        <v>62</v>
      </c>
      <c r="AE32" s="42" t="s">
        <v>602</v>
      </c>
      <c r="AF32" s="43">
        <v>49</v>
      </c>
      <c r="AG32" s="58"/>
    </row>
    <row r="33" spans="11:33" ht="15.75" thickBot="1" x14ac:dyDescent="0.3">
      <c r="K33" s="23">
        <v>17</v>
      </c>
      <c r="L33" s="24">
        <v>11</v>
      </c>
      <c r="M33" s="25" t="s">
        <v>568</v>
      </c>
      <c r="N33" s="24">
        <v>54</v>
      </c>
      <c r="O33" s="24">
        <v>38</v>
      </c>
      <c r="P33" s="24">
        <v>15</v>
      </c>
      <c r="Q33" s="24">
        <v>9</v>
      </c>
      <c r="R33" s="24">
        <v>14</v>
      </c>
      <c r="S33" s="24">
        <v>59</v>
      </c>
      <c r="T33" s="24">
        <v>60</v>
      </c>
      <c r="U33" s="24">
        <v>-1</v>
      </c>
      <c r="W33" s="40">
        <v>12</v>
      </c>
      <c r="X33" s="41" t="s">
        <v>603</v>
      </c>
      <c r="Y33" s="42">
        <v>38</v>
      </c>
      <c r="Z33" s="42">
        <v>11</v>
      </c>
      <c r="AA33" s="42">
        <v>15</v>
      </c>
      <c r="AB33" s="42">
        <v>12</v>
      </c>
      <c r="AC33" s="42">
        <v>50</v>
      </c>
      <c r="AD33" s="42">
        <v>46</v>
      </c>
      <c r="AE33" s="42">
        <v>4</v>
      </c>
      <c r="AF33" s="43">
        <v>48</v>
      </c>
      <c r="AG33" s="58"/>
    </row>
    <row r="34" spans="11:33" ht="15.75" thickBot="1" x14ac:dyDescent="0.3">
      <c r="K34" s="23">
        <v>6</v>
      </c>
      <c r="L34" s="24">
        <v>12</v>
      </c>
      <c r="M34" s="25" t="s">
        <v>569</v>
      </c>
      <c r="N34" s="24">
        <v>51</v>
      </c>
      <c r="O34" s="24">
        <v>38</v>
      </c>
      <c r="P34" s="24">
        <v>14</v>
      </c>
      <c r="Q34" s="24">
        <v>9</v>
      </c>
      <c r="R34" s="24">
        <v>15</v>
      </c>
      <c r="S34" s="24">
        <v>58</v>
      </c>
      <c r="T34" s="24">
        <v>55</v>
      </c>
      <c r="U34" s="24">
        <v>3</v>
      </c>
      <c r="W34" s="40">
        <v>13</v>
      </c>
      <c r="X34" s="41" t="s">
        <v>604</v>
      </c>
      <c r="Y34" s="42">
        <v>38</v>
      </c>
      <c r="Z34" s="42">
        <v>13</v>
      </c>
      <c r="AA34" s="42">
        <v>7</v>
      </c>
      <c r="AB34" s="42">
        <v>18</v>
      </c>
      <c r="AC34" s="42">
        <v>48</v>
      </c>
      <c r="AD34" s="42">
        <v>56</v>
      </c>
      <c r="AE34" s="42" t="s">
        <v>605</v>
      </c>
      <c r="AF34" s="43">
        <v>46</v>
      </c>
      <c r="AG34" s="58"/>
    </row>
    <row r="35" spans="11:33" ht="15.75" thickBot="1" x14ac:dyDescent="0.3">
      <c r="K35" s="23">
        <v>4</v>
      </c>
      <c r="L35" s="24">
        <v>13</v>
      </c>
      <c r="M35" s="25" t="s">
        <v>570</v>
      </c>
      <c r="N35" s="24">
        <v>51</v>
      </c>
      <c r="O35" s="24">
        <v>38</v>
      </c>
      <c r="P35" s="24">
        <v>14</v>
      </c>
      <c r="Q35" s="24">
        <v>9</v>
      </c>
      <c r="R35" s="24">
        <v>15</v>
      </c>
      <c r="S35" s="24">
        <v>53</v>
      </c>
      <c r="T35" s="24">
        <v>60</v>
      </c>
      <c r="U35" s="24">
        <v>-7</v>
      </c>
      <c r="W35" s="40">
        <v>14</v>
      </c>
      <c r="X35" s="41" t="s">
        <v>606</v>
      </c>
      <c r="Y35" s="42">
        <v>38</v>
      </c>
      <c r="Z35" s="42">
        <v>13</v>
      </c>
      <c r="AA35" s="42">
        <v>6</v>
      </c>
      <c r="AB35" s="42">
        <v>19</v>
      </c>
      <c r="AC35" s="42">
        <v>52</v>
      </c>
      <c r="AD35" s="42">
        <v>54</v>
      </c>
      <c r="AE35" s="42" t="s">
        <v>598</v>
      </c>
      <c r="AF35" s="43">
        <v>45</v>
      </c>
      <c r="AG35" s="58"/>
    </row>
    <row r="36" spans="11:33" ht="15.75" thickBot="1" x14ac:dyDescent="0.3">
      <c r="K36" s="23">
        <v>18</v>
      </c>
      <c r="L36" s="24">
        <v>14</v>
      </c>
      <c r="M36" s="25" t="s">
        <v>571</v>
      </c>
      <c r="N36" s="24">
        <v>47</v>
      </c>
      <c r="O36" s="24">
        <v>38</v>
      </c>
      <c r="P36" s="24">
        <v>13</v>
      </c>
      <c r="Q36" s="24">
        <v>8</v>
      </c>
      <c r="R36" s="24">
        <v>17</v>
      </c>
      <c r="S36" s="24">
        <v>51</v>
      </c>
      <c r="T36" s="24">
        <v>55</v>
      </c>
      <c r="U36" s="24">
        <v>-4</v>
      </c>
      <c r="W36" s="40">
        <v>15</v>
      </c>
      <c r="X36" s="41" t="s">
        <v>607</v>
      </c>
      <c r="Y36" s="42">
        <v>38</v>
      </c>
      <c r="Z36" s="42">
        <v>9</v>
      </c>
      <c r="AA36" s="42">
        <v>13</v>
      </c>
      <c r="AB36" s="42">
        <v>16</v>
      </c>
      <c r="AC36" s="42">
        <v>43</v>
      </c>
      <c r="AD36" s="42">
        <v>67</v>
      </c>
      <c r="AE36" s="42" t="s">
        <v>608</v>
      </c>
      <c r="AF36" s="43">
        <v>40</v>
      </c>
      <c r="AG36" s="58"/>
    </row>
    <row r="37" spans="11:33" ht="15.75" thickBot="1" x14ac:dyDescent="0.3">
      <c r="K37" s="23">
        <v>10</v>
      </c>
      <c r="L37" s="24">
        <v>15</v>
      </c>
      <c r="M37" s="25" t="s">
        <v>572</v>
      </c>
      <c r="N37" s="24">
        <v>45</v>
      </c>
      <c r="O37" s="24">
        <v>38</v>
      </c>
      <c r="P37" s="24">
        <v>13</v>
      </c>
      <c r="Q37" s="24">
        <v>6</v>
      </c>
      <c r="R37" s="24">
        <v>19</v>
      </c>
      <c r="S37" s="24">
        <v>51</v>
      </c>
      <c r="T37" s="24">
        <v>62</v>
      </c>
      <c r="U37" s="24">
        <v>-11</v>
      </c>
      <c r="W37" s="40">
        <v>16</v>
      </c>
      <c r="X37" s="41" t="s">
        <v>609</v>
      </c>
      <c r="Y37" s="42">
        <v>38</v>
      </c>
      <c r="Z37" s="42">
        <v>11</v>
      </c>
      <c r="AA37" s="42">
        <v>6</v>
      </c>
      <c r="AB37" s="42">
        <v>21</v>
      </c>
      <c r="AC37" s="42">
        <v>43</v>
      </c>
      <c r="AD37" s="42">
        <v>66</v>
      </c>
      <c r="AE37" s="42" t="s">
        <v>610</v>
      </c>
      <c r="AF37" s="43">
        <v>39</v>
      </c>
      <c r="AG37" s="58"/>
    </row>
    <row r="38" spans="11:33" ht="15.75" thickBot="1" x14ac:dyDescent="0.3">
      <c r="K38" s="23">
        <v>8</v>
      </c>
      <c r="L38" s="24">
        <v>16</v>
      </c>
      <c r="M38" s="25" t="s">
        <v>573</v>
      </c>
      <c r="N38" s="24">
        <v>44</v>
      </c>
      <c r="O38" s="24">
        <v>38</v>
      </c>
      <c r="P38" s="24">
        <v>10</v>
      </c>
      <c r="Q38" s="24">
        <v>14</v>
      </c>
      <c r="R38" s="24">
        <v>14</v>
      </c>
      <c r="S38" s="24">
        <v>47</v>
      </c>
      <c r="T38" s="24">
        <v>53</v>
      </c>
      <c r="U38" s="24">
        <v>-6</v>
      </c>
      <c r="W38" s="40">
        <v>17</v>
      </c>
      <c r="X38" s="41" t="s">
        <v>611</v>
      </c>
      <c r="Y38" s="42">
        <v>38</v>
      </c>
      <c r="Z38" s="42">
        <v>9</v>
      </c>
      <c r="AA38" s="42">
        <v>11</v>
      </c>
      <c r="AB38" s="42">
        <v>18</v>
      </c>
      <c r="AC38" s="42">
        <v>42</v>
      </c>
      <c r="AD38" s="42">
        <v>79</v>
      </c>
      <c r="AE38" s="42" t="s">
        <v>612</v>
      </c>
      <c r="AF38" s="43">
        <v>38</v>
      </c>
      <c r="AG38" s="59"/>
    </row>
    <row r="39" spans="11:33" ht="28.5" customHeight="1" thickBot="1" x14ac:dyDescent="0.3">
      <c r="K39" s="23">
        <v>12</v>
      </c>
      <c r="L39" s="24">
        <v>17</v>
      </c>
      <c r="M39" s="25" t="s">
        <v>574</v>
      </c>
      <c r="N39" s="24">
        <v>44</v>
      </c>
      <c r="O39" s="24">
        <v>38</v>
      </c>
      <c r="P39" s="24">
        <v>11</v>
      </c>
      <c r="Q39" s="24">
        <v>11</v>
      </c>
      <c r="R39" s="24">
        <v>16</v>
      </c>
      <c r="S39" s="24">
        <v>49</v>
      </c>
      <c r="T39" s="24">
        <v>62</v>
      </c>
      <c r="U39" s="24">
        <v>-13</v>
      </c>
      <c r="W39" s="44">
        <v>18</v>
      </c>
      <c r="X39" s="45" t="s">
        <v>613</v>
      </c>
      <c r="Y39" s="46">
        <v>38</v>
      </c>
      <c r="Z39" s="46">
        <v>7</v>
      </c>
      <c r="AA39" s="46">
        <v>14</v>
      </c>
      <c r="AB39" s="46">
        <v>17</v>
      </c>
      <c r="AC39" s="46">
        <v>34</v>
      </c>
      <c r="AD39" s="46">
        <v>53</v>
      </c>
      <c r="AE39" s="46" t="s">
        <v>614</v>
      </c>
      <c r="AF39" s="47">
        <v>35</v>
      </c>
      <c r="AG39" s="60" t="s">
        <v>615</v>
      </c>
    </row>
    <row r="40" spans="11:33" ht="15.75" thickBot="1" x14ac:dyDescent="0.3">
      <c r="K40" s="23">
        <v>15</v>
      </c>
      <c r="L40" s="24">
        <v>18</v>
      </c>
      <c r="M40" s="25" t="s">
        <v>575</v>
      </c>
      <c r="N40" s="24">
        <v>37</v>
      </c>
      <c r="O40" s="24">
        <v>38</v>
      </c>
      <c r="P40" s="24">
        <v>9</v>
      </c>
      <c r="Q40" s="24">
        <v>10</v>
      </c>
      <c r="R40" s="24">
        <v>19</v>
      </c>
      <c r="S40" s="24">
        <v>41</v>
      </c>
      <c r="T40" s="24">
        <v>60</v>
      </c>
      <c r="U40" s="24">
        <v>-19</v>
      </c>
      <c r="W40" s="44">
        <v>19</v>
      </c>
      <c r="X40" s="45" t="s">
        <v>616</v>
      </c>
      <c r="Y40" s="46">
        <v>38</v>
      </c>
      <c r="Z40" s="46">
        <v>6</v>
      </c>
      <c r="AA40" s="46">
        <v>5</v>
      </c>
      <c r="AB40" s="46">
        <v>27</v>
      </c>
      <c r="AC40" s="46">
        <v>34</v>
      </c>
      <c r="AD40" s="46">
        <v>77</v>
      </c>
      <c r="AE40" s="46" t="s">
        <v>617</v>
      </c>
      <c r="AF40" s="47">
        <v>23</v>
      </c>
      <c r="AG40" s="61"/>
    </row>
    <row r="41" spans="11:33" ht="15.75" thickBot="1" x14ac:dyDescent="0.3">
      <c r="K41" s="23">
        <v>3</v>
      </c>
      <c r="L41" s="24">
        <v>19</v>
      </c>
      <c r="M41" s="25" t="s">
        <v>576</v>
      </c>
      <c r="N41" s="24">
        <v>36</v>
      </c>
      <c r="O41" s="24">
        <v>38</v>
      </c>
      <c r="P41" s="24">
        <v>8</v>
      </c>
      <c r="Q41" s="24">
        <v>12</v>
      </c>
      <c r="R41" s="24">
        <v>18</v>
      </c>
      <c r="S41" s="24">
        <v>56</v>
      </c>
      <c r="T41" s="24">
        <v>75</v>
      </c>
      <c r="U41" s="24">
        <v>-19</v>
      </c>
      <c r="W41" s="44">
        <v>20</v>
      </c>
      <c r="X41" s="45" t="s">
        <v>618</v>
      </c>
      <c r="Y41" s="46">
        <v>38</v>
      </c>
      <c r="Z41" s="46">
        <v>5</v>
      </c>
      <c r="AA41" s="46">
        <v>7</v>
      </c>
      <c r="AB41" s="46">
        <v>26</v>
      </c>
      <c r="AC41" s="46">
        <v>23</v>
      </c>
      <c r="AD41" s="46">
        <v>84</v>
      </c>
      <c r="AE41" s="46" t="s">
        <v>619</v>
      </c>
      <c r="AF41" s="47">
        <v>22</v>
      </c>
      <c r="AG41" s="62"/>
    </row>
    <row r="42" spans="11:33" ht="15.75" thickBot="1" x14ac:dyDescent="0.3">
      <c r="K42" s="23">
        <v>19</v>
      </c>
      <c r="L42" s="24">
        <v>20</v>
      </c>
      <c r="M42" s="25" t="s">
        <v>577</v>
      </c>
      <c r="N42" s="24">
        <v>21</v>
      </c>
      <c r="O42" s="24">
        <v>38</v>
      </c>
      <c r="P42" s="24">
        <v>4</v>
      </c>
      <c r="Q42" s="24">
        <v>9</v>
      </c>
      <c r="R42" s="24">
        <v>25</v>
      </c>
      <c r="S42" s="24">
        <v>28</v>
      </c>
      <c r="T42" s="24">
        <v>73</v>
      </c>
      <c r="U42" s="24">
        <v>-45</v>
      </c>
      <c r="W42">
        <f t="shared" ref="W42" si="6">SUM(W22:W41)</f>
        <v>210</v>
      </c>
      <c r="X42">
        <f t="shared" ref="X42" si="7">SUM(X22:X41)</f>
        <v>0</v>
      </c>
      <c r="Y42">
        <f t="shared" ref="Y42:AB42" si="8">SUM(Y22:Y41)</f>
        <v>760</v>
      </c>
      <c r="Z42">
        <f t="shared" si="8"/>
        <v>292</v>
      </c>
      <c r="AA42">
        <f t="shared" si="8"/>
        <v>176</v>
      </c>
      <c r="AB42">
        <f t="shared" si="8"/>
        <v>292</v>
      </c>
      <c r="AC42">
        <f>SUM(AC22:AC41)</f>
        <v>1071</v>
      </c>
      <c r="AD42">
        <f>SUM(AD22:AD41)</f>
        <v>1071</v>
      </c>
      <c r="AE42">
        <f>SUM(AE22:AE41)</f>
        <v>242</v>
      </c>
    </row>
    <row r="43" spans="11:33" ht="52.5" x14ac:dyDescent="0.25">
      <c r="K43" s="26" t="s">
        <v>578</v>
      </c>
      <c r="L43">
        <f t="shared" ref="L43:R43" si="9">SUM(L23:L42)</f>
        <v>210</v>
      </c>
      <c r="M43">
        <f t="shared" si="9"/>
        <v>0</v>
      </c>
      <c r="N43">
        <f t="shared" si="9"/>
        <v>1042</v>
      </c>
      <c r="O43">
        <f t="shared" si="9"/>
        <v>760</v>
      </c>
      <c r="P43">
        <f t="shared" si="9"/>
        <v>282</v>
      </c>
      <c r="Q43">
        <f t="shared" si="9"/>
        <v>196</v>
      </c>
      <c r="R43">
        <f t="shared" si="9"/>
        <v>282</v>
      </c>
      <c r="S43">
        <f>SUM(S23:S42)</f>
        <v>1171</v>
      </c>
      <c r="T43">
        <f>SUM(T23:T42)</f>
        <v>1171</v>
      </c>
      <c r="U43">
        <f>SUM(U23:U42)</f>
        <v>0</v>
      </c>
    </row>
  </sheetData>
  <mergeCells count="4">
    <mergeCell ref="AG22:AG25"/>
    <mergeCell ref="AG26:AG27"/>
    <mergeCell ref="AG29:AG38"/>
    <mergeCell ref="AG39:AG41"/>
  </mergeCells>
  <hyperlinks>
    <hyperlink ref="X22" r:id="rId1" tooltip="Manchester City F.C." display="https://en.wikipedia.org/wiki/Manchester_City_F.C." xr:uid="{6F0BDFAC-84F7-46C5-9B15-694374324EF2}"/>
    <hyperlink ref="AG22" r:id="rId2" tooltip="2022–23 UEFA Champions League" display="https://en.wikipedia.org/wiki/2022%E2%80%9323_UEFA_Champions_League" xr:uid="{DC9FC01E-ADE2-452E-A66D-069FFFAE5B70}"/>
    <hyperlink ref="X23" r:id="rId3" tooltip="Liverpool F.C." display="https://en.wikipedia.org/wiki/Liverpool_F.C." xr:uid="{6DA00917-0161-4C51-8640-150B5420C383}"/>
    <hyperlink ref="X24" r:id="rId4" tooltip="Chelsea F.C." display="https://en.wikipedia.org/wiki/Chelsea_F.C." xr:uid="{7651CCDF-A547-41F0-B265-D86DFAB82667}"/>
    <hyperlink ref="X25" r:id="rId5" tooltip="Tottenham Hotspur F.C." display="https://en.wikipedia.org/wiki/Tottenham_Hotspur_F.C." xr:uid="{C77AF47B-6013-4423-B983-0D46E1728431}"/>
    <hyperlink ref="X26" r:id="rId6" tooltip="Arsenal F.C." display="https://en.wikipedia.org/wiki/Arsenal_F.C." xr:uid="{23F1F01C-FF0E-4A11-8028-7B6FF480CD72}"/>
    <hyperlink ref="X27" r:id="rId7" tooltip="Manchester United F.C." display="https://en.wikipedia.org/wiki/Manchester_United_F.C." xr:uid="{25CCDB8E-731C-4F47-83A9-81488D0864E9}"/>
    <hyperlink ref="X28" r:id="rId8" tooltip="West Ham United F.C." display="https://en.wikipedia.org/wiki/West_Ham_United_F.C." xr:uid="{4CC9536B-63C5-4BFA-ABCE-7658F31A1516}"/>
    <hyperlink ref="X29" r:id="rId9" tooltip="Leicester City F.C." display="https://en.wikipedia.org/wiki/Leicester_City_F.C." xr:uid="{A9D32A64-ED91-485D-85A7-F34A243D40FE}"/>
    <hyperlink ref="X30" r:id="rId10" tooltip="Brighton &amp; Hove Albion F.C." display="https://en.wikipedia.org/wiki/Brighton_%26_Hove_Albion_F.C." xr:uid="{08B65573-296F-47AB-B32C-28C2F2E37B3B}"/>
    <hyperlink ref="X31" r:id="rId11" tooltip="Wolverhampton Wanderers F.C." display="https://en.wikipedia.org/wiki/Wolverhampton_Wanderers_F.C." xr:uid="{B9C2D8A0-810C-4ACF-BA82-65DD63063406}"/>
    <hyperlink ref="X32" r:id="rId12" tooltip="Newcastle United F.C." display="https://en.wikipedia.org/wiki/Newcastle_United_F.C." xr:uid="{C57B59F8-9E54-4C54-B359-2CB10295C927}"/>
    <hyperlink ref="X33" r:id="rId13" tooltip="Crystal Palace F.C." display="https://en.wikipedia.org/wiki/Crystal_Palace_F.C." xr:uid="{4C7404FB-0AE5-46DA-8A26-EBADF628A558}"/>
    <hyperlink ref="X34" r:id="rId14" tooltip="Brentford F.C." display="https://en.wikipedia.org/wiki/Brentford_F.C." xr:uid="{DCDD26F3-15C1-4606-9BD6-5A88E65E9E68}"/>
    <hyperlink ref="X35" r:id="rId15" tooltip="Aston Villa F.C." display="https://en.wikipedia.org/wiki/Aston_Villa_F.C." xr:uid="{3C86D4CC-AB44-4BC0-B705-1CA9EC160CD7}"/>
    <hyperlink ref="X36" r:id="rId16" tooltip="Southampton F.C." display="https://en.wikipedia.org/wiki/Southampton_F.C." xr:uid="{5A10E244-48D2-4F5F-B83E-86E2A7F42F06}"/>
    <hyperlink ref="X37" r:id="rId17" tooltip="Everton F.C." display="https://en.wikipedia.org/wiki/Everton_F.C." xr:uid="{ED0D22ED-0DD0-4B51-9C27-B0797BFD4C6B}"/>
    <hyperlink ref="X38" r:id="rId18" tooltip="Leeds United F.C." display="https://en.wikipedia.org/wiki/Leeds_United_F.C." xr:uid="{C8F2E50E-470A-4A1D-AB99-142FAB68E938}"/>
    <hyperlink ref="X39" r:id="rId19" tooltip="Burnley F.C." display="https://en.wikipedia.org/wiki/Burnley_F.C." xr:uid="{FB1C110D-491B-4C57-9739-EB4D5F7AAC3E}"/>
    <hyperlink ref="AG39" r:id="rId20" tooltip="2022–23 EFL Championship" display="https://en.wikipedia.org/wiki/2022%E2%80%9323_EFL_Championship" xr:uid="{5A80FD6D-571B-4093-9E8B-1E4D92E1996A}"/>
    <hyperlink ref="X40" r:id="rId21" tooltip="Watford F.C." display="https://en.wikipedia.org/wiki/Watford_F.C." xr:uid="{7EF2BD28-94FA-4F23-8A37-3F0686042729}"/>
    <hyperlink ref="X41" r:id="rId22" tooltip="Norwich City F.C." display="https://en.wikipedia.org/wiki/Norwich_City_F.C." xr:uid="{9635CC17-9AEF-4B0F-A2C5-8A1262F954EC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01EC9-E823-45BF-B579-E8BDEC161364}">
  <sheetPr codeName="Sheet4">
    <tabColor theme="1"/>
  </sheetPr>
  <dimension ref="A1:AA42"/>
  <sheetViews>
    <sheetView topLeftCell="A19" workbookViewId="0">
      <selection activeCell="J34" sqref="J34"/>
    </sheetView>
  </sheetViews>
  <sheetFormatPr defaultRowHeight="15" x14ac:dyDescent="0.25"/>
  <cols>
    <col min="1" max="1" width="19.7109375" bestFit="1" customWidth="1"/>
    <col min="2" max="2" width="8" bestFit="1" customWidth="1"/>
    <col min="3" max="3" width="10.28515625" bestFit="1" customWidth="1"/>
    <col min="4" max="4" width="4" bestFit="1" customWidth="1"/>
    <col min="5" max="5" width="8.5703125" bestFit="1" customWidth="1"/>
    <col min="6" max="6" width="6.5703125" bestFit="1" customWidth="1"/>
  </cols>
  <sheetData>
    <row r="1" spans="1:27" x14ac:dyDescent="0.25">
      <c r="B1" t="s">
        <v>63</v>
      </c>
      <c r="C1" t="s">
        <v>17</v>
      </c>
      <c r="D1" t="s">
        <v>14</v>
      </c>
      <c r="E1" t="s">
        <v>15</v>
      </c>
      <c r="F1" t="s">
        <v>16</v>
      </c>
      <c r="G1" t="s">
        <v>548</v>
      </c>
      <c r="H1" t="s">
        <v>547</v>
      </c>
      <c r="I1" t="s">
        <v>10</v>
      </c>
      <c r="M1" t="s">
        <v>63</v>
      </c>
      <c r="N1" t="s">
        <v>17</v>
      </c>
      <c r="O1" t="s">
        <v>14</v>
      </c>
      <c r="P1" t="s">
        <v>15</v>
      </c>
      <c r="Q1" t="s">
        <v>16</v>
      </c>
      <c r="R1" t="s">
        <v>64</v>
      </c>
      <c r="S1" t="s">
        <v>547</v>
      </c>
      <c r="T1" t="s">
        <v>10</v>
      </c>
      <c r="W1" t="s">
        <v>65</v>
      </c>
      <c r="X1" t="s">
        <v>66</v>
      </c>
      <c r="Y1" t="s">
        <v>67</v>
      </c>
      <c r="Z1" t="s">
        <v>68</v>
      </c>
      <c r="AA1" t="s">
        <v>138</v>
      </c>
    </row>
    <row r="2" spans="1:27" x14ac:dyDescent="0.25">
      <c r="A2" t="s">
        <v>21</v>
      </c>
      <c r="B2">
        <v>12</v>
      </c>
      <c r="C2">
        <v>80</v>
      </c>
      <c r="D2">
        <v>75</v>
      </c>
      <c r="E2">
        <v>25</v>
      </c>
      <c r="F2">
        <v>85</v>
      </c>
      <c r="H2">
        <v>90</v>
      </c>
      <c r="I2">
        <v>25</v>
      </c>
      <c r="J2" t="str">
        <f>_xlfn.CONCAT(LEFT(A2,2),CODE(A2))</f>
        <v>Ea69</v>
      </c>
      <c r="L2" s="16" t="s">
        <v>21</v>
      </c>
      <c r="M2">
        <v>12</v>
      </c>
      <c r="N2">
        <v>80</v>
      </c>
      <c r="O2">
        <v>75</v>
      </c>
      <c r="P2">
        <v>25</v>
      </c>
      <c r="Q2">
        <v>85</v>
      </c>
      <c r="R2" s="2">
        <f t="shared" ref="R2:R21" si="0">AVERAGE(N2:Q2)</f>
        <v>66.25</v>
      </c>
      <c r="S2">
        <v>90</v>
      </c>
      <c r="T2">
        <v>25</v>
      </c>
      <c r="U2">
        <f t="shared" ref="U2:U21" si="1">AVERAGE(S2:T2)</f>
        <v>57.5</v>
      </c>
      <c r="V2" s="2">
        <f t="shared" ref="V2:V21" si="2">R2*((AVERAGE(S2:T2)+50)/100)</f>
        <v>71.21875</v>
      </c>
      <c r="W2">
        <f t="shared" ref="W2:W21" si="3">_xlfn.RANK.EQ(R2,$R$2:$R$21)</f>
        <v>9</v>
      </c>
      <c r="X2">
        <f t="shared" ref="X2:X21" si="4">_xlfn.RANK.EQ(V2,$V$2:$V$21)</f>
        <v>11</v>
      </c>
      <c r="Y2">
        <f t="shared" ref="Y2:Y21" si="5">M2-W2</f>
        <v>3</v>
      </c>
      <c r="Z2">
        <f t="shared" ref="Z2:Z21" si="6">M2-X2</f>
        <v>1</v>
      </c>
      <c r="AA2" t="s">
        <v>143</v>
      </c>
    </row>
    <row r="3" spans="1:27" x14ac:dyDescent="0.25">
      <c r="A3" t="s">
        <v>23</v>
      </c>
      <c r="B3">
        <v>1</v>
      </c>
      <c r="C3">
        <v>80</v>
      </c>
      <c r="D3">
        <v>80</v>
      </c>
      <c r="E3">
        <v>90</v>
      </c>
      <c r="F3">
        <v>85</v>
      </c>
      <c r="H3">
        <v>55</v>
      </c>
      <c r="I3">
        <v>70</v>
      </c>
      <c r="J3" t="str">
        <f t="shared" ref="J3:J21" si="7">_xlfn.CONCAT(LEFT(A3,2),CODE(A3))</f>
        <v>Li76</v>
      </c>
      <c r="L3" s="16" t="s">
        <v>23</v>
      </c>
      <c r="M3">
        <v>1</v>
      </c>
      <c r="N3">
        <v>80</v>
      </c>
      <c r="O3">
        <v>80</v>
      </c>
      <c r="P3">
        <v>90</v>
      </c>
      <c r="Q3">
        <v>85</v>
      </c>
      <c r="R3" s="2">
        <f t="shared" si="0"/>
        <v>83.75</v>
      </c>
      <c r="S3">
        <v>55</v>
      </c>
      <c r="T3">
        <v>70</v>
      </c>
      <c r="U3">
        <f t="shared" si="1"/>
        <v>62.5</v>
      </c>
      <c r="V3" s="2">
        <f t="shared" si="2"/>
        <v>94.21875</v>
      </c>
      <c r="W3">
        <f>_xlfn.RANK.EQ(R3,$R$2:$R$21)</f>
        <v>1</v>
      </c>
      <c r="X3">
        <f t="shared" si="4"/>
        <v>2</v>
      </c>
      <c r="Y3">
        <f t="shared" si="5"/>
        <v>0</v>
      </c>
      <c r="Z3">
        <f t="shared" si="6"/>
        <v>-1</v>
      </c>
      <c r="AA3" t="s">
        <v>144</v>
      </c>
    </row>
    <row r="4" spans="1:27" x14ac:dyDescent="0.25">
      <c r="A4" t="s">
        <v>25</v>
      </c>
      <c r="B4">
        <v>11</v>
      </c>
      <c r="C4">
        <v>85</v>
      </c>
      <c r="D4">
        <v>30</v>
      </c>
      <c r="E4">
        <v>30</v>
      </c>
      <c r="F4">
        <v>90</v>
      </c>
      <c r="H4">
        <v>100</v>
      </c>
      <c r="I4">
        <v>25</v>
      </c>
      <c r="J4" t="str">
        <f t="shared" si="7"/>
        <v>Co67</v>
      </c>
      <c r="L4" s="16" t="s">
        <v>25</v>
      </c>
      <c r="M4">
        <v>11</v>
      </c>
      <c r="N4">
        <v>85</v>
      </c>
      <c r="O4">
        <v>30</v>
      </c>
      <c r="P4">
        <v>30</v>
      </c>
      <c r="Q4">
        <v>90</v>
      </c>
      <c r="R4" s="2">
        <f t="shared" si="0"/>
        <v>58.75</v>
      </c>
      <c r="S4">
        <v>100</v>
      </c>
      <c r="T4">
        <v>25</v>
      </c>
      <c r="U4">
        <f t="shared" si="1"/>
        <v>62.5</v>
      </c>
      <c r="V4" s="2">
        <f t="shared" si="2"/>
        <v>66.09375</v>
      </c>
      <c r="W4">
        <f t="shared" si="3"/>
        <v>15</v>
      </c>
      <c r="X4">
        <f t="shared" si="4"/>
        <v>13</v>
      </c>
      <c r="Y4">
        <f t="shared" si="5"/>
        <v>-4</v>
      </c>
      <c r="Z4">
        <f t="shared" si="6"/>
        <v>-2</v>
      </c>
      <c r="AA4" t="s">
        <v>142</v>
      </c>
    </row>
    <row r="5" spans="1:27" x14ac:dyDescent="0.25">
      <c r="A5" t="s">
        <v>26</v>
      </c>
      <c r="B5">
        <v>16</v>
      </c>
      <c r="C5">
        <v>80</v>
      </c>
      <c r="D5">
        <v>40</v>
      </c>
      <c r="E5">
        <v>10</v>
      </c>
      <c r="F5">
        <v>95</v>
      </c>
      <c r="H5">
        <v>80</v>
      </c>
      <c r="I5">
        <v>40</v>
      </c>
      <c r="J5" t="str">
        <f t="shared" si="7"/>
        <v>Fa70</v>
      </c>
      <c r="L5" s="16" t="s">
        <v>26</v>
      </c>
      <c r="M5">
        <v>16</v>
      </c>
      <c r="N5">
        <v>80</v>
      </c>
      <c r="O5">
        <v>40</v>
      </c>
      <c r="P5">
        <v>10</v>
      </c>
      <c r="Q5">
        <v>95</v>
      </c>
      <c r="R5" s="2">
        <f t="shared" si="0"/>
        <v>56.25</v>
      </c>
      <c r="S5">
        <v>80</v>
      </c>
      <c r="T5">
        <v>40</v>
      </c>
      <c r="U5">
        <f t="shared" si="1"/>
        <v>60</v>
      </c>
      <c r="V5" s="2">
        <f t="shared" si="2"/>
        <v>61.875000000000007</v>
      </c>
      <c r="W5">
        <f t="shared" si="3"/>
        <v>16</v>
      </c>
      <c r="X5">
        <f t="shared" si="4"/>
        <v>16</v>
      </c>
      <c r="Y5">
        <f t="shared" si="5"/>
        <v>0</v>
      </c>
      <c r="Z5">
        <f t="shared" si="6"/>
        <v>0</v>
      </c>
      <c r="AA5" t="s">
        <v>145</v>
      </c>
    </row>
    <row r="6" spans="1:27" x14ac:dyDescent="0.25">
      <c r="A6" t="s">
        <v>27</v>
      </c>
      <c r="B6" s="9">
        <v>9</v>
      </c>
      <c r="C6">
        <v>90</v>
      </c>
      <c r="D6">
        <v>80</v>
      </c>
      <c r="E6">
        <v>65</v>
      </c>
      <c r="F6">
        <v>85</v>
      </c>
      <c r="H6">
        <v>75</v>
      </c>
      <c r="I6">
        <v>50</v>
      </c>
      <c r="J6" t="str">
        <f t="shared" si="7"/>
        <v>Pa80</v>
      </c>
      <c r="L6" s="16" t="s">
        <v>27</v>
      </c>
      <c r="M6" s="9">
        <v>9</v>
      </c>
      <c r="N6">
        <v>90</v>
      </c>
      <c r="O6">
        <v>80</v>
      </c>
      <c r="P6">
        <v>65</v>
      </c>
      <c r="Q6">
        <v>85</v>
      </c>
      <c r="R6" s="2">
        <f t="shared" si="0"/>
        <v>80</v>
      </c>
      <c r="S6">
        <v>75</v>
      </c>
      <c r="T6">
        <v>50</v>
      </c>
      <c r="U6">
        <f t="shared" si="1"/>
        <v>62.5</v>
      </c>
      <c r="V6" s="2">
        <f>R6*((AVERAGE(S6:T6)+50)/100)</f>
        <v>90</v>
      </c>
      <c r="W6">
        <f t="shared" si="3"/>
        <v>2</v>
      </c>
      <c r="X6">
        <f t="shared" si="4"/>
        <v>5</v>
      </c>
      <c r="Y6">
        <f t="shared" si="5"/>
        <v>7</v>
      </c>
      <c r="Z6">
        <f t="shared" si="6"/>
        <v>4</v>
      </c>
      <c r="AA6" t="s">
        <v>149</v>
      </c>
    </row>
    <row r="7" spans="1:27" x14ac:dyDescent="0.25">
      <c r="A7" t="s">
        <v>28</v>
      </c>
      <c r="B7" s="9">
        <v>2</v>
      </c>
      <c r="C7">
        <v>60</v>
      </c>
      <c r="D7">
        <v>55</v>
      </c>
      <c r="E7">
        <v>85</v>
      </c>
      <c r="F7">
        <v>80</v>
      </c>
      <c r="H7">
        <v>60</v>
      </c>
      <c r="I7">
        <v>10</v>
      </c>
      <c r="J7" t="str">
        <f t="shared" si="7"/>
        <v>Sh83</v>
      </c>
      <c r="L7" s="16" t="s">
        <v>28</v>
      </c>
      <c r="M7" s="9">
        <v>2</v>
      </c>
      <c r="N7">
        <v>60</v>
      </c>
      <c r="O7">
        <v>55</v>
      </c>
      <c r="P7">
        <v>85</v>
      </c>
      <c r="Q7">
        <v>80</v>
      </c>
      <c r="R7" s="2">
        <f t="shared" si="0"/>
        <v>70</v>
      </c>
      <c r="S7">
        <v>60</v>
      </c>
      <c r="T7">
        <v>10</v>
      </c>
      <c r="U7">
        <f t="shared" si="1"/>
        <v>35</v>
      </c>
      <c r="V7" s="2">
        <f t="shared" si="2"/>
        <v>59.5</v>
      </c>
      <c r="W7">
        <f t="shared" si="3"/>
        <v>7</v>
      </c>
      <c r="X7">
        <f>_xlfn.RANK.EQ(V7,$V$2:$V$21)</f>
        <v>18</v>
      </c>
      <c r="Y7">
        <f t="shared" si="5"/>
        <v>-5</v>
      </c>
      <c r="Z7" s="2">
        <f>M7-X7</f>
        <v>-16</v>
      </c>
      <c r="AA7" t="s">
        <v>157</v>
      </c>
    </row>
    <row r="8" spans="1:27" x14ac:dyDescent="0.25">
      <c r="A8" t="s">
        <v>29</v>
      </c>
      <c r="B8" s="9">
        <v>8</v>
      </c>
      <c r="C8">
        <v>85</v>
      </c>
      <c r="D8">
        <v>85</v>
      </c>
      <c r="E8">
        <v>60</v>
      </c>
      <c r="F8">
        <v>70</v>
      </c>
      <c r="H8">
        <v>80</v>
      </c>
      <c r="I8">
        <v>95</v>
      </c>
      <c r="J8" t="str">
        <f t="shared" si="7"/>
        <v>Wo87</v>
      </c>
      <c r="L8" s="16" t="s">
        <v>29</v>
      </c>
      <c r="M8" s="9">
        <v>8</v>
      </c>
      <c r="N8">
        <v>85</v>
      </c>
      <c r="O8">
        <v>85</v>
      </c>
      <c r="P8">
        <v>60</v>
      </c>
      <c r="Q8">
        <v>70</v>
      </c>
      <c r="R8" s="2">
        <f t="shared" si="0"/>
        <v>75</v>
      </c>
      <c r="S8">
        <v>80</v>
      </c>
      <c r="T8">
        <v>95</v>
      </c>
      <c r="U8">
        <f t="shared" si="1"/>
        <v>87.5</v>
      </c>
      <c r="V8" s="2">
        <f t="shared" si="2"/>
        <v>103.125</v>
      </c>
      <c r="W8">
        <f t="shared" si="3"/>
        <v>4</v>
      </c>
      <c r="X8">
        <f t="shared" si="4"/>
        <v>1</v>
      </c>
      <c r="Y8">
        <f t="shared" si="5"/>
        <v>4</v>
      </c>
      <c r="Z8">
        <f t="shared" si="6"/>
        <v>7</v>
      </c>
      <c r="AA8" t="s">
        <v>147</v>
      </c>
    </row>
    <row r="9" spans="1:27" x14ac:dyDescent="0.25">
      <c r="A9" t="s">
        <v>30</v>
      </c>
      <c r="B9" s="9">
        <v>5</v>
      </c>
      <c r="C9">
        <v>20</v>
      </c>
      <c r="D9">
        <v>40</v>
      </c>
      <c r="E9">
        <v>90</v>
      </c>
      <c r="F9">
        <v>50</v>
      </c>
      <c r="H9">
        <v>40</v>
      </c>
      <c r="I9">
        <v>30</v>
      </c>
      <c r="J9" t="str">
        <f t="shared" si="7"/>
        <v>Rh82</v>
      </c>
      <c r="L9" s="16" t="s">
        <v>30</v>
      </c>
      <c r="M9" s="9">
        <v>5</v>
      </c>
      <c r="N9">
        <v>20</v>
      </c>
      <c r="O9">
        <v>40</v>
      </c>
      <c r="P9">
        <v>90</v>
      </c>
      <c r="Q9">
        <v>50</v>
      </c>
      <c r="R9" s="2">
        <f t="shared" si="0"/>
        <v>50</v>
      </c>
      <c r="S9">
        <v>40</v>
      </c>
      <c r="T9">
        <v>30</v>
      </c>
      <c r="U9">
        <f t="shared" si="1"/>
        <v>35</v>
      </c>
      <c r="V9" s="2">
        <f t="shared" si="2"/>
        <v>42.5</v>
      </c>
      <c r="W9">
        <f t="shared" si="3"/>
        <v>19</v>
      </c>
      <c r="X9">
        <f t="shared" si="4"/>
        <v>20</v>
      </c>
      <c r="Y9" s="2">
        <f t="shared" si="5"/>
        <v>-14</v>
      </c>
      <c r="Z9">
        <f t="shared" si="6"/>
        <v>-15</v>
      </c>
      <c r="AA9" t="s">
        <v>139</v>
      </c>
    </row>
    <row r="10" spans="1:27" x14ac:dyDescent="0.25">
      <c r="A10" t="s">
        <v>31</v>
      </c>
      <c r="B10" s="9">
        <v>6</v>
      </c>
      <c r="C10">
        <v>85</v>
      </c>
      <c r="D10">
        <v>80</v>
      </c>
      <c r="E10">
        <v>75</v>
      </c>
      <c r="F10">
        <v>80</v>
      </c>
      <c r="H10">
        <v>50</v>
      </c>
      <c r="I10">
        <v>70</v>
      </c>
      <c r="J10" t="str">
        <f t="shared" si="7"/>
        <v>Ti84</v>
      </c>
      <c r="L10" s="16" t="s">
        <v>31</v>
      </c>
      <c r="M10" s="9">
        <v>6</v>
      </c>
      <c r="N10">
        <v>85</v>
      </c>
      <c r="O10">
        <v>80</v>
      </c>
      <c r="P10">
        <v>75</v>
      </c>
      <c r="Q10">
        <v>80</v>
      </c>
      <c r="R10" s="2">
        <f t="shared" si="0"/>
        <v>80</v>
      </c>
      <c r="S10">
        <v>50</v>
      </c>
      <c r="T10">
        <v>70</v>
      </c>
      <c r="U10">
        <f t="shared" si="1"/>
        <v>60</v>
      </c>
      <c r="V10" s="2">
        <f t="shared" si="2"/>
        <v>88</v>
      </c>
      <c r="W10">
        <f t="shared" si="3"/>
        <v>2</v>
      </c>
      <c r="X10">
        <f t="shared" si="4"/>
        <v>6</v>
      </c>
      <c r="Y10">
        <f t="shared" si="5"/>
        <v>4</v>
      </c>
      <c r="Z10">
        <f t="shared" si="6"/>
        <v>0</v>
      </c>
      <c r="AA10" t="s">
        <v>140</v>
      </c>
    </row>
    <row r="11" spans="1:27" x14ac:dyDescent="0.25">
      <c r="A11" t="s">
        <v>32</v>
      </c>
      <c r="B11" s="9">
        <v>4</v>
      </c>
      <c r="C11">
        <v>60</v>
      </c>
      <c r="D11">
        <v>60</v>
      </c>
      <c r="E11">
        <v>95</v>
      </c>
      <c r="F11">
        <v>30</v>
      </c>
      <c r="H11">
        <v>30</v>
      </c>
      <c r="I11">
        <v>80</v>
      </c>
      <c r="J11" t="str">
        <f t="shared" si="7"/>
        <v>Be66</v>
      </c>
      <c r="L11" s="16" t="s">
        <v>32</v>
      </c>
      <c r="M11" s="9">
        <v>4</v>
      </c>
      <c r="N11">
        <v>60</v>
      </c>
      <c r="O11">
        <v>60</v>
      </c>
      <c r="P11">
        <v>95</v>
      </c>
      <c r="Q11">
        <v>30</v>
      </c>
      <c r="R11" s="2">
        <f t="shared" si="0"/>
        <v>61.25</v>
      </c>
      <c r="S11">
        <v>30</v>
      </c>
      <c r="T11">
        <v>80</v>
      </c>
      <c r="U11">
        <f t="shared" si="1"/>
        <v>55</v>
      </c>
      <c r="V11" s="2">
        <f t="shared" si="2"/>
        <v>64.3125</v>
      </c>
      <c r="W11">
        <f t="shared" si="3"/>
        <v>13</v>
      </c>
      <c r="X11">
        <f t="shared" si="4"/>
        <v>15</v>
      </c>
      <c r="Y11">
        <f t="shared" si="5"/>
        <v>-9</v>
      </c>
      <c r="Z11">
        <f t="shared" si="6"/>
        <v>-11</v>
      </c>
      <c r="AA11" t="s">
        <v>141</v>
      </c>
    </row>
    <row r="12" spans="1:27" x14ac:dyDescent="0.25">
      <c r="A12" t="s">
        <v>33</v>
      </c>
      <c r="B12" s="9">
        <v>14</v>
      </c>
      <c r="C12">
        <v>100</v>
      </c>
      <c r="D12">
        <v>80</v>
      </c>
      <c r="E12">
        <v>10</v>
      </c>
      <c r="F12">
        <v>90</v>
      </c>
      <c r="H12">
        <v>85</v>
      </c>
      <c r="I12">
        <v>75</v>
      </c>
      <c r="J12" t="str">
        <f t="shared" si="7"/>
        <v>Ha72</v>
      </c>
      <c r="L12" s="16" t="s">
        <v>33</v>
      </c>
      <c r="M12" s="9">
        <v>14</v>
      </c>
      <c r="N12">
        <v>100</v>
      </c>
      <c r="O12">
        <v>80</v>
      </c>
      <c r="P12">
        <v>10</v>
      </c>
      <c r="Q12">
        <v>90</v>
      </c>
      <c r="R12" s="2">
        <f t="shared" si="0"/>
        <v>70</v>
      </c>
      <c r="S12">
        <v>85</v>
      </c>
      <c r="T12">
        <v>75</v>
      </c>
      <c r="U12">
        <f t="shared" si="1"/>
        <v>80</v>
      </c>
      <c r="V12" s="2">
        <f t="shared" si="2"/>
        <v>91</v>
      </c>
      <c r="W12">
        <f t="shared" si="3"/>
        <v>7</v>
      </c>
      <c r="X12">
        <f t="shared" si="4"/>
        <v>3</v>
      </c>
      <c r="Y12">
        <f t="shared" si="5"/>
        <v>7</v>
      </c>
      <c r="Z12">
        <f t="shared" si="6"/>
        <v>11</v>
      </c>
      <c r="AA12" t="s">
        <v>148</v>
      </c>
    </row>
    <row r="13" spans="1:27" x14ac:dyDescent="0.25">
      <c r="A13" t="s">
        <v>34</v>
      </c>
      <c r="B13" s="9">
        <v>13</v>
      </c>
      <c r="C13">
        <v>65</v>
      </c>
      <c r="D13">
        <v>45</v>
      </c>
      <c r="E13">
        <v>55</v>
      </c>
      <c r="F13">
        <v>60</v>
      </c>
      <c r="H13">
        <v>85</v>
      </c>
      <c r="I13">
        <v>30</v>
      </c>
      <c r="J13" t="str">
        <f t="shared" si="7"/>
        <v>Py80</v>
      </c>
      <c r="L13" s="16" t="s">
        <v>34</v>
      </c>
      <c r="M13" s="9">
        <v>13</v>
      </c>
      <c r="N13">
        <v>65</v>
      </c>
      <c r="O13">
        <v>45</v>
      </c>
      <c r="P13">
        <v>55</v>
      </c>
      <c r="Q13">
        <v>60</v>
      </c>
      <c r="R13" s="2">
        <f t="shared" si="0"/>
        <v>56.25</v>
      </c>
      <c r="S13">
        <v>85</v>
      </c>
      <c r="T13">
        <v>30</v>
      </c>
      <c r="U13">
        <f t="shared" si="1"/>
        <v>57.5</v>
      </c>
      <c r="V13" s="2">
        <f t="shared" si="2"/>
        <v>60.46875</v>
      </c>
      <c r="W13">
        <f t="shared" si="3"/>
        <v>16</v>
      </c>
      <c r="X13">
        <f t="shared" si="4"/>
        <v>17</v>
      </c>
      <c r="Y13">
        <f t="shared" si="5"/>
        <v>-3</v>
      </c>
      <c r="Z13">
        <f t="shared" si="6"/>
        <v>-4</v>
      </c>
      <c r="AA13" t="s">
        <v>146</v>
      </c>
    </row>
    <row r="14" spans="1:27" x14ac:dyDescent="0.25">
      <c r="A14" t="s">
        <v>35</v>
      </c>
      <c r="B14" s="9">
        <v>20</v>
      </c>
      <c r="C14">
        <v>60</v>
      </c>
      <c r="D14">
        <v>100</v>
      </c>
      <c r="E14">
        <v>20</v>
      </c>
      <c r="F14">
        <v>70</v>
      </c>
      <c r="H14">
        <v>80</v>
      </c>
      <c r="I14">
        <v>95</v>
      </c>
      <c r="J14" t="str">
        <f t="shared" si="7"/>
        <v>Do68</v>
      </c>
      <c r="L14" s="16" t="s">
        <v>35</v>
      </c>
      <c r="M14" s="9">
        <v>20</v>
      </c>
      <c r="N14">
        <v>60</v>
      </c>
      <c r="O14">
        <v>100</v>
      </c>
      <c r="P14">
        <v>20</v>
      </c>
      <c r="Q14">
        <v>70</v>
      </c>
      <c r="R14" s="2">
        <f t="shared" si="0"/>
        <v>62.5</v>
      </c>
      <c r="S14">
        <v>80</v>
      </c>
      <c r="T14">
        <v>95</v>
      </c>
      <c r="U14">
        <f t="shared" si="1"/>
        <v>87.5</v>
      </c>
      <c r="V14" s="2">
        <f t="shared" si="2"/>
        <v>85.9375</v>
      </c>
      <c r="W14">
        <f t="shared" si="3"/>
        <v>11</v>
      </c>
      <c r="X14">
        <f t="shared" si="4"/>
        <v>7</v>
      </c>
      <c r="Y14">
        <f t="shared" si="5"/>
        <v>9</v>
      </c>
      <c r="Z14">
        <f t="shared" si="6"/>
        <v>13</v>
      </c>
      <c r="AA14" t="s">
        <v>158</v>
      </c>
    </row>
    <row r="15" spans="1:27" x14ac:dyDescent="0.25">
      <c r="A15" t="s">
        <v>36</v>
      </c>
      <c r="B15" s="9">
        <v>7</v>
      </c>
      <c r="C15">
        <v>60</v>
      </c>
      <c r="D15">
        <v>70</v>
      </c>
      <c r="E15">
        <v>80</v>
      </c>
      <c r="F15">
        <v>80</v>
      </c>
      <c r="H15">
        <v>50</v>
      </c>
      <c r="I15">
        <v>60</v>
      </c>
      <c r="J15" t="str">
        <f t="shared" si="7"/>
        <v>Ja74</v>
      </c>
      <c r="L15" s="16" t="s">
        <v>36</v>
      </c>
      <c r="M15" s="9">
        <v>7</v>
      </c>
      <c r="N15">
        <v>60</v>
      </c>
      <c r="O15">
        <v>70</v>
      </c>
      <c r="P15">
        <v>80</v>
      </c>
      <c r="Q15">
        <v>80</v>
      </c>
      <c r="R15" s="2">
        <f t="shared" si="0"/>
        <v>72.5</v>
      </c>
      <c r="S15">
        <v>50</v>
      </c>
      <c r="T15">
        <v>60</v>
      </c>
      <c r="U15">
        <f t="shared" si="1"/>
        <v>55</v>
      </c>
      <c r="V15" s="2">
        <f t="shared" si="2"/>
        <v>76.125</v>
      </c>
      <c r="W15">
        <f t="shared" si="3"/>
        <v>5</v>
      </c>
      <c r="X15">
        <f t="shared" si="4"/>
        <v>8</v>
      </c>
      <c r="Y15">
        <f t="shared" si="5"/>
        <v>2</v>
      </c>
      <c r="Z15">
        <f t="shared" si="6"/>
        <v>-1</v>
      </c>
      <c r="AA15" t="s">
        <v>150</v>
      </c>
    </row>
    <row r="16" spans="1:27" x14ac:dyDescent="0.25">
      <c r="A16" t="s">
        <v>37</v>
      </c>
      <c r="B16" s="9">
        <v>15</v>
      </c>
      <c r="C16">
        <v>30</v>
      </c>
      <c r="D16">
        <v>90</v>
      </c>
      <c r="E16">
        <v>100</v>
      </c>
      <c r="F16">
        <v>5</v>
      </c>
      <c r="H16">
        <v>70</v>
      </c>
      <c r="I16">
        <v>90</v>
      </c>
      <c r="J16" t="str">
        <f t="shared" si="7"/>
        <v>El69</v>
      </c>
      <c r="L16" s="16" t="s">
        <v>37</v>
      </c>
      <c r="M16" s="9">
        <v>15</v>
      </c>
      <c r="N16">
        <v>30</v>
      </c>
      <c r="O16">
        <v>90</v>
      </c>
      <c r="P16">
        <v>100</v>
      </c>
      <c r="Q16">
        <v>5</v>
      </c>
      <c r="R16" s="2">
        <f t="shared" si="0"/>
        <v>56.25</v>
      </c>
      <c r="S16">
        <v>70</v>
      </c>
      <c r="T16">
        <v>90</v>
      </c>
      <c r="U16">
        <f t="shared" si="1"/>
        <v>80</v>
      </c>
      <c r="V16" s="2">
        <f t="shared" si="2"/>
        <v>73.125</v>
      </c>
      <c r="W16">
        <f t="shared" si="3"/>
        <v>16</v>
      </c>
      <c r="X16">
        <f t="shared" si="4"/>
        <v>10</v>
      </c>
      <c r="Y16">
        <f t="shared" si="5"/>
        <v>-1</v>
      </c>
      <c r="Z16">
        <f t="shared" si="6"/>
        <v>5</v>
      </c>
      <c r="AA16" t="s">
        <v>151</v>
      </c>
    </row>
    <row r="17" spans="1:27" x14ac:dyDescent="0.25">
      <c r="A17" t="s">
        <v>38</v>
      </c>
      <c r="B17" s="9">
        <v>10</v>
      </c>
      <c r="C17">
        <v>95</v>
      </c>
      <c r="D17">
        <v>40</v>
      </c>
      <c r="E17">
        <v>30</v>
      </c>
      <c r="F17">
        <v>100</v>
      </c>
      <c r="H17">
        <v>30</v>
      </c>
      <c r="I17">
        <v>85</v>
      </c>
      <c r="J17" t="str">
        <f t="shared" si="7"/>
        <v>Ch67</v>
      </c>
      <c r="L17" s="16" t="s">
        <v>38</v>
      </c>
      <c r="M17" s="9">
        <v>10</v>
      </c>
      <c r="N17">
        <v>95</v>
      </c>
      <c r="O17">
        <v>40</v>
      </c>
      <c r="P17">
        <v>30</v>
      </c>
      <c r="Q17">
        <v>100</v>
      </c>
      <c r="R17" s="2">
        <f t="shared" si="0"/>
        <v>66.25</v>
      </c>
      <c r="S17">
        <v>30</v>
      </c>
      <c r="T17">
        <v>85</v>
      </c>
      <c r="U17">
        <f t="shared" si="1"/>
        <v>57.5</v>
      </c>
      <c r="V17" s="2">
        <f t="shared" si="2"/>
        <v>71.21875</v>
      </c>
      <c r="W17">
        <f t="shared" si="3"/>
        <v>9</v>
      </c>
      <c r="X17">
        <f t="shared" si="4"/>
        <v>11</v>
      </c>
      <c r="Y17">
        <f t="shared" si="5"/>
        <v>1</v>
      </c>
      <c r="Z17">
        <f t="shared" si="6"/>
        <v>-1</v>
      </c>
      <c r="AA17" t="s">
        <v>152</v>
      </c>
    </row>
    <row r="18" spans="1:27" x14ac:dyDescent="0.25">
      <c r="A18" t="s">
        <v>39</v>
      </c>
      <c r="B18" s="9">
        <v>19</v>
      </c>
      <c r="C18">
        <v>75</v>
      </c>
      <c r="D18">
        <v>85</v>
      </c>
      <c r="E18">
        <v>15</v>
      </c>
      <c r="F18">
        <v>70</v>
      </c>
      <c r="H18">
        <v>95</v>
      </c>
      <c r="I18">
        <v>100</v>
      </c>
      <c r="J18" t="str">
        <f t="shared" si="7"/>
        <v>Ra82</v>
      </c>
      <c r="L18" s="16" t="s">
        <v>39</v>
      </c>
      <c r="M18" s="9">
        <v>19</v>
      </c>
      <c r="N18">
        <v>75</v>
      </c>
      <c r="O18">
        <v>85</v>
      </c>
      <c r="P18">
        <v>15</v>
      </c>
      <c r="Q18">
        <v>70</v>
      </c>
      <c r="R18" s="2">
        <f t="shared" si="0"/>
        <v>61.25</v>
      </c>
      <c r="S18">
        <v>95</v>
      </c>
      <c r="T18">
        <v>100</v>
      </c>
      <c r="U18">
        <f t="shared" si="1"/>
        <v>97.5</v>
      </c>
      <c r="V18" s="2">
        <f t="shared" si="2"/>
        <v>90.34375</v>
      </c>
      <c r="W18">
        <f t="shared" si="3"/>
        <v>13</v>
      </c>
      <c r="X18">
        <f t="shared" si="4"/>
        <v>4</v>
      </c>
      <c r="Y18">
        <f t="shared" si="5"/>
        <v>6</v>
      </c>
      <c r="Z18">
        <f t="shared" si="6"/>
        <v>15</v>
      </c>
      <c r="AA18" t="s">
        <v>153</v>
      </c>
    </row>
    <row r="19" spans="1:27" x14ac:dyDescent="0.25">
      <c r="A19" t="s">
        <v>40</v>
      </c>
      <c r="B19" s="9">
        <v>17</v>
      </c>
      <c r="C19">
        <v>45</v>
      </c>
      <c r="D19">
        <v>65</v>
      </c>
      <c r="E19">
        <v>70</v>
      </c>
      <c r="F19">
        <v>70</v>
      </c>
      <c r="H19">
        <v>55</v>
      </c>
      <c r="I19">
        <v>85</v>
      </c>
      <c r="J19" t="str">
        <f t="shared" si="7"/>
        <v>St83</v>
      </c>
      <c r="L19" s="16" t="s">
        <v>40</v>
      </c>
      <c r="M19" s="9">
        <v>17</v>
      </c>
      <c r="N19">
        <v>45</v>
      </c>
      <c r="O19">
        <v>65</v>
      </c>
      <c r="P19">
        <v>70</v>
      </c>
      <c r="Q19">
        <v>70</v>
      </c>
      <c r="R19" s="2">
        <f t="shared" si="0"/>
        <v>62.5</v>
      </c>
      <c r="S19">
        <v>55</v>
      </c>
      <c r="T19">
        <v>85</v>
      </c>
      <c r="U19">
        <f t="shared" si="1"/>
        <v>70</v>
      </c>
      <c r="V19" s="2">
        <f t="shared" si="2"/>
        <v>75</v>
      </c>
      <c r="W19">
        <f t="shared" si="3"/>
        <v>11</v>
      </c>
      <c r="X19">
        <f t="shared" si="4"/>
        <v>9</v>
      </c>
      <c r="Y19">
        <f t="shared" si="5"/>
        <v>6</v>
      </c>
      <c r="Z19">
        <f t="shared" si="6"/>
        <v>8</v>
      </c>
      <c r="AA19" t="s">
        <v>154</v>
      </c>
    </row>
    <row r="20" spans="1:27" x14ac:dyDescent="0.25">
      <c r="A20" t="s">
        <v>41</v>
      </c>
      <c r="B20" s="9">
        <v>18</v>
      </c>
      <c r="C20">
        <v>15</v>
      </c>
      <c r="D20">
        <v>20</v>
      </c>
      <c r="E20">
        <v>85</v>
      </c>
      <c r="F20">
        <v>30</v>
      </c>
      <c r="H20">
        <v>75</v>
      </c>
      <c r="I20">
        <v>80</v>
      </c>
      <c r="J20" t="str">
        <f t="shared" si="7"/>
        <v>Bu66</v>
      </c>
      <c r="L20" s="16" t="s">
        <v>41</v>
      </c>
      <c r="M20" s="9">
        <v>18</v>
      </c>
      <c r="N20">
        <v>15</v>
      </c>
      <c r="O20">
        <v>20</v>
      </c>
      <c r="P20">
        <v>85</v>
      </c>
      <c r="Q20">
        <v>30</v>
      </c>
      <c r="R20" s="2">
        <f t="shared" si="0"/>
        <v>37.5</v>
      </c>
      <c r="S20">
        <v>75</v>
      </c>
      <c r="T20">
        <v>80</v>
      </c>
      <c r="U20">
        <f t="shared" si="1"/>
        <v>77.5</v>
      </c>
      <c r="V20" s="2">
        <f t="shared" si="2"/>
        <v>47.8125</v>
      </c>
      <c r="W20">
        <f t="shared" si="3"/>
        <v>20</v>
      </c>
      <c r="X20">
        <f t="shared" si="4"/>
        <v>19</v>
      </c>
      <c r="Y20">
        <f t="shared" si="5"/>
        <v>-2</v>
      </c>
      <c r="Z20">
        <f t="shared" si="6"/>
        <v>-1</v>
      </c>
      <c r="AA20" t="s">
        <v>156</v>
      </c>
    </row>
    <row r="21" spans="1:27" x14ac:dyDescent="0.25">
      <c r="A21" t="s">
        <v>42</v>
      </c>
      <c r="B21" s="9">
        <v>3</v>
      </c>
      <c r="C21">
        <v>60</v>
      </c>
      <c r="D21">
        <v>90</v>
      </c>
      <c r="E21">
        <v>95</v>
      </c>
      <c r="F21">
        <v>40</v>
      </c>
      <c r="H21">
        <v>10</v>
      </c>
      <c r="I21">
        <v>75</v>
      </c>
      <c r="J21" t="str">
        <f t="shared" si="7"/>
        <v>Go71</v>
      </c>
      <c r="L21" s="16" t="s">
        <v>42</v>
      </c>
      <c r="M21" s="9">
        <v>3</v>
      </c>
      <c r="N21">
        <v>60</v>
      </c>
      <c r="O21">
        <v>90</v>
      </c>
      <c r="P21">
        <v>95</v>
      </c>
      <c r="Q21">
        <v>40</v>
      </c>
      <c r="R21" s="2">
        <f t="shared" si="0"/>
        <v>71.25</v>
      </c>
      <c r="S21">
        <v>10</v>
      </c>
      <c r="T21">
        <v>75</v>
      </c>
      <c r="U21">
        <f t="shared" si="1"/>
        <v>42.5</v>
      </c>
      <c r="V21" s="2">
        <f t="shared" si="2"/>
        <v>65.90625</v>
      </c>
      <c r="W21">
        <f t="shared" si="3"/>
        <v>6</v>
      </c>
      <c r="X21">
        <f t="shared" si="4"/>
        <v>14</v>
      </c>
      <c r="Y21">
        <f t="shared" si="5"/>
        <v>-3</v>
      </c>
      <c r="Z21">
        <f t="shared" si="6"/>
        <v>-11</v>
      </c>
      <c r="AA21" t="s">
        <v>155</v>
      </c>
    </row>
    <row r="22" spans="1:27" x14ac:dyDescent="0.25">
      <c r="N22">
        <f t="shared" ref="N22:T22" si="8">AVERAGE(N2:N21)</f>
        <v>66.5</v>
      </c>
      <c r="O22">
        <f t="shared" si="8"/>
        <v>65.5</v>
      </c>
      <c r="P22">
        <f t="shared" si="8"/>
        <v>59.25</v>
      </c>
      <c r="Q22">
        <f t="shared" si="8"/>
        <v>68.25</v>
      </c>
      <c r="R22" s="2">
        <f t="shared" si="8"/>
        <v>64.875</v>
      </c>
      <c r="S22">
        <f t="shared" si="8"/>
        <v>64.75</v>
      </c>
      <c r="T22">
        <f t="shared" si="8"/>
        <v>63.5</v>
      </c>
    </row>
    <row r="23" spans="1:27" x14ac:dyDescent="0.25">
      <c r="A23" t="str">
        <f>J2</f>
        <v>Ea69</v>
      </c>
      <c r="B23">
        <f>C2</f>
        <v>80</v>
      </c>
      <c r="C23">
        <f t="shared" ref="C23:H23" si="9">D2</f>
        <v>75</v>
      </c>
      <c r="D23">
        <f t="shared" si="9"/>
        <v>25</v>
      </c>
      <c r="E23">
        <f t="shared" si="9"/>
        <v>85</v>
      </c>
      <c r="F23">
        <f>G2</f>
        <v>0</v>
      </c>
      <c r="G23">
        <f t="shared" si="9"/>
        <v>90</v>
      </c>
      <c r="H23">
        <f t="shared" si="9"/>
        <v>25</v>
      </c>
    </row>
    <row r="24" spans="1:27" x14ac:dyDescent="0.25">
      <c r="A24" t="str">
        <f t="shared" ref="A24:A44" si="10">J3</f>
        <v>Li76</v>
      </c>
      <c r="B24">
        <f t="shared" ref="B24:H24" si="11">C3</f>
        <v>80</v>
      </c>
      <c r="C24">
        <f t="shared" si="11"/>
        <v>80</v>
      </c>
      <c r="D24">
        <f t="shared" si="11"/>
        <v>90</v>
      </c>
      <c r="E24">
        <f t="shared" si="11"/>
        <v>85</v>
      </c>
      <c r="F24">
        <f t="shared" si="11"/>
        <v>0</v>
      </c>
      <c r="G24">
        <f t="shared" si="11"/>
        <v>55</v>
      </c>
      <c r="H24">
        <f t="shared" si="11"/>
        <v>70</v>
      </c>
    </row>
    <row r="25" spans="1:27" x14ac:dyDescent="0.25">
      <c r="A25" t="str">
        <f t="shared" si="10"/>
        <v>Co67</v>
      </c>
      <c r="B25">
        <f t="shared" ref="B25:H25" si="12">C4</f>
        <v>85</v>
      </c>
      <c r="C25">
        <f t="shared" si="12"/>
        <v>30</v>
      </c>
      <c r="D25">
        <f t="shared" si="12"/>
        <v>30</v>
      </c>
      <c r="E25">
        <f t="shared" si="12"/>
        <v>90</v>
      </c>
      <c r="F25">
        <f t="shared" si="12"/>
        <v>0</v>
      </c>
      <c r="G25">
        <f t="shared" si="12"/>
        <v>100</v>
      </c>
      <c r="H25">
        <f t="shared" si="12"/>
        <v>25</v>
      </c>
    </row>
    <row r="26" spans="1:27" x14ac:dyDescent="0.25">
      <c r="A26" t="str">
        <f t="shared" si="10"/>
        <v>Fa70</v>
      </c>
      <c r="B26">
        <f t="shared" ref="B26:H26" si="13">C5</f>
        <v>80</v>
      </c>
      <c r="C26">
        <f t="shared" si="13"/>
        <v>40</v>
      </c>
      <c r="D26">
        <f t="shared" si="13"/>
        <v>10</v>
      </c>
      <c r="E26">
        <f t="shared" si="13"/>
        <v>95</v>
      </c>
      <c r="F26">
        <f t="shared" si="13"/>
        <v>0</v>
      </c>
      <c r="G26">
        <f t="shared" si="13"/>
        <v>80</v>
      </c>
      <c r="H26">
        <f t="shared" si="13"/>
        <v>40</v>
      </c>
    </row>
    <row r="27" spans="1:27" x14ac:dyDescent="0.25">
      <c r="A27" t="str">
        <f t="shared" si="10"/>
        <v>Pa80</v>
      </c>
      <c r="B27">
        <f t="shared" ref="B27:H27" si="14">C6</f>
        <v>90</v>
      </c>
      <c r="C27">
        <f t="shared" si="14"/>
        <v>80</v>
      </c>
      <c r="D27">
        <f t="shared" si="14"/>
        <v>65</v>
      </c>
      <c r="E27">
        <f t="shared" si="14"/>
        <v>85</v>
      </c>
      <c r="F27">
        <f t="shared" si="14"/>
        <v>0</v>
      </c>
      <c r="G27">
        <f t="shared" si="14"/>
        <v>75</v>
      </c>
      <c r="H27">
        <f t="shared" si="14"/>
        <v>50</v>
      </c>
    </row>
    <row r="28" spans="1:27" x14ac:dyDescent="0.25">
      <c r="A28" t="str">
        <f t="shared" si="10"/>
        <v>Sh83</v>
      </c>
      <c r="B28">
        <f t="shared" ref="B28:H28" si="15">C7</f>
        <v>60</v>
      </c>
      <c r="C28">
        <f t="shared" si="15"/>
        <v>55</v>
      </c>
      <c r="D28">
        <f t="shared" si="15"/>
        <v>85</v>
      </c>
      <c r="E28">
        <f t="shared" si="15"/>
        <v>80</v>
      </c>
      <c r="F28">
        <f t="shared" si="15"/>
        <v>0</v>
      </c>
      <c r="G28">
        <f t="shared" si="15"/>
        <v>60</v>
      </c>
      <c r="H28">
        <f t="shared" si="15"/>
        <v>10</v>
      </c>
    </row>
    <row r="29" spans="1:27" x14ac:dyDescent="0.25">
      <c r="A29" t="str">
        <f t="shared" si="10"/>
        <v>Wo87</v>
      </c>
      <c r="B29">
        <f t="shared" ref="B29:H29" si="16">C8</f>
        <v>85</v>
      </c>
      <c r="C29">
        <f t="shared" si="16"/>
        <v>85</v>
      </c>
      <c r="D29">
        <f t="shared" si="16"/>
        <v>60</v>
      </c>
      <c r="E29">
        <f t="shared" si="16"/>
        <v>70</v>
      </c>
      <c r="F29">
        <f t="shared" si="16"/>
        <v>0</v>
      </c>
      <c r="G29">
        <f t="shared" si="16"/>
        <v>80</v>
      </c>
      <c r="H29">
        <f t="shared" si="16"/>
        <v>95</v>
      </c>
    </row>
    <row r="30" spans="1:27" x14ac:dyDescent="0.25">
      <c r="A30" t="str">
        <f t="shared" si="10"/>
        <v>Rh82</v>
      </c>
      <c r="B30">
        <f t="shared" ref="B30:H30" si="17">C9</f>
        <v>20</v>
      </c>
      <c r="C30">
        <f t="shared" si="17"/>
        <v>40</v>
      </c>
      <c r="D30">
        <f t="shared" si="17"/>
        <v>90</v>
      </c>
      <c r="E30">
        <f t="shared" si="17"/>
        <v>50</v>
      </c>
      <c r="F30">
        <f t="shared" si="17"/>
        <v>0</v>
      </c>
      <c r="G30">
        <f t="shared" si="17"/>
        <v>40</v>
      </c>
      <c r="H30">
        <f t="shared" si="17"/>
        <v>30</v>
      </c>
    </row>
    <row r="31" spans="1:27" x14ac:dyDescent="0.25">
      <c r="A31" t="str">
        <f t="shared" si="10"/>
        <v>Ti84</v>
      </c>
      <c r="B31">
        <f t="shared" ref="B31:H31" si="18">C10</f>
        <v>85</v>
      </c>
      <c r="C31">
        <f t="shared" si="18"/>
        <v>80</v>
      </c>
      <c r="D31">
        <f t="shared" si="18"/>
        <v>75</v>
      </c>
      <c r="E31">
        <f t="shared" si="18"/>
        <v>80</v>
      </c>
      <c r="F31">
        <f t="shared" si="18"/>
        <v>0</v>
      </c>
      <c r="G31">
        <f t="shared" si="18"/>
        <v>50</v>
      </c>
      <c r="H31">
        <f t="shared" si="18"/>
        <v>70</v>
      </c>
    </row>
    <row r="32" spans="1:27" x14ac:dyDescent="0.25">
      <c r="A32" t="str">
        <f t="shared" si="10"/>
        <v>Be66</v>
      </c>
      <c r="B32">
        <f t="shared" ref="B32:H32" si="19">C11</f>
        <v>60</v>
      </c>
      <c r="C32">
        <f t="shared" si="19"/>
        <v>60</v>
      </c>
      <c r="D32">
        <f t="shared" si="19"/>
        <v>95</v>
      </c>
      <c r="E32">
        <f t="shared" si="19"/>
        <v>30</v>
      </c>
      <c r="F32">
        <f t="shared" si="19"/>
        <v>0</v>
      </c>
      <c r="G32">
        <f t="shared" si="19"/>
        <v>30</v>
      </c>
      <c r="H32">
        <f t="shared" si="19"/>
        <v>80</v>
      </c>
    </row>
    <row r="33" spans="1:8" x14ac:dyDescent="0.25">
      <c r="A33" t="str">
        <f t="shared" si="10"/>
        <v>Ha72</v>
      </c>
      <c r="B33">
        <f t="shared" ref="B33:H33" si="20">C12</f>
        <v>100</v>
      </c>
      <c r="C33">
        <f t="shared" si="20"/>
        <v>80</v>
      </c>
      <c r="D33">
        <f t="shared" si="20"/>
        <v>10</v>
      </c>
      <c r="E33">
        <f t="shared" si="20"/>
        <v>90</v>
      </c>
      <c r="F33">
        <f t="shared" si="20"/>
        <v>0</v>
      </c>
      <c r="G33">
        <f t="shared" si="20"/>
        <v>85</v>
      </c>
      <c r="H33">
        <f t="shared" si="20"/>
        <v>75</v>
      </c>
    </row>
    <row r="34" spans="1:8" x14ac:dyDescent="0.25">
      <c r="A34" t="str">
        <f t="shared" si="10"/>
        <v>Py80</v>
      </c>
      <c r="B34">
        <f t="shared" ref="B34:H34" si="21">C13</f>
        <v>65</v>
      </c>
      <c r="C34">
        <f t="shared" si="21"/>
        <v>45</v>
      </c>
      <c r="D34">
        <f t="shared" si="21"/>
        <v>55</v>
      </c>
      <c r="E34">
        <f t="shared" si="21"/>
        <v>60</v>
      </c>
      <c r="F34">
        <f t="shared" si="21"/>
        <v>0</v>
      </c>
      <c r="G34">
        <f t="shared" si="21"/>
        <v>85</v>
      </c>
      <c r="H34">
        <f t="shared" si="21"/>
        <v>30</v>
      </c>
    </row>
    <row r="35" spans="1:8" x14ac:dyDescent="0.25">
      <c r="A35" t="str">
        <f t="shared" si="10"/>
        <v>Do68</v>
      </c>
      <c r="B35">
        <f t="shared" ref="B35:H35" si="22">C14</f>
        <v>60</v>
      </c>
      <c r="C35">
        <f t="shared" si="22"/>
        <v>100</v>
      </c>
      <c r="D35">
        <f t="shared" si="22"/>
        <v>20</v>
      </c>
      <c r="E35">
        <f t="shared" si="22"/>
        <v>70</v>
      </c>
      <c r="F35">
        <f t="shared" si="22"/>
        <v>0</v>
      </c>
      <c r="G35">
        <f t="shared" si="22"/>
        <v>80</v>
      </c>
      <c r="H35">
        <f t="shared" si="22"/>
        <v>95</v>
      </c>
    </row>
    <row r="36" spans="1:8" x14ac:dyDescent="0.25">
      <c r="A36" t="str">
        <f t="shared" si="10"/>
        <v>Ja74</v>
      </c>
      <c r="B36">
        <f t="shared" ref="B36:H36" si="23">C15</f>
        <v>60</v>
      </c>
      <c r="C36">
        <f t="shared" si="23"/>
        <v>70</v>
      </c>
      <c r="D36">
        <f t="shared" si="23"/>
        <v>80</v>
      </c>
      <c r="E36">
        <f t="shared" si="23"/>
        <v>80</v>
      </c>
      <c r="F36">
        <f t="shared" si="23"/>
        <v>0</v>
      </c>
      <c r="G36">
        <f t="shared" si="23"/>
        <v>50</v>
      </c>
      <c r="H36">
        <f t="shared" si="23"/>
        <v>60</v>
      </c>
    </row>
    <row r="37" spans="1:8" x14ac:dyDescent="0.25">
      <c r="A37" t="str">
        <f>J16</f>
        <v>El69</v>
      </c>
      <c r="B37">
        <f t="shared" ref="B37:H37" si="24">C16</f>
        <v>30</v>
      </c>
      <c r="C37">
        <f t="shared" si="24"/>
        <v>90</v>
      </c>
      <c r="D37">
        <f t="shared" si="24"/>
        <v>100</v>
      </c>
      <c r="E37">
        <f t="shared" si="24"/>
        <v>5</v>
      </c>
      <c r="F37">
        <f t="shared" si="24"/>
        <v>0</v>
      </c>
      <c r="G37">
        <f t="shared" si="24"/>
        <v>70</v>
      </c>
      <c r="H37">
        <f t="shared" si="24"/>
        <v>90</v>
      </c>
    </row>
    <row r="38" spans="1:8" x14ac:dyDescent="0.25">
      <c r="A38" t="str">
        <f t="shared" si="10"/>
        <v>Ch67</v>
      </c>
      <c r="B38">
        <f t="shared" ref="B38:H38" si="25">C17</f>
        <v>95</v>
      </c>
      <c r="C38">
        <f t="shared" si="25"/>
        <v>40</v>
      </c>
      <c r="D38">
        <f t="shared" si="25"/>
        <v>30</v>
      </c>
      <c r="E38">
        <f t="shared" si="25"/>
        <v>100</v>
      </c>
      <c r="F38">
        <f t="shared" si="25"/>
        <v>0</v>
      </c>
      <c r="G38">
        <f t="shared" si="25"/>
        <v>30</v>
      </c>
      <c r="H38">
        <f t="shared" si="25"/>
        <v>85</v>
      </c>
    </row>
    <row r="39" spans="1:8" x14ac:dyDescent="0.25">
      <c r="A39" t="str">
        <f t="shared" si="10"/>
        <v>Ra82</v>
      </c>
      <c r="B39">
        <f t="shared" ref="B39:H39" si="26">C18</f>
        <v>75</v>
      </c>
      <c r="C39">
        <f t="shared" si="26"/>
        <v>85</v>
      </c>
      <c r="D39">
        <f t="shared" si="26"/>
        <v>15</v>
      </c>
      <c r="E39">
        <f t="shared" si="26"/>
        <v>70</v>
      </c>
      <c r="F39">
        <f t="shared" si="26"/>
        <v>0</v>
      </c>
      <c r="G39">
        <f t="shared" si="26"/>
        <v>95</v>
      </c>
      <c r="H39">
        <f t="shared" si="26"/>
        <v>100</v>
      </c>
    </row>
    <row r="40" spans="1:8" x14ac:dyDescent="0.25">
      <c r="A40" t="str">
        <f t="shared" si="10"/>
        <v>St83</v>
      </c>
      <c r="B40">
        <f t="shared" ref="B40:H40" si="27">C19</f>
        <v>45</v>
      </c>
      <c r="C40">
        <f t="shared" si="27"/>
        <v>65</v>
      </c>
      <c r="D40">
        <f t="shared" si="27"/>
        <v>70</v>
      </c>
      <c r="E40">
        <f t="shared" si="27"/>
        <v>70</v>
      </c>
      <c r="F40">
        <f t="shared" si="27"/>
        <v>0</v>
      </c>
      <c r="G40">
        <f t="shared" si="27"/>
        <v>55</v>
      </c>
      <c r="H40">
        <f t="shared" si="27"/>
        <v>85</v>
      </c>
    </row>
    <row r="41" spans="1:8" x14ac:dyDescent="0.25">
      <c r="A41" t="str">
        <f t="shared" si="10"/>
        <v>Bu66</v>
      </c>
      <c r="B41">
        <f t="shared" ref="B41:H41" si="28">C20</f>
        <v>15</v>
      </c>
      <c r="C41">
        <f t="shared" si="28"/>
        <v>20</v>
      </c>
      <c r="D41">
        <f t="shared" si="28"/>
        <v>85</v>
      </c>
      <c r="E41">
        <f t="shared" si="28"/>
        <v>30</v>
      </c>
      <c r="F41">
        <f t="shared" si="28"/>
        <v>0</v>
      </c>
      <c r="G41">
        <f t="shared" si="28"/>
        <v>75</v>
      </c>
      <c r="H41">
        <f t="shared" si="28"/>
        <v>80</v>
      </c>
    </row>
    <row r="42" spans="1:8" x14ac:dyDescent="0.25">
      <c r="A42" t="str">
        <f t="shared" si="10"/>
        <v>Go71</v>
      </c>
      <c r="B42">
        <f t="shared" ref="B42:H42" si="29">C21</f>
        <v>60</v>
      </c>
      <c r="C42">
        <f t="shared" si="29"/>
        <v>90</v>
      </c>
      <c r="D42">
        <f t="shared" si="29"/>
        <v>95</v>
      </c>
      <c r="E42">
        <f t="shared" si="29"/>
        <v>40</v>
      </c>
      <c r="F42">
        <f t="shared" si="29"/>
        <v>0</v>
      </c>
      <c r="G42">
        <f t="shared" si="29"/>
        <v>10</v>
      </c>
      <c r="H42">
        <f t="shared" si="29"/>
        <v>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5C90D-B536-4E1D-9507-E5C41004FE8D}">
  <sheetPr codeName="Sheet25">
    <tabColor theme="5"/>
  </sheetPr>
  <dimension ref="A1:J22"/>
  <sheetViews>
    <sheetView workbookViewId="0">
      <selection activeCell="J5" sqref="J5"/>
    </sheetView>
  </sheetViews>
  <sheetFormatPr defaultRowHeight="15" x14ac:dyDescent="0.25"/>
  <cols>
    <col min="2" max="2" width="18" customWidth="1"/>
    <col min="3" max="3" width="9.5703125" bestFit="1" customWidth="1"/>
    <col min="4" max="4" width="10.5703125" bestFit="1" customWidth="1"/>
    <col min="5" max="5" width="9.5703125" bestFit="1" customWidth="1"/>
    <col min="6" max="6" width="9.42578125" bestFit="1" customWidth="1"/>
    <col min="8" max="8" width="17.85546875" customWidth="1"/>
    <col min="9" max="9" width="14.140625" customWidth="1"/>
    <col min="10" max="10" width="9.140625" customWidth="1"/>
    <col min="23" max="23" width="11.140625" customWidth="1"/>
  </cols>
  <sheetData>
    <row r="1" spans="1:10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1467</v>
      </c>
      <c r="I1" t="s">
        <v>1364</v>
      </c>
      <c r="J1" t="s">
        <v>1448</v>
      </c>
    </row>
    <row r="2" spans="1:10" x14ac:dyDescent="0.25">
      <c r="A2">
        <v>2</v>
      </c>
      <c r="B2" t="s">
        <v>23</v>
      </c>
      <c r="C2" s="2">
        <f>'Lionheart Rovers'!B20</f>
        <v>83.790416666666673</v>
      </c>
      <c r="D2" s="2">
        <f>'Lionheart Rovers'!C20</f>
        <v>82.513750000000002</v>
      </c>
      <c r="E2" s="2">
        <f>'Lionheart Rovers'!D20</f>
        <v>61.86363636363636</v>
      </c>
      <c r="F2" s="9">
        <f t="shared" ref="F2:F21" si="0">((C2+D2)/2)</f>
        <v>83.152083333333337</v>
      </c>
      <c r="G2">
        <f t="shared" ref="G2:G21" si="1">_xlfn.RANK.AVG(F2,F:F)</f>
        <v>1</v>
      </c>
      <c r="H2" t="str">
        <f>_xlfn.CONCAT(LEFT(B2,2),CODE(B2))</f>
        <v>Li76</v>
      </c>
      <c r="I2">
        <v>10</v>
      </c>
    </row>
    <row r="3" spans="1:10" x14ac:dyDescent="0.25">
      <c r="A3">
        <v>5</v>
      </c>
      <c r="B3" t="s">
        <v>27</v>
      </c>
      <c r="C3" s="2">
        <f>'Panther Prowlers'!B20</f>
        <v>84.714333333333329</v>
      </c>
      <c r="D3" s="2">
        <f>'Panther Prowlers'!C20</f>
        <v>80.509</v>
      </c>
      <c r="E3" s="2">
        <f>'Panther Prowlers'!D20</f>
        <v>60.68181818181818</v>
      </c>
      <c r="F3" s="9">
        <f t="shared" si="0"/>
        <v>82.611666666666665</v>
      </c>
      <c r="G3">
        <f t="shared" si="1"/>
        <v>2</v>
      </c>
      <c r="H3" t="str">
        <f t="shared" ref="H3:H21" si="2">_xlfn.CONCAT(LEFT(B3,2),CODE(B3))</f>
        <v>Pa80</v>
      </c>
      <c r="I3">
        <v>10</v>
      </c>
    </row>
    <row r="4" spans="1:10" x14ac:dyDescent="0.25">
      <c r="A4">
        <v>9</v>
      </c>
      <c r="B4" t="s">
        <v>31</v>
      </c>
      <c r="C4" s="2">
        <f>'Tiger Tacklers'!B20</f>
        <v>82.463083333333344</v>
      </c>
      <c r="D4" s="2">
        <f>'Tiger Tacklers'!C20</f>
        <v>79.847749999999991</v>
      </c>
      <c r="E4" s="2">
        <f>'Tiger Tacklers'!D20</f>
        <v>59.590909090909093</v>
      </c>
      <c r="F4" s="9">
        <f t="shared" si="0"/>
        <v>81.155416666666667</v>
      </c>
      <c r="G4">
        <f t="shared" si="1"/>
        <v>3</v>
      </c>
      <c r="H4" t="str">
        <f t="shared" si="2"/>
        <v>Ti84</v>
      </c>
      <c r="I4">
        <v>10</v>
      </c>
    </row>
    <row r="5" spans="1:10" x14ac:dyDescent="0.25">
      <c r="A5">
        <v>7</v>
      </c>
      <c r="B5" t="s">
        <v>29</v>
      </c>
      <c r="C5" s="2">
        <f>'Wolfpack Wanderers'!B20</f>
        <v>80.23308333333334</v>
      </c>
      <c r="D5" s="2">
        <f>'Wolfpack Wanderers'!C20</f>
        <v>73.777749999999997</v>
      </c>
      <c r="E5" s="2">
        <f>'Wolfpack Wanderers'!D20</f>
        <v>86.590909090909093</v>
      </c>
      <c r="F5" s="9">
        <f t="shared" si="0"/>
        <v>77.005416666666662</v>
      </c>
      <c r="G5">
        <f t="shared" si="1"/>
        <v>4</v>
      </c>
      <c r="H5" t="str">
        <f t="shared" si="2"/>
        <v>Wo87</v>
      </c>
      <c r="I5">
        <v>10</v>
      </c>
    </row>
    <row r="6" spans="1:10" x14ac:dyDescent="0.25">
      <c r="A6">
        <v>14</v>
      </c>
      <c r="B6" t="s">
        <v>36</v>
      </c>
      <c r="C6" s="2">
        <f>'Jaguar Juggernauts'!B20</f>
        <v>72.445000000000007</v>
      </c>
      <c r="D6" s="2">
        <f>'Jaguar Juggernauts'!C20</f>
        <v>74.004999999999981</v>
      </c>
      <c r="E6" s="2">
        <f>'Jaguar Juggernauts'!D20</f>
        <v>56.13636363636364</v>
      </c>
      <c r="F6" s="9">
        <f t="shared" si="0"/>
        <v>73.224999999999994</v>
      </c>
      <c r="G6">
        <f t="shared" si="1"/>
        <v>5</v>
      </c>
      <c r="H6" t="str">
        <f t="shared" si="2"/>
        <v>Ja74</v>
      </c>
      <c r="I6">
        <v>10</v>
      </c>
    </row>
    <row r="7" spans="1:10" x14ac:dyDescent="0.25">
      <c r="A7">
        <v>20</v>
      </c>
      <c r="B7" t="s">
        <v>42</v>
      </c>
      <c r="C7" s="2">
        <f>'Gorilla Goalscorers'!B20</f>
        <v>65.365750000000006</v>
      </c>
      <c r="D7" s="2">
        <f>'Gorilla Goalscorers'!C20</f>
        <v>76.051750000000013</v>
      </c>
      <c r="E7" s="2">
        <f>'Gorilla Goalscorers'!D20</f>
        <v>41.81818181818182</v>
      </c>
      <c r="F7" s="9">
        <f t="shared" si="0"/>
        <v>70.708750000000009</v>
      </c>
      <c r="G7">
        <f t="shared" si="1"/>
        <v>6</v>
      </c>
      <c r="H7" t="str">
        <f t="shared" si="2"/>
        <v>Go71</v>
      </c>
      <c r="I7">
        <v>10</v>
      </c>
    </row>
    <row r="8" spans="1:10" x14ac:dyDescent="0.25">
      <c r="A8">
        <v>1</v>
      </c>
      <c r="B8" t="s">
        <v>21</v>
      </c>
      <c r="C8" s="2">
        <f>'Eagle Eyed United'!B20</f>
        <v>79.290333333333336</v>
      </c>
      <c r="D8" s="2">
        <f>'Eagle Eyed United'!C20</f>
        <v>60.173000000000002</v>
      </c>
      <c r="E8" s="2">
        <f>'Eagle Eyed United'!D20</f>
        <v>56.545454545454547</v>
      </c>
      <c r="F8" s="9">
        <f t="shared" si="0"/>
        <v>69.731666666666669</v>
      </c>
      <c r="G8">
        <f t="shared" si="1"/>
        <v>8</v>
      </c>
      <c r="H8" t="str">
        <f t="shared" si="2"/>
        <v>Ea69</v>
      </c>
      <c r="I8">
        <v>10</v>
      </c>
    </row>
    <row r="9" spans="1:10" x14ac:dyDescent="0.25">
      <c r="A9">
        <v>6</v>
      </c>
      <c r="B9" t="s">
        <v>28</v>
      </c>
      <c r="C9" s="2">
        <f>'Sharkfin Athletic'!B20</f>
        <v>66.875583333333338</v>
      </c>
      <c r="D9" s="2">
        <f>'Sharkfin Athletic'!C20</f>
        <v>73.160250000000005</v>
      </c>
      <c r="E9" s="2">
        <f>'Sharkfin Athletic'!D20</f>
        <v>35.31818181818182</v>
      </c>
      <c r="F9" s="9">
        <f t="shared" si="0"/>
        <v>70.017916666666679</v>
      </c>
      <c r="G9">
        <f t="shared" si="1"/>
        <v>7</v>
      </c>
      <c r="H9" t="str">
        <f t="shared" si="2"/>
        <v>Sh83</v>
      </c>
      <c r="I9">
        <v>10</v>
      </c>
    </row>
    <row r="10" spans="1:10" x14ac:dyDescent="0.25">
      <c r="A10">
        <v>11</v>
      </c>
      <c r="B10" t="s">
        <v>33</v>
      </c>
      <c r="C10" s="2">
        <f>'Hawk Haven'!B20</f>
        <v>78.33241666666666</v>
      </c>
      <c r="D10" s="2">
        <f>'Hawk Haven'!C20</f>
        <v>58.751750000000001</v>
      </c>
      <c r="E10" s="2">
        <f>'Hawk Haven'!D20</f>
        <v>80</v>
      </c>
      <c r="F10" s="9">
        <f t="shared" si="0"/>
        <v>68.542083333333323</v>
      </c>
      <c r="G10">
        <f t="shared" si="1"/>
        <v>9</v>
      </c>
      <c r="H10" t="str">
        <f t="shared" si="2"/>
        <v>Ha72</v>
      </c>
      <c r="I10">
        <v>10</v>
      </c>
    </row>
    <row r="11" spans="1:10" x14ac:dyDescent="0.25">
      <c r="A11">
        <v>16</v>
      </c>
      <c r="B11" t="s">
        <v>38</v>
      </c>
      <c r="C11" s="2">
        <f>'Cheetah Chasers'!B20</f>
        <v>73.539583333333326</v>
      </c>
      <c r="D11" s="2">
        <f>'Cheetah Chasers'!C20</f>
        <v>62.256249999999994</v>
      </c>
      <c r="E11" s="2">
        <f>'Cheetah Chasers'!D20</f>
        <v>59.727272727272734</v>
      </c>
      <c r="F11" s="9">
        <f t="shared" si="0"/>
        <v>67.89791666666666</v>
      </c>
      <c r="G11">
        <f t="shared" si="1"/>
        <v>10</v>
      </c>
      <c r="H11" t="str">
        <f t="shared" si="2"/>
        <v>Ch67</v>
      </c>
      <c r="I11">
        <v>10</v>
      </c>
    </row>
    <row r="12" spans="1:10" x14ac:dyDescent="0.25">
      <c r="A12">
        <v>13</v>
      </c>
      <c r="B12" t="s">
        <v>35</v>
      </c>
      <c r="C12" s="2">
        <f>'Dolphin Dribblers'!B20</f>
        <v>68.518833333333347</v>
      </c>
      <c r="D12" s="2">
        <f>'Dolphin Dribblers'!C20</f>
        <v>56.109499999999997</v>
      </c>
      <c r="E12" s="2">
        <f>'Dolphin Dribblers'!D20</f>
        <v>87.681818181818187</v>
      </c>
      <c r="F12" s="9">
        <f t="shared" si="0"/>
        <v>62.314166666666672</v>
      </c>
      <c r="G12">
        <f t="shared" si="1"/>
        <v>11</v>
      </c>
      <c r="H12" t="str">
        <f t="shared" si="2"/>
        <v>Do68</v>
      </c>
      <c r="I12">
        <v>10</v>
      </c>
    </row>
    <row r="13" spans="1:10" x14ac:dyDescent="0.25">
      <c r="A13">
        <v>18</v>
      </c>
      <c r="B13" t="s">
        <v>40</v>
      </c>
      <c r="C13" s="2">
        <f>'Stallion Strikers'!B20</f>
        <v>59.274916666666677</v>
      </c>
      <c r="D13" s="2">
        <f>'Stallion Strikers'!C20</f>
        <v>65.234250000000003</v>
      </c>
      <c r="E13" s="2">
        <f>'Stallion Strikers'!D20</f>
        <v>69.318181818181813</v>
      </c>
      <c r="F13" s="9">
        <f t="shared" si="0"/>
        <v>62.254583333333343</v>
      </c>
      <c r="G13">
        <f t="shared" si="1"/>
        <v>12</v>
      </c>
      <c r="H13" t="str">
        <f t="shared" si="2"/>
        <v>St83</v>
      </c>
      <c r="I13">
        <v>10</v>
      </c>
    </row>
    <row r="14" spans="1:10" x14ac:dyDescent="0.25">
      <c r="A14">
        <v>3</v>
      </c>
      <c r="B14" t="s">
        <v>25</v>
      </c>
      <c r="C14" s="2">
        <f>'Cobra Strike FC'!B20</f>
        <v>67.463916666666663</v>
      </c>
      <c r="D14" s="2">
        <f>'Cobra Strike FC'!C20</f>
        <v>55.255249999999997</v>
      </c>
      <c r="E14" s="2">
        <f>'Cobra Strike FC'!D20</f>
        <v>56.227272727272734</v>
      </c>
      <c r="F14" s="9">
        <f t="shared" si="0"/>
        <v>61.359583333333333</v>
      </c>
      <c r="G14">
        <f t="shared" si="1"/>
        <v>13</v>
      </c>
      <c r="H14" t="str">
        <f t="shared" si="2"/>
        <v>Co67</v>
      </c>
      <c r="I14">
        <v>10</v>
      </c>
    </row>
    <row r="15" spans="1:10" x14ac:dyDescent="0.25">
      <c r="A15">
        <v>4</v>
      </c>
      <c r="B15" t="s">
        <v>26</v>
      </c>
      <c r="C15" s="2">
        <f>'Falcon Flyers'!B20</f>
        <v>70.841083333333344</v>
      </c>
      <c r="D15" s="2">
        <f>'Falcon Flyers'!C20</f>
        <v>51.489750000000001</v>
      </c>
      <c r="E15" s="2">
        <f>'Falcon Flyers'!D20</f>
        <v>60.227272727272727</v>
      </c>
      <c r="F15" s="9">
        <f t="shared" si="0"/>
        <v>61.165416666666673</v>
      </c>
      <c r="G15">
        <f t="shared" si="1"/>
        <v>14</v>
      </c>
      <c r="H15" t="str">
        <f t="shared" si="2"/>
        <v>Fa70</v>
      </c>
      <c r="I15">
        <v>10</v>
      </c>
    </row>
    <row r="16" spans="1:10" x14ac:dyDescent="0.25">
      <c r="A16">
        <v>17</v>
      </c>
      <c r="B16" t="s">
        <v>39</v>
      </c>
      <c r="C16" s="2">
        <f>'Raven Raiders'!B20</f>
        <v>67.455416666666665</v>
      </c>
      <c r="D16" s="2">
        <f>'Raven Raiders'!C20</f>
        <v>53.098749999999995</v>
      </c>
      <c r="E16" s="2">
        <f>'Raven Raiders'!D20</f>
        <v>97.63636363636364</v>
      </c>
      <c r="F16" s="9">
        <f t="shared" si="0"/>
        <v>60.27708333333333</v>
      </c>
      <c r="G16">
        <f t="shared" si="1"/>
        <v>15</v>
      </c>
      <c r="H16" t="str">
        <f t="shared" si="2"/>
        <v>Ra82</v>
      </c>
      <c r="I16">
        <v>10</v>
      </c>
    </row>
    <row r="17" spans="1:9" x14ac:dyDescent="0.25">
      <c r="A17">
        <v>10</v>
      </c>
      <c r="B17" t="s">
        <v>32</v>
      </c>
      <c r="C17" s="2">
        <f>'Bear Brigade'!B20</f>
        <v>52.087250000000004</v>
      </c>
      <c r="D17" s="2">
        <f>'Bear Brigade'!C20</f>
        <v>67.66525</v>
      </c>
      <c r="E17" s="2">
        <f>'Bear Brigade'!D20</f>
        <v>54.954545454545453</v>
      </c>
      <c r="F17" s="9">
        <f t="shared" si="0"/>
        <v>59.876249999999999</v>
      </c>
      <c r="G17">
        <f t="shared" si="1"/>
        <v>16</v>
      </c>
      <c r="H17" t="str">
        <f t="shared" si="2"/>
        <v>Be66</v>
      </c>
      <c r="I17">
        <v>10</v>
      </c>
    </row>
    <row r="18" spans="1:9" x14ac:dyDescent="0.25">
      <c r="A18">
        <v>12</v>
      </c>
      <c r="B18" t="s">
        <v>34</v>
      </c>
      <c r="C18" s="2">
        <f>'Python Power'!B20</f>
        <v>57.381416666666674</v>
      </c>
      <c r="D18" s="2">
        <f>'Python Power'!C20</f>
        <v>53.312750000000001</v>
      </c>
      <c r="E18" s="2">
        <f>'Python Power'!D20</f>
        <v>56.818181818181813</v>
      </c>
      <c r="F18" s="9">
        <f t="shared" si="0"/>
        <v>55.347083333333337</v>
      </c>
      <c r="G18">
        <f t="shared" si="1"/>
        <v>17</v>
      </c>
      <c r="H18" t="str">
        <f t="shared" si="2"/>
        <v>Py80</v>
      </c>
      <c r="I18">
        <v>10</v>
      </c>
    </row>
    <row r="19" spans="1:9" x14ac:dyDescent="0.25">
      <c r="A19">
        <v>15</v>
      </c>
      <c r="B19" t="s">
        <v>37</v>
      </c>
      <c r="C19" s="2">
        <f>'Elephant Elites'!B20</f>
        <v>47.263750000000009</v>
      </c>
      <c r="D19" s="2">
        <f>'Elephant Elites'!C20</f>
        <v>63.373749999999987</v>
      </c>
      <c r="E19" s="2">
        <f>'Elephant Elites'!D20</f>
        <v>80.318181818181813</v>
      </c>
      <c r="F19" s="9">
        <f t="shared" si="0"/>
        <v>55.318749999999994</v>
      </c>
      <c r="G19">
        <f t="shared" si="1"/>
        <v>18</v>
      </c>
      <c r="H19" t="str">
        <f t="shared" si="2"/>
        <v>El69</v>
      </c>
      <c r="I19">
        <v>10</v>
      </c>
    </row>
    <row r="20" spans="1:9" x14ac:dyDescent="0.25">
      <c r="A20">
        <v>8</v>
      </c>
      <c r="B20" t="s">
        <v>30</v>
      </c>
      <c r="C20" s="2">
        <f>'Rhino Rampage'!B20</f>
        <v>41.128250000000008</v>
      </c>
      <c r="D20" s="2">
        <f>'Rhino Rampage'!C20</f>
        <v>57.914249999999996</v>
      </c>
      <c r="E20" s="2">
        <f>'Rhino Rampage'!D20</f>
        <v>35.090909090909093</v>
      </c>
      <c r="F20" s="9">
        <f t="shared" si="0"/>
        <v>49.521250000000002</v>
      </c>
      <c r="G20">
        <f t="shared" si="1"/>
        <v>19</v>
      </c>
      <c r="H20" t="str">
        <f t="shared" si="2"/>
        <v>Rh82</v>
      </c>
      <c r="I20">
        <v>10</v>
      </c>
    </row>
    <row r="21" spans="1:9" x14ac:dyDescent="0.25">
      <c r="A21">
        <v>19</v>
      </c>
      <c r="B21" t="s">
        <v>41</v>
      </c>
      <c r="C21" s="2">
        <f>'Buffalo Battlers'!B20</f>
        <v>27.46125</v>
      </c>
      <c r="D21" s="2">
        <f>'Buffalo Battlers'!C20</f>
        <v>47.551249999999996</v>
      </c>
      <c r="E21" s="2">
        <f>'Buffalo Battlers'!D20</f>
        <v>76.590909090909093</v>
      </c>
      <c r="F21" s="9">
        <f t="shared" si="0"/>
        <v>37.506249999999994</v>
      </c>
      <c r="G21">
        <f t="shared" si="1"/>
        <v>20</v>
      </c>
      <c r="H21" t="str">
        <f t="shared" si="2"/>
        <v>Bu66</v>
      </c>
      <c r="I21">
        <v>10</v>
      </c>
    </row>
    <row r="22" spans="1:9" x14ac:dyDescent="0.25">
      <c r="C22" s="2"/>
      <c r="D22" s="2"/>
      <c r="E22" s="2"/>
      <c r="F22" s="2"/>
    </row>
  </sheetData>
  <autoFilter ref="A1:G21" xr:uid="{D5163E32-7A9E-4974-B5CA-CE3A429AEF2E}">
    <sortState xmlns:xlrd2="http://schemas.microsoft.com/office/spreadsheetml/2017/richdata2" ref="A2:G21">
      <sortCondition ref="G1:G21"/>
    </sortState>
  </autoFilter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0723B-F011-460C-ADCE-88201C07FB7E}">
  <sheetPr codeName="Sheet1">
    <tabColor theme="5"/>
  </sheetPr>
  <dimension ref="A1:X223"/>
  <sheetViews>
    <sheetView workbookViewId="0">
      <selection activeCell="X4" sqref="X4"/>
    </sheetView>
  </sheetViews>
  <sheetFormatPr defaultRowHeight="15" x14ac:dyDescent="0.25"/>
  <cols>
    <col min="2" max="2" width="22" bestFit="1" customWidth="1"/>
  </cols>
  <sheetData>
    <row r="1" spans="1:24" x14ac:dyDescent="0.25">
      <c r="B1" t="s">
        <v>1357</v>
      </c>
    </row>
    <row r="3" spans="1:24" x14ac:dyDescent="0.25">
      <c r="A3" t="s">
        <v>1359</v>
      </c>
      <c r="B3" t="s">
        <v>0</v>
      </c>
      <c r="C3" s="3" t="s">
        <v>7</v>
      </c>
      <c r="D3" s="3" t="s">
        <v>8</v>
      </c>
      <c r="E3" s="3" t="s">
        <v>9</v>
      </c>
      <c r="F3" s="3" t="s">
        <v>44</v>
      </c>
      <c r="G3" s="3" t="s">
        <v>50</v>
      </c>
      <c r="H3" s="3" t="s">
        <v>17</v>
      </c>
      <c r="I3" s="3" t="s">
        <v>14</v>
      </c>
      <c r="J3" s="3" t="s">
        <v>15</v>
      </c>
      <c r="K3" s="3" t="s">
        <v>16</v>
      </c>
      <c r="L3" s="3" t="s">
        <v>48</v>
      </c>
      <c r="M3" s="3" t="s">
        <v>3</v>
      </c>
      <c r="N3" s="3" t="s">
        <v>10</v>
      </c>
      <c r="O3" s="3" t="s">
        <v>1</v>
      </c>
      <c r="P3" s="3" t="s">
        <v>12</v>
      </c>
      <c r="Q3" s="3" t="s">
        <v>4</v>
      </c>
      <c r="R3" s="3" t="s">
        <v>49</v>
      </c>
      <c r="S3" s="3" t="s">
        <v>47</v>
      </c>
      <c r="T3" s="3" t="s">
        <v>138</v>
      </c>
      <c r="U3" s="3" t="s">
        <v>1354</v>
      </c>
      <c r="V3" s="3" t="s">
        <v>1355</v>
      </c>
      <c r="W3" s="3" t="s">
        <v>1356</v>
      </c>
      <c r="X3" s="3" t="s">
        <v>1465</v>
      </c>
    </row>
    <row r="4" spans="1:24" x14ac:dyDescent="0.25">
      <c r="A4" s="8">
        <v>1</v>
      </c>
      <c r="B4" s="7" t="s">
        <v>21</v>
      </c>
      <c r="C4" s="8" t="s">
        <v>11</v>
      </c>
      <c r="D4" s="7" t="s">
        <v>1316</v>
      </c>
      <c r="E4" s="7" t="s">
        <v>1187</v>
      </c>
      <c r="F4" s="7" t="s">
        <v>1317</v>
      </c>
      <c r="G4" s="7" t="s">
        <v>1318</v>
      </c>
      <c r="H4">
        <v>87</v>
      </c>
      <c r="I4">
        <v>81</v>
      </c>
      <c r="J4">
        <v>15</v>
      </c>
      <c r="K4">
        <v>79</v>
      </c>
      <c r="L4" s="5">
        <f>AVERAGE(H4:K4)</f>
        <v>65.5</v>
      </c>
      <c r="M4">
        <v>91</v>
      </c>
      <c r="N4">
        <v>24</v>
      </c>
      <c r="O4" s="5">
        <f>'Eagle Eyed United'!M7</f>
        <v>0</v>
      </c>
      <c r="P4" s="5">
        <f>'Eagle Eyed United'!N7</f>
        <v>76.5</v>
      </c>
      <c r="Q4" s="11">
        <f>'Eagle Eyed United'!O7</f>
        <v>76.5</v>
      </c>
      <c r="R4" s="10">
        <f>'Eagle Eyed United'!P7</f>
        <v>0</v>
      </c>
      <c r="S4" s="10">
        <f>'Eagle Eyed United'!Q7</f>
        <v>0</v>
      </c>
      <c r="T4" t="s">
        <v>143</v>
      </c>
      <c r="U4">
        <v>32</v>
      </c>
      <c r="V4">
        <v>80</v>
      </c>
      <c r="W4" s="49">
        <f>IF((Q4*0.5)+((V4*0.5)-((U4-18)*0.1))-40&lt;0,"0",(Q4*0.5)+((V4*0.5)-((U4-18)*0.1))-40)</f>
        <v>36.849999999999994</v>
      </c>
      <c r="X4" t="str">
        <f>_xlfn.CONCAT(LEFT(B4,2),CODE(B4))</f>
        <v>Ea69</v>
      </c>
    </row>
    <row r="5" spans="1:24" x14ac:dyDescent="0.25">
      <c r="A5" s="8">
        <v>2</v>
      </c>
      <c r="B5" s="7" t="s">
        <v>21</v>
      </c>
      <c r="C5" s="8" t="s">
        <v>54</v>
      </c>
      <c r="D5" s="7" t="s">
        <v>971</v>
      </c>
      <c r="E5" s="7" t="s">
        <v>1319</v>
      </c>
      <c r="F5" s="7" t="s">
        <v>1320</v>
      </c>
      <c r="G5" s="7" t="s">
        <v>1321</v>
      </c>
      <c r="H5">
        <v>75</v>
      </c>
      <c r="I5">
        <v>64</v>
      </c>
      <c r="J5">
        <v>12</v>
      </c>
      <c r="K5">
        <v>84</v>
      </c>
      <c r="L5" s="5">
        <f>AVERAGE(H5:K5)</f>
        <v>58.75</v>
      </c>
      <c r="M5">
        <v>94</v>
      </c>
      <c r="N5">
        <v>35</v>
      </c>
      <c r="O5" s="5">
        <f>'Eagle Eyed United'!M8</f>
        <v>21.380000000000003</v>
      </c>
      <c r="P5" s="5">
        <f>'Eagle Eyed United'!N8</f>
        <v>48.105000000000004</v>
      </c>
      <c r="Q5" s="11">
        <f>'Eagle Eyed United'!O8</f>
        <v>53.45</v>
      </c>
      <c r="R5" s="10">
        <f>'Eagle Eyed United'!P8</f>
        <v>2.9195446809811582E-2</v>
      </c>
      <c r="S5" s="10">
        <f>'Eagle Eyed United'!Q8</f>
        <v>0.22449000000000002</v>
      </c>
      <c r="T5" t="s">
        <v>143</v>
      </c>
      <c r="U5">
        <v>18</v>
      </c>
      <c r="V5">
        <v>63</v>
      </c>
      <c r="W5" s="49">
        <f t="shared" ref="W5:W15" si="0">IF((Q5*0.5)+((V5*0.5)-((U5-18)*0.1))-40&lt;0,"0",(Q5*0.5)+((V5*0.5)-((U5-18)*0.1))-40)</f>
        <v>18.225000000000001</v>
      </c>
      <c r="X5" t="str">
        <f t="shared" ref="X5:X68" si="1">_xlfn.CONCAT(LEFT(B5,2),CODE(B5))</f>
        <v>Ea69</v>
      </c>
    </row>
    <row r="6" spans="1:24" x14ac:dyDescent="0.25">
      <c r="A6" s="8">
        <v>3</v>
      </c>
      <c r="B6" s="7" t="s">
        <v>21</v>
      </c>
      <c r="C6" s="8" t="s">
        <v>56</v>
      </c>
      <c r="D6" s="7" t="s">
        <v>1322</v>
      </c>
      <c r="E6" s="7" t="s">
        <v>1323</v>
      </c>
      <c r="F6" s="7" t="s">
        <v>1324</v>
      </c>
      <c r="G6" s="7" t="s">
        <v>814</v>
      </c>
      <c r="H6">
        <v>72</v>
      </c>
      <c r="I6">
        <v>76</v>
      </c>
      <c r="J6">
        <v>28</v>
      </c>
      <c r="K6">
        <v>87</v>
      </c>
      <c r="L6" s="5">
        <f>AVERAGE(H6:K6)</f>
        <v>65.75</v>
      </c>
      <c r="M6">
        <v>84</v>
      </c>
      <c r="N6">
        <v>34</v>
      </c>
      <c r="O6" s="5">
        <f>'Eagle Eyed United'!M9</f>
        <v>14.864999999999998</v>
      </c>
      <c r="P6" s="5">
        <f>'Eagle Eyed United'!N9</f>
        <v>49.55</v>
      </c>
      <c r="Q6" s="11">
        <f>'Eagle Eyed United'!O9</f>
        <v>49.55</v>
      </c>
      <c r="R6" s="10">
        <f>'Eagle Eyed United'!P9</f>
        <v>2.0298892274455051E-2</v>
      </c>
      <c r="S6" s="10">
        <f>'Eagle Eyed United'!Q9</f>
        <v>0.15162299999999998</v>
      </c>
      <c r="T6" t="s">
        <v>143</v>
      </c>
      <c r="U6">
        <v>28</v>
      </c>
      <c r="V6">
        <v>59</v>
      </c>
      <c r="W6" s="49">
        <f t="shared" si="0"/>
        <v>13.274999999999999</v>
      </c>
      <c r="X6" t="str">
        <f t="shared" si="1"/>
        <v>Ea69</v>
      </c>
    </row>
    <row r="7" spans="1:24" x14ac:dyDescent="0.25">
      <c r="A7" s="8">
        <v>4</v>
      </c>
      <c r="B7" s="7" t="s">
        <v>21</v>
      </c>
      <c r="C7" s="8" t="s">
        <v>56</v>
      </c>
      <c r="D7" s="7" t="s">
        <v>1325</v>
      </c>
      <c r="E7" s="7" t="s">
        <v>1326</v>
      </c>
      <c r="F7" s="7" t="s">
        <v>1327</v>
      </c>
      <c r="G7" s="7" t="s">
        <v>1328</v>
      </c>
      <c r="H7">
        <v>65</v>
      </c>
      <c r="I7">
        <v>42</v>
      </c>
      <c r="J7">
        <v>55</v>
      </c>
      <c r="K7">
        <v>67</v>
      </c>
      <c r="L7" s="5">
        <f>AVERAGE(H7:K7)</f>
        <v>57.25</v>
      </c>
      <c r="M7">
        <v>81</v>
      </c>
      <c r="N7">
        <v>19</v>
      </c>
      <c r="O7" s="5">
        <f>'Eagle Eyed United'!M10</f>
        <v>16.829999999999998</v>
      </c>
      <c r="P7" s="5">
        <f>'Eagle Eyed United'!N10</f>
        <v>56.099999999999994</v>
      </c>
      <c r="Q7" s="11">
        <f>'Eagle Eyed United'!O10</f>
        <v>56.099999999999994</v>
      </c>
      <c r="R7" s="10">
        <f>'Eagle Eyed United'!P10</f>
        <v>2.2982196904075249E-2</v>
      </c>
      <c r="S7" s="10">
        <f>'Eagle Eyed United'!Q10</f>
        <v>9.5930999999999989E-2</v>
      </c>
      <c r="T7" t="s">
        <v>143</v>
      </c>
      <c r="U7">
        <v>30</v>
      </c>
      <c r="V7">
        <v>60</v>
      </c>
      <c r="W7" s="49">
        <f t="shared" si="0"/>
        <v>16.849999999999994</v>
      </c>
      <c r="X7" t="str">
        <f t="shared" si="1"/>
        <v>Ea69</v>
      </c>
    </row>
    <row r="8" spans="1:24" x14ac:dyDescent="0.25">
      <c r="A8" s="8">
        <v>5</v>
      </c>
      <c r="B8" s="7" t="s">
        <v>21</v>
      </c>
      <c r="C8" s="8" t="s">
        <v>55</v>
      </c>
      <c r="D8" s="7" t="s">
        <v>999</v>
      </c>
      <c r="E8" s="7" t="s">
        <v>1329</v>
      </c>
      <c r="F8" s="7" t="s">
        <v>1330</v>
      </c>
      <c r="G8" s="7" t="s">
        <v>1331</v>
      </c>
      <c r="H8">
        <v>84</v>
      </c>
      <c r="I8">
        <v>54</v>
      </c>
      <c r="J8">
        <v>18</v>
      </c>
      <c r="K8">
        <v>92</v>
      </c>
      <c r="L8" s="5">
        <f t="shared" ref="L8:L71" si="2">AVERAGE(H8:K8)</f>
        <v>62</v>
      </c>
      <c r="M8">
        <v>95</v>
      </c>
      <c r="N8">
        <v>24</v>
      </c>
      <c r="O8" s="5">
        <f>'Eagle Eyed United'!M11</f>
        <v>22.92</v>
      </c>
      <c r="P8" s="5">
        <f>'Eagle Eyed United'!N11</f>
        <v>51.57</v>
      </c>
      <c r="Q8" s="11">
        <f>'Eagle Eyed United'!O11</f>
        <v>57.3</v>
      </c>
      <c r="R8" s="10">
        <f>'Eagle Eyed United'!P11</f>
        <v>3.1298392931753106E-2</v>
      </c>
      <c r="S8" s="10">
        <f>'Eagle Eyed United'!Q11</f>
        <v>0.165024</v>
      </c>
      <c r="T8" t="s">
        <v>143</v>
      </c>
      <c r="U8">
        <v>19</v>
      </c>
      <c r="V8">
        <v>84</v>
      </c>
      <c r="W8" s="49">
        <f t="shared" si="0"/>
        <v>30.549999999999997</v>
      </c>
      <c r="X8" t="str">
        <f t="shared" si="1"/>
        <v>Ea69</v>
      </c>
    </row>
    <row r="9" spans="1:24" x14ac:dyDescent="0.25">
      <c r="A9" s="8">
        <v>6</v>
      </c>
      <c r="B9" s="7" t="s">
        <v>21</v>
      </c>
      <c r="C9" s="8" t="s">
        <v>45</v>
      </c>
      <c r="D9" s="7" t="s">
        <v>995</v>
      </c>
      <c r="E9" s="7" t="s">
        <v>1332</v>
      </c>
      <c r="F9" s="7" t="s">
        <v>1333</v>
      </c>
      <c r="G9" s="7" t="s">
        <v>1334</v>
      </c>
      <c r="H9">
        <v>82</v>
      </c>
      <c r="I9">
        <v>68</v>
      </c>
      <c r="J9">
        <v>25</v>
      </c>
      <c r="K9">
        <v>74</v>
      </c>
      <c r="L9" s="5">
        <f t="shared" si="2"/>
        <v>62.25</v>
      </c>
      <c r="M9">
        <v>87</v>
      </c>
      <c r="N9">
        <v>25</v>
      </c>
      <c r="O9" s="5">
        <f>'Eagle Eyed United'!M12</f>
        <v>32.279999999999994</v>
      </c>
      <c r="P9" s="5">
        <f>'Eagle Eyed United'!N12</f>
        <v>48.42</v>
      </c>
      <c r="Q9" s="11">
        <f>'Eagle Eyed United'!O12</f>
        <v>53.8</v>
      </c>
      <c r="R9" s="10">
        <f>'Eagle Eyed United'!P12</f>
        <v>6.5790948649227021E-2</v>
      </c>
      <c r="S9" s="10">
        <f>'Eagle Eyed United'!Q12</f>
        <v>0.24209999999999993</v>
      </c>
      <c r="T9" t="s">
        <v>143</v>
      </c>
      <c r="U9">
        <v>26</v>
      </c>
      <c r="V9">
        <v>66</v>
      </c>
      <c r="W9" s="49">
        <f t="shared" si="0"/>
        <v>19.100000000000001</v>
      </c>
      <c r="X9" t="str">
        <f t="shared" si="1"/>
        <v>Ea69</v>
      </c>
    </row>
    <row r="10" spans="1:24" x14ac:dyDescent="0.25">
      <c r="A10" s="8">
        <v>7</v>
      </c>
      <c r="B10" s="7" t="s">
        <v>21</v>
      </c>
      <c r="C10" s="8" t="s">
        <v>57</v>
      </c>
      <c r="D10" s="7" t="s">
        <v>1007</v>
      </c>
      <c r="E10" s="7" t="s">
        <v>1335</v>
      </c>
      <c r="F10" s="7" t="s">
        <v>1336</v>
      </c>
      <c r="G10" s="7" t="s">
        <v>1337</v>
      </c>
      <c r="H10">
        <v>70</v>
      </c>
      <c r="I10">
        <v>82</v>
      </c>
      <c r="J10">
        <v>25</v>
      </c>
      <c r="K10">
        <v>81</v>
      </c>
      <c r="L10" s="5">
        <f t="shared" si="2"/>
        <v>64.5</v>
      </c>
      <c r="M10">
        <v>92</v>
      </c>
      <c r="N10">
        <v>18</v>
      </c>
      <c r="O10" s="5">
        <f>'Eagle Eyed United'!M13</f>
        <v>52.724999999999994</v>
      </c>
      <c r="P10" s="5">
        <f>'Eagle Eyed United'!N13</f>
        <v>52.724999999999994</v>
      </c>
      <c r="Q10" s="11">
        <f>'Eagle Eyed United'!O13</f>
        <v>70.3</v>
      </c>
      <c r="R10" s="10">
        <f>'Eagle Eyed United'!P13</f>
        <v>0.10746058759388151</v>
      </c>
      <c r="S10" s="10">
        <f>'Eagle Eyed United'!Q13</f>
        <v>0.28471499999999994</v>
      </c>
      <c r="T10" t="s">
        <v>143</v>
      </c>
      <c r="U10">
        <v>28</v>
      </c>
      <c r="V10">
        <v>81</v>
      </c>
      <c r="W10" s="49">
        <f t="shared" si="0"/>
        <v>34.650000000000006</v>
      </c>
      <c r="X10" t="str">
        <f t="shared" si="1"/>
        <v>Ea69</v>
      </c>
    </row>
    <row r="11" spans="1:24" x14ac:dyDescent="0.25">
      <c r="A11" s="8">
        <v>8</v>
      </c>
      <c r="B11" s="7" t="s">
        <v>21</v>
      </c>
      <c r="C11" s="8" t="s">
        <v>46</v>
      </c>
      <c r="D11" s="7" t="s">
        <v>1338</v>
      </c>
      <c r="E11" s="7" t="s">
        <v>1339</v>
      </c>
      <c r="F11" s="7" t="s">
        <v>1340</v>
      </c>
      <c r="G11" s="7" t="s">
        <v>1341</v>
      </c>
      <c r="H11">
        <v>84</v>
      </c>
      <c r="I11">
        <v>89</v>
      </c>
      <c r="J11">
        <v>11</v>
      </c>
      <c r="K11">
        <v>95</v>
      </c>
      <c r="L11" s="5">
        <f t="shared" si="2"/>
        <v>69.75</v>
      </c>
      <c r="M11">
        <v>99</v>
      </c>
      <c r="N11">
        <v>38</v>
      </c>
      <c r="O11" s="5">
        <f>'Eagle Eyed United'!M14</f>
        <v>76.094999999999999</v>
      </c>
      <c r="P11" s="5">
        <f>'Eagle Eyed United'!N14</f>
        <v>50.73</v>
      </c>
      <c r="Q11" s="11">
        <f>'Eagle Eyed United'!O14</f>
        <v>84.55</v>
      </c>
      <c r="R11" s="10">
        <f>'Eagle Eyed United'!P14</f>
        <v>0.15509176695981819</v>
      </c>
      <c r="S11" s="10">
        <f>'Eagle Eyed United'!Q14</f>
        <v>0.867483</v>
      </c>
      <c r="T11" t="s">
        <v>143</v>
      </c>
      <c r="U11">
        <v>18</v>
      </c>
      <c r="V11">
        <v>98</v>
      </c>
      <c r="W11" s="49">
        <f t="shared" si="0"/>
        <v>51.275000000000006</v>
      </c>
      <c r="X11" t="str">
        <f t="shared" si="1"/>
        <v>Ea69</v>
      </c>
    </row>
    <row r="12" spans="1:24" x14ac:dyDescent="0.25">
      <c r="A12" s="8">
        <v>9</v>
      </c>
      <c r="B12" s="7" t="s">
        <v>21</v>
      </c>
      <c r="C12" s="8" t="s">
        <v>52</v>
      </c>
      <c r="D12" s="7" t="s">
        <v>1342</v>
      </c>
      <c r="E12" s="7" t="s">
        <v>1343</v>
      </c>
      <c r="F12" s="7" t="s">
        <v>1344</v>
      </c>
      <c r="G12" s="7" t="s">
        <v>1345</v>
      </c>
      <c r="H12">
        <v>95</v>
      </c>
      <c r="I12">
        <v>72</v>
      </c>
      <c r="J12">
        <v>15</v>
      </c>
      <c r="K12">
        <v>92</v>
      </c>
      <c r="L12" s="5">
        <f t="shared" si="2"/>
        <v>68.5</v>
      </c>
      <c r="M12">
        <v>89</v>
      </c>
      <c r="N12">
        <v>12</v>
      </c>
      <c r="O12" s="5">
        <f>'Eagle Eyed United'!M15</f>
        <v>86.199999999999989</v>
      </c>
      <c r="P12" s="5">
        <f>'Eagle Eyed United'!N15</f>
        <v>25.859999999999996</v>
      </c>
      <c r="Q12" s="11">
        <f>'Eagle Eyed United'!O15</f>
        <v>86.199999999999989</v>
      </c>
      <c r="R12" s="10">
        <f>'Eagle Eyed United'!P15</f>
        <v>0.23366385064557876</v>
      </c>
      <c r="S12" s="10">
        <f>'Eagle Eyed United'!Q15</f>
        <v>0.31031999999999993</v>
      </c>
      <c r="T12" t="s">
        <v>143</v>
      </c>
      <c r="U12">
        <v>32</v>
      </c>
      <c r="V12">
        <v>87</v>
      </c>
      <c r="W12" s="49">
        <f t="shared" si="0"/>
        <v>45.199999999999989</v>
      </c>
      <c r="X12" t="str">
        <f t="shared" si="1"/>
        <v>Ea69</v>
      </c>
    </row>
    <row r="13" spans="1:24" x14ac:dyDescent="0.25">
      <c r="A13" s="8">
        <v>10</v>
      </c>
      <c r="B13" s="7" t="s">
        <v>21</v>
      </c>
      <c r="C13" s="8" t="s">
        <v>59</v>
      </c>
      <c r="D13" s="7" t="s">
        <v>1346</v>
      </c>
      <c r="E13" s="7" t="s">
        <v>1347</v>
      </c>
      <c r="F13" s="7" t="s">
        <v>1348</v>
      </c>
      <c r="G13" s="7" t="s">
        <v>1349</v>
      </c>
      <c r="H13">
        <v>82</v>
      </c>
      <c r="I13">
        <v>91</v>
      </c>
      <c r="J13">
        <v>24</v>
      </c>
      <c r="K13">
        <v>87</v>
      </c>
      <c r="L13" s="5">
        <f t="shared" si="2"/>
        <v>71</v>
      </c>
      <c r="M13">
        <v>84</v>
      </c>
      <c r="N13">
        <v>15</v>
      </c>
      <c r="O13" s="5">
        <f>'Eagle Eyed United'!M16</f>
        <v>79.95</v>
      </c>
      <c r="P13" s="5">
        <f>'Eagle Eyed United'!N16</f>
        <v>23.984999999999999</v>
      </c>
      <c r="Q13" s="11">
        <f>'Eagle Eyed United'!O16</f>
        <v>79.95</v>
      </c>
      <c r="R13" s="10">
        <f>'Eagle Eyed United'!P16</f>
        <v>0.2167218661150119</v>
      </c>
      <c r="S13" s="10">
        <f>'Eagle Eyed United'!Q16</f>
        <v>0.35977499999999996</v>
      </c>
      <c r="T13" t="s">
        <v>143</v>
      </c>
      <c r="U13">
        <v>25</v>
      </c>
      <c r="V13">
        <v>88</v>
      </c>
      <c r="W13" s="49">
        <f t="shared" si="0"/>
        <v>43.275000000000006</v>
      </c>
      <c r="X13" t="str">
        <f t="shared" si="1"/>
        <v>Ea69</v>
      </c>
    </row>
    <row r="14" spans="1:24" x14ac:dyDescent="0.25">
      <c r="A14" s="8">
        <v>11</v>
      </c>
      <c r="B14" s="7" t="s">
        <v>21</v>
      </c>
      <c r="C14" s="8" t="s">
        <v>53</v>
      </c>
      <c r="D14" s="7" t="s">
        <v>1350</v>
      </c>
      <c r="E14" s="7" t="s">
        <v>1351</v>
      </c>
      <c r="F14" s="7" t="s">
        <v>1352</v>
      </c>
      <c r="G14" s="7" t="s">
        <v>1353</v>
      </c>
      <c r="H14">
        <v>98</v>
      </c>
      <c r="I14">
        <v>94</v>
      </c>
      <c r="J14">
        <v>15</v>
      </c>
      <c r="K14">
        <v>85</v>
      </c>
      <c r="L14" s="5">
        <f t="shared" si="2"/>
        <v>73</v>
      </c>
      <c r="M14">
        <v>85</v>
      </c>
      <c r="N14">
        <v>19</v>
      </c>
      <c r="O14" s="5">
        <f>'Eagle Eyed United'!M17</f>
        <v>87.4</v>
      </c>
      <c r="P14" s="5">
        <f>'Eagle Eyed United'!N17</f>
        <v>26.220000000000002</v>
      </c>
      <c r="Q14" s="11">
        <f>'Eagle Eyed United'!O17</f>
        <v>87.4</v>
      </c>
      <c r="R14" s="10">
        <f>'Eagle Eyed United'!P17</f>
        <v>0.23691671167544767</v>
      </c>
      <c r="S14" s="10">
        <f>'Eagle Eyed United'!Q17</f>
        <v>0.49818000000000007</v>
      </c>
      <c r="T14" t="s">
        <v>143</v>
      </c>
      <c r="U14">
        <v>22</v>
      </c>
      <c r="V14">
        <v>100</v>
      </c>
      <c r="W14" s="49">
        <f t="shared" si="0"/>
        <v>53.300000000000011</v>
      </c>
      <c r="X14" t="str">
        <f t="shared" si="1"/>
        <v>Ea69</v>
      </c>
    </row>
    <row r="15" spans="1:24" x14ac:dyDescent="0.25">
      <c r="A15" s="8">
        <v>12</v>
      </c>
      <c r="B15" s="7" t="s">
        <v>23</v>
      </c>
      <c r="C15" s="8" t="s">
        <v>11</v>
      </c>
      <c r="D15" s="7" t="s">
        <v>757</v>
      </c>
      <c r="E15" s="7" t="s">
        <v>1279</v>
      </c>
      <c r="F15" s="7" t="s">
        <v>1280</v>
      </c>
      <c r="G15" s="7" t="s">
        <v>1281</v>
      </c>
      <c r="H15">
        <v>82</v>
      </c>
      <c r="I15">
        <v>64</v>
      </c>
      <c r="J15">
        <v>85</v>
      </c>
      <c r="K15">
        <v>75</v>
      </c>
      <c r="L15" s="5">
        <f t="shared" si="2"/>
        <v>76.5</v>
      </c>
      <c r="M15">
        <v>54</v>
      </c>
      <c r="N15">
        <v>68</v>
      </c>
      <c r="O15" s="5">
        <f>'Lionheart Rovers'!M7</f>
        <v>0</v>
      </c>
      <c r="P15" s="5">
        <f>'Lionheart Rovers'!N7</f>
        <v>74.95</v>
      </c>
      <c r="Q15" s="11">
        <f>'Lionheart Rovers'!O7</f>
        <v>74.95</v>
      </c>
      <c r="R15" s="10">
        <f>'Lionheart Rovers'!P7</f>
        <v>0</v>
      </c>
      <c r="S15" s="10">
        <f>'Lionheart Rovers'!Q7</f>
        <v>0</v>
      </c>
      <c r="T15" t="s">
        <v>144</v>
      </c>
      <c r="U15">
        <v>35</v>
      </c>
      <c r="V15">
        <v>75</v>
      </c>
      <c r="W15" s="49">
        <f t="shared" si="0"/>
        <v>33.275000000000006</v>
      </c>
      <c r="X15" t="str">
        <f t="shared" si="1"/>
        <v>Li76</v>
      </c>
    </row>
    <row r="16" spans="1:24" x14ac:dyDescent="0.25">
      <c r="A16" s="8">
        <v>13</v>
      </c>
      <c r="B16" s="7" t="s">
        <v>23</v>
      </c>
      <c r="C16" s="8" t="s">
        <v>54</v>
      </c>
      <c r="D16" s="7" t="s">
        <v>1282</v>
      </c>
      <c r="E16" s="7" t="s">
        <v>1283</v>
      </c>
      <c r="F16" s="7" t="s">
        <v>1284</v>
      </c>
      <c r="G16" s="7" t="s">
        <v>1285</v>
      </c>
      <c r="H16">
        <v>64</v>
      </c>
      <c r="I16">
        <v>68</v>
      </c>
      <c r="J16">
        <v>80</v>
      </c>
      <c r="K16">
        <v>82</v>
      </c>
      <c r="L16" s="5">
        <f t="shared" si="2"/>
        <v>73.5</v>
      </c>
      <c r="M16">
        <v>52</v>
      </c>
      <c r="N16">
        <v>64</v>
      </c>
      <c r="O16" s="5">
        <f>'Lionheart Rovers'!M8</f>
        <v>30.32</v>
      </c>
      <c r="P16" s="5">
        <f>'Lionheart Rovers'!N8</f>
        <v>68.22</v>
      </c>
      <c r="Q16" s="11">
        <f>'Lionheart Rovers'!O8</f>
        <v>75.8</v>
      </c>
      <c r="R16" s="10">
        <f>'Lionheart Rovers'!P8</f>
        <v>3.6387638763876386E-2</v>
      </c>
      <c r="S16" s="10">
        <f>'Lionheart Rovers'!Q8</f>
        <v>0.58214400000000011</v>
      </c>
      <c r="T16" t="s">
        <v>144</v>
      </c>
      <c r="U16">
        <v>28</v>
      </c>
      <c r="V16">
        <v>81</v>
      </c>
      <c r="W16" s="49">
        <f>IF((Q16*0.5)+((V16*0.5)-((U16-18)*0.1))-40&lt;0,"0",(Q16*0.5)+((V16*0.5)-((U16-18)*0.1))-40)</f>
        <v>37.400000000000006</v>
      </c>
      <c r="X16" t="str">
        <f t="shared" si="1"/>
        <v>Li76</v>
      </c>
    </row>
    <row r="17" spans="1:24" x14ac:dyDescent="0.25">
      <c r="A17" s="8">
        <v>14</v>
      </c>
      <c r="B17" s="7" t="s">
        <v>23</v>
      </c>
      <c r="C17" s="8" t="s">
        <v>56</v>
      </c>
      <c r="D17" s="7" t="s">
        <v>776</v>
      </c>
      <c r="E17" s="7" t="s">
        <v>1478</v>
      </c>
      <c r="F17" s="7" t="s">
        <v>1479</v>
      </c>
      <c r="G17" s="7" t="s">
        <v>1478</v>
      </c>
      <c r="H17">
        <v>74</v>
      </c>
      <c r="I17">
        <v>90</v>
      </c>
      <c r="J17">
        <v>89</v>
      </c>
      <c r="K17">
        <v>92</v>
      </c>
      <c r="L17" s="5">
        <f t="shared" si="2"/>
        <v>86.25</v>
      </c>
      <c r="M17">
        <v>59</v>
      </c>
      <c r="N17">
        <v>72</v>
      </c>
      <c r="O17" s="5">
        <f>'Lionheart Rovers'!M9</f>
        <v>26.317499999999999</v>
      </c>
      <c r="P17" s="5">
        <f>'Lionheart Rovers'!N9</f>
        <v>87.724999999999994</v>
      </c>
      <c r="Q17" s="11">
        <f>'Lionheart Rovers'!O9</f>
        <v>87.724999999999994</v>
      </c>
      <c r="R17" s="10">
        <f>'Lionheart Rovers'!P9</f>
        <v>3.1584158415841584E-2</v>
      </c>
      <c r="S17" s="10">
        <f>'Lionheart Rovers'!Q9</f>
        <v>0.56845799999999991</v>
      </c>
      <c r="T17" t="s">
        <v>144</v>
      </c>
      <c r="U17">
        <v>18</v>
      </c>
      <c r="V17">
        <v>110</v>
      </c>
      <c r="W17" s="49">
        <f>IF((Q17*0.5)+((V17*0.5)-((U17-18)*0.1))-40&lt;0,"0",(Q17*0.5)+((V17*0.5)-((U17-18)*0.1))-40)</f>
        <v>58.862499999999997</v>
      </c>
      <c r="X17" t="str">
        <f t="shared" si="1"/>
        <v>Li76</v>
      </c>
    </row>
    <row r="18" spans="1:24" x14ac:dyDescent="0.25">
      <c r="A18" s="8">
        <v>15</v>
      </c>
      <c r="B18" s="7" t="s">
        <v>23</v>
      </c>
      <c r="C18" s="8" t="s">
        <v>56</v>
      </c>
      <c r="D18" s="7" t="s">
        <v>1288</v>
      </c>
      <c r="E18" s="7" t="s">
        <v>1289</v>
      </c>
      <c r="F18" s="7" t="s">
        <v>1290</v>
      </c>
      <c r="G18" s="7" t="s">
        <v>1291</v>
      </c>
      <c r="H18">
        <v>58</v>
      </c>
      <c r="I18">
        <v>75</v>
      </c>
      <c r="J18">
        <v>98</v>
      </c>
      <c r="K18">
        <v>77</v>
      </c>
      <c r="L18" s="5">
        <f t="shared" si="2"/>
        <v>77</v>
      </c>
      <c r="M18">
        <v>50</v>
      </c>
      <c r="N18">
        <v>75</v>
      </c>
      <c r="O18" s="5">
        <f>'Lionheart Rovers'!M10</f>
        <v>25.919999999999998</v>
      </c>
      <c r="P18" s="5">
        <f>'Lionheart Rovers'!N10</f>
        <v>86.399999999999991</v>
      </c>
      <c r="Q18" s="11">
        <f>'Lionheart Rovers'!O10</f>
        <v>86.399999999999991</v>
      </c>
      <c r="R18" s="10">
        <f>'Lionheart Rovers'!P10</f>
        <v>3.1107110711071105E-2</v>
      </c>
      <c r="S18" s="10">
        <f>'Lionheart Rovers'!Q10</f>
        <v>0.58319999999999994</v>
      </c>
      <c r="T18" t="s">
        <v>144</v>
      </c>
      <c r="U18">
        <v>34</v>
      </c>
      <c r="V18">
        <v>88</v>
      </c>
      <c r="W18" s="49">
        <f t="shared" ref="W18:W81" si="3">IF((Q18*0.5)+((V18*0.5)-((U18-18)*0.1))-40&lt;0,"0",(Q18*0.5)+((V18*0.5)-((U18-18)*0.1))-40)</f>
        <v>45.599999999999994</v>
      </c>
      <c r="X18" t="str">
        <f t="shared" si="1"/>
        <v>Li76</v>
      </c>
    </row>
    <row r="19" spans="1:24" x14ac:dyDescent="0.25">
      <c r="A19" s="8">
        <v>16</v>
      </c>
      <c r="B19" s="7" t="s">
        <v>23</v>
      </c>
      <c r="C19" s="8" t="s">
        <v>55</v>
      </c>
      <c r="D19" s="7" t="s">
        <v>1292</v>
      </c>
      <c r="E19" s="7" t="s">
        <v>1293</v>
      </c>
      <c r="F19" s="7" t="s">
        <v>1294</v>
      </c>
      <c r="G19" s="7" t="s">
        <v>1295</v>
      </c>
      <c r="H19">
        <v>77</v>
      </c>
      <c r="I19">
        <v>78</v>
      </c>
      <c r="J19">
        <v>84</v>
      </c>
      <c r="K19">
        <v>84</v>
      </c>
      <c r="L19" s="5">
        <f t="shared" si="2"/>
        <v>80.75</v>
      </c>
      <c r="M19">
        <v>53</v>
      </c>
      <c r="N19">
        <v>66</v>
      </c>
      <c r="O19" s="5">
        <f>'Lionheart Rovers'!M11</f>
        <v>32.700000000000003</v>
      </c>
      <c r="P19" s="5">
        <f>'Lionheart Rovers'!N11</f>
        <v>73.575000000000003</v>
      </c>
      <c r="Q19" s="11">
        <f>'Lionheart Rovers'!O11</f>
        <v>81.75</v>
      </c>
      <c r="R19" s="10">
        <f>'Lionheart Rovers'!P11</f>
        <v>3.9243924392439247E-2</v>
      </c>
      <c r="S19" s="10">
        <f>'Lionheart Rovers'!Q11</f>
        <v>0.64746000000000004</v>
      </c>
      <c r="T19" t="s">
        <v>144</v>
      </c>
      <c r="U19">
        <v>33</v>
      </c>
      <c r="V19">
        <v>82</v>
      </c>
      <c r="W19" s="49">
        <f t="shared" si="3"/>
        <v>40.375</v>
      </c>
      <c r="X19" t="str">
        <f t="shared" si="1"/>
        <v>Li76</v>
      </c>
    </row>
    <row r="20" spans="1:24" x14ac:dyDescent="0.25">
      <c r="A20" s="8">
        <v>17</v>
      </c>
      <c r="B20" s="7" t="s">
        <v>23</v>
      </c>
      <c r="C20" s="8" t="s">
        <v>45</v>
      </c>
      <c r="D20" s="7" t="s">
        <v>1155</v>
      </c>
      <c r="E20" s="7" t="s">
        <v>1296</v>
      </c>
      <c r="F20" s="7" t="s">
        <v>1297</v>
      </c>
      <c r="G20" s="7" t="s">
        <v>1298</v>
      </c>
      <c r="H20">
        <v>84</v>
      </c>
      <c r="I20">
        <v>79</v>
      </c>
      <c r="J20">
        <v>95</v>
      </c>
      <c r="K20">
        <v>88</v>
      </c>
      <c r="L20" s="5">
        <f t="shared" si="2"/>
        <v>86.5</v>
      </c>
      <c r="M20">
        <v>58</v>
      </c>
      <c r="N20">
        <v>69</v>
      </c>
      <c r="O20" s="5">
        <f>'Lionheart Rovers'!M12</f>
        <v>52.5</v>
      </c>
      <c r="P20" s="5">
        <f>'Lionheart Rovers'!N12</f>
        <v>78.75</v>
      </c>
      <c r="Q20" s="11">
        <f>'Lionheart Rovers'!O12</f>
        <v>87.5</v>
      </c>
      <c r="R20" s="10">
        <f>'Lionheart Rovers'!P12</f>
        <v>9.4039254671735822E-2</v>
      </c>
      <c r="S20" s="10">
        <f>'Lionheart Rovers'!Q12</f>
        <v>1.0867499999999999</v>
      </c>
      <c r="T20" t="s">
        <v>144</v>
      </c>
      <c r="U20">
        <v>31</v>
      </c>
      <c r="V20">
        <v>90</v>
      </c>
      <c r="W20" s="49">
        <f t="shared" si="3"/>
        <v>47.45</v>
      </c>
      <c r="X20" t="str">
        <f t="shared" si="1"/>
        <v>Li76</v>
      </c>
    </row>
    <row r="21" spans="1:24" x14ac:dyDescent="0.25">
      <c r="A21" s="8">
        <v>18</v>
      </c>
      <c r="B21" s="7" t="s">
        <v>23</v>
      </c>
      <c r="C21" s="8" t="s">
        <v>57</v>
      </c>
      <c r="D21" s="7" t="s">
        <v>1299</v>
      </c>
      <c r="E21" s="7" t="s">
        <v>1054</v>
      </c>
      <c r="F21" s="7" t="s">
        <v>1300</v>
      </c>
      <c r="G21" s="7" t="s">
        <v>1301</v>
      </c>
      <c r="H21">
        <v>83</v>
      </c>
      <c r="I21">
        <v>85</v>
      </c>
      <c r="J21">
        <v>85</v>
      </c>
      <c r="K21">
        <v>77</v>
      </c>
      <c r="L21" s="5">
        <f t="shared" si="2"/>
        <v>82.5</v>
      </c>
      <c r="M21">
        <v>54</v>
      </c>
      <c r="N21">
        <v>71</v>
      </c>
      <c r="O21" s="5">
        <f>'Lionheart Rovers'!M13</f>
        <v>62.474999999999994</v>
      </c>
      <c r="P21" s="5">
        <f>'Lionheart Rovers'!N13</f>
        <v>62.474999999999994</v>
      </c>
      <c r="Q21" s="11">
        <f>'Lionheart Rovers'!O13</f>
        <v>83.3</v>
      </c>
      <c r="R21" s="10">
        <f>'Lionheart Rovers'!P13</f>
        <v>0.11190671305936563</v>
      </c>
      <c r="S21" s="10">
        <f>'Lionheart Rovers'!Q13</f>
        <v>1.3307174999999998</v>
      </c>
      <c r="T21" t="s">
        <v>144</v>
      </c>
      <c r="U21">
        <v>18</v>
      </c>
      <c r="V21">
        <v>98</v>
      </c>
      <c r="W21" s="49">
        <f t="shared" si="3"/>
        <v>50.650000000000006</v>
      </c>
      <c r="X21" t="str">
        <f t="shared" si="1"/>
        <v>Li76</v>
      </c>
    </row>
    <row r="22" spans="1:24" x14ac:dyDescent="0.25">
      <c r="A22" s="8">
        <v>19</v>
      </c>
      <c r="B22" s="7" t="s">
        <v>23</v>
      </c>
      <c r="C22" s="8" t="s">
        <v>46</v>
      </c>
      <c r="D22" s="7" t="s">
        <v>1302</v>
      </c>
      <c r="E22" s="7" t="s">
        <v>757</v>
      </c>
      <c r="F22" s="7" t="s">
        <v>1303</v>
      </c>
      <c r="G22" s="7" t="s">
        <v>1304</v>
      </c>
      <c r="H22">
        <v>79</v>
      </c>
      <c r="I22">
        <v>89</v>
      </c>
      <c r="J22">
        <v>92</v>
      </c>
      <c r="K22">
        <v>81</v>
      </c>
      <c r="L22" s="5">
        <f t="shared" si="2"/>
        <v>85.25</v>
      </c>
      <c r="M22">
        <v>59</v>
      </c>
      <c r="N22">
        <v>73</v>
      </c>
      <c r="O22" s="5">
        <f>'Lionheart Rovers'!M14</f>
        <v>75.644999999999996</v>
      </c>
      <c r="P22" s="5">
        <f>'Lionheart Rovers'!N14</f>
        <v>50.43</v>
      </c>
      <c r="Q22" s="11">
        <f>'Lionheart Rovers'!O14</f>
        <v>84.05</v>
      </c>
      <c r="R22" s="10">
        <f>'Lionheart Rovers'!P14</f>
        <v>0.13549713180273248</v>
      </c>
      <c r="S22" s="10">
        <f>'Lionheart Rovers'!Q14</f>
        <v>1.6566255000000001</v>
      </c>
      <c r="T22" t="s">
        <v>144</v>
      </c>
      <c r="U22">
        <v>26</v>
      </c>
      <c r="V22">
        <v>94</v>
      </c>
      <c r="W22" s="49">
        <f t="shared" si="3"/>
        <v>48.224999999999994</v>
      </c>
      <c r="X22" t="str">
        <f t="shared" si="1"/>
        <v>Li76</v>
      </c>
    </row>
    <row r="23" spans="1:24" x14ac:dyDescent="0.25">
      <c r="A23" s="8">
        <v>20</v>
      </c>
      <c r="B23" s="7" t="s">
        <v>23</v>
      </c>
      <c r="C23" s="8" t="s">
        <v>52</v>
      </c>
      <c r="D23" s="7" t="s">
        <v>1305</v>
      </c>
      <c r="E23" s="7" t="s">
        <v>1306</v>
      </c>
      <c r="F23" s="7" t="s">
        <v>1307</v>
      </c>
      <c r="G23" s="7" t="s">
        <v>1308</v>
      </c>
      <c r="H23">
        <v>85</v>
      </c>
      <c r="I23">
        <v>72</v>
      </c>
      <c r="J23">
        <v>85</v>
      </c>
      <c r="K23">
        <v>90</v>
      </c>
      <c r="L23" s="5">
        <f t="shared" si="2"/>
        <v>83</v>
      </c>
      <c r="M23">
        <v>51</v>
      </c>
      <c r="N23">
        <v>74</v>
      </c>
      <c r="O23" s="5">
        <f>'Lionheart Rovers'!M15</f>
        <v>85.3</v>
      </c>
      <c r="P23" s="5">
        <f>'Lionheart Rovers'!N15</f>
        <v>25.59</v>
      </c>
      <c r="Q23" s="11">
        <f>'Lionheart Rovers'!O15</f>
        <v>85.3</v>
      </c>
      <c r="R23" s="10">
        <f>'Lionheart Rovers'!P15</f>
        <v>0.20321256006197636</v>
      </c>
      <c r="S23" s="10">
        <f>'Lionheart Rovers'!Q15</f>
        <v>1.8936600000000001</v>
      </c>
      <c r="T23" t="s">
        <v>144</v>
      </c>
      <c r="U23">
        <v>22</v>
      </c>
      <c r="V23">
        <v>101</v>
      </c>
      <c r="W23" s="49">
        <f t="shared" si="3"/>
        <v>52.75</v>
      </c>
      <c r="X23" t="str">
        <f t="shared" si="1"/>
        <v>Li76</v>
      </c>
    </row>
    <row r="24" spans="1:24" x14ac:dyDescent="0.25">
      <c r="A24" s="8">
        <v>21</v>
      </c>
      <c r="B24" s="7" t="s">
        <v>23</v>
      </c>
      <c r="C24" s="8" t="s">
        <v>59</v>
      </c>
      <c r="D24" s="7" t="s">
        <v>1309</v>
      </c>
      <c r="E24" s="7" t="s">
        <v>1310</v>
      </c>
      <c r="F24" s="7" t="s">
        <v>1311</v>
      </c>
      <c r="G24" s="7" t="s">
        <v>1312</v>
      </c>
      <c r="H24">
        <v>89</v>
      </c>
      <c r="I24">
        <v>81</v>
      </c>
      <c r="J24">
        <v>81</v>
      </c>
      <c r="K24">
        <v>85</v>
      </c>
      <c r="L24" s="5">
        <f t="shared" si="2"/>
        <v>84</v>
      </c>
      <c r="M24">
        <v>53</v>
      </c>
      <c r="N24">
        <v>67</v>
      </c>
      <c r="O24" s="5">
        <f>'Lionheart Rovers'!M16</f>
        <v>85</v>
      </c>
      <c r="P24" s="5">
        <f>'Lionheart Rovers'!N16</f>
        <v>25.5</v>
      </c>
      <c r="Q24" s="11">
        <f>'Lionheart Rovers'!O16</f>
        <v>85</v>
      </c>
      <c r="R24" s="10">
        <f>'Lionheart Rovers'!P16</f>
        <v>0.20249786172647116</v>
      </c>
      <c r="S24" s="10">
        <f>'Lionheart Rovers'!Q16</f>
        <v>1.7084999999999999</v>
      </c>
      <c r="T24" t="s">
        <v>144</v>
      </c>
      <c r="U24">
        <v>27</v>
      </c>
      <c r="V24">
        <v>92</v>
      </c>
      <c r="W24" s="49">
        <f t="shared" si="3"/>
        <v>47.599999999999994</v>
      </c>
      <c r="X24" t="str">
        <f t="shared" si="1"/>
        <v>Li76</v>
      </c>
    </row>
    <row r="25" spans="1:24" x14ac:dyDescent="0.25">
      <c r="A25" s="8">
        <v>22</v>
      </c>
      <c r="B25" s="7" t="s">
        <v>23</v>
      </c>
      <c r="C25" s="8" t="s">
        <v>53</v>
      </c>
      <c r="D25" s="7" t="s">
        <v>1313</v>
      </c>
      <c r="E25" s="7" t="s">
        <v>1314</v>
      </c>
      <c r="F25" s="7" t="s">
        <v>1315</v>
      </c>
      <c r="G25" s="7" t="s">
        <v>1285</v>
      </c>
      <c r="H25">
        <v>82</v>
      </c>
      <c r="I25">
        <v>80</v>
      </c>
      <c r="J25">
        <v>72</v>
      </c>
      <c r="K25">
        <v>84</v>
      </c>
      <c r="L25" s="5">
        <f t="shared" si="2"/>
        <v>79.5</v>
      </c>
      <c r="M25">
        <v>54</v>
      </c>
      <c r="N25">
        <v>65</v>
      </c>
      <c r="O25" s="5">
        <f>'Lionheart Rovers'!M17</f>
        <v>82.100000000000009</v>
      </c>
      <c r="P25" s="5">
        <f>'Lionheart Rovers'!N17</f>
        <v>24.630000000000003</v>
      </c>
      <c r="Q25" s="11">
        <f>'Lionheart Rovers'!O17</f>
        <v>82.100000000000009</v>
      </c>
      <c r="R25" s="10">
        <f>'Lionheart Rovers'!P17</f>
        <v>0.19558911114992097</v>
      </c>
      <c r="S25" s="10">
        <f>'Lionheart Rovers'!Q17</f>
        <v>1.6009500000000001</v>
      </c>
      <c r="T25" t="s">
        <v>144</v>
      </c>
      <c r="U25">
        <v>33</v>
      </c>
      <c r="V25">
        <v>85</v>
      </c>
      <c r="W25" s="49">
        <f t="shared" si="3"/>
        <v>42.050000000000011</v>
      </c>
      <c r="X25" t="str">
        <f t="shared" si="1"/>
        <v>Li76</v>
      </c>
    </row>
    <row r="26" spans="1:24" x14ac:dyDescent="0.25">
      <c r="A26" s="8">
        <v>23</v>
      </c>
      <c r="B26" s="7" t="s">
        <v>25</v>
      </c>
      <c r="C26" s="8" t="s">
        <v>11</v>
      </c>
      <c r="D26" s="7" t="s">
        <v>1236</v>
      </c>
      <c r="E26" s="7" t="s">
        <v>1237</v>
      </c>
      <c r="F26" s="7" t="s">
        <v>1238</v>
      </c>
      <c r="G26" s="7" t="s">
        <v>1239</v>
      </c>
      <c r="H26">
        <v>84</v>
      </c>
      <c r="I26">
        <v>24</v>
      </c>
      <c r="J26">
        <v>32</v>
      </c>
      <c r="K26">
        <v>86</v>
      </c>
      <c r="L26" s="5">
        <f t="shared" si="2"/>
        <v>56.5</v>
      </c>
      <c r="M26">
        <v>85</v>
      </c>
      <c r="N26">
        <v>20</v>
      </c>
      <c r="O26" s="5">
        <f>'Cobra Strike FC'!M7</f>
        <v>0</v>
      </c>
      <c r="P26" s="5">
        <f>'Cobra Strike FC'!N7</f>
        <v>58.1</v>
      </c>
      <c r="Q26" s="11">
        <f>'Cobra Strike FC'!O7</f>
        <v>58.1</v>
      </c>
      <c r="R26" s="10">
        <f>'Cobra Strike FC'!P7</f>
        <v>0</v>
      </c>
      <c r="S26" s="10">
        <f>'Cobra Strike FC'!Q7</f>
        <v>0</v>
      </c>
      <c r="T26" t="s">
        <v>142</v>
      </c>
      <c r="U26">
        <v>25</v>
      </c>
      <c r="V26">
        <v>77</v>
      </c>
      <c r="W26" s="49">
        <f t="shared" si="3"/>
        <v>26.849999999999994</v>
      </c>
      <c r="X26" t="str">
        <f t="shared" si="1"/>
        <v>Co67</v>
      </c>
    </row>
    <row r="27" spans="1:24" x14ac:dyDescent="0.25">
      <c r="A27" s="8">
        <v>24</v>
      </c>
      <c r="B27" s="7" t="s">
        <v>25</v>
      </c>
      <c r="C27" s="8" t="s">
        <v>54</v>
      </c>
      <c r="D27" s="7" t="s">
        <v>1240</v>
      </c>
      <c r="E27" s="7" t="s">
        <v>1241</v>
      </c>
      <c r="F27" s="7" t="s">
        <v>1242</v>
      </c>
      <c r="G27" s="7" t="s">
        <v>1243</v>
      </c>
      <c r="H27">
        <v>85</v>
      </c>
      <c r="I27">
        <v>27</v>
      </c>
      <c r="J27">
        <v>42</v>
      </c>
      <c r="K27">
        <v>92</v>
      </c>
      <c r="L27" s="5">
        <f t="shared" si="2"/>
        <v>61.5</v>
      </c>
      <c r="M27">
        <v>84</v>
      </c>
      <c r="N27">
        <v>18</v>
      </c>
      <c r="O27" s="5">
        <f>'Cobra Strike FC'!M8</f>
        <v>24.179999999999996</v>
      </c>
      <c r="P27" s="5">
        <f>'Cobra Strike FC'!N8</f>
        <v>54.404999999999994</v>
      </c>
      <c r="Q27" s="11">
        <f>'Cobra Strike FC'!O8</f>
        <v>60.449999999999989</v>
      </c>
      <c r="R27" s="10">
        <f>'Cobra Strike FC'!P8</f>
        <v>3.7669462706869189E-2</v>
      </c>
      <c r="S27" s="10">
        <f>'Cobra Strike FC'!Q8</f>
        <v>0.13057199999999997</v>
      </c>
      <c r="T27" t="s">
        <v>142</v>
      </c>
      <c r="U27">
        <v>35</v>
      </c>
      <c r="V27">
        <v>61</v>
      </c>
      <c r="W27" s="49">
        <f t="shared" si="3"/>
        <v>19.024999999999991</v>
      </c>
      <c r="X27" t="str">
        <f t="shared" si="1"/>
        <v>Co67</v>
      </c>
    </row>
    <row r="28" spans="1:24" x14ac:dyDescent="0.25">
      <c r="A28" s="8">
        <v>25</v>
      </c>
      <c r="B28" s="7" t="s">
        <v>25</v>
      </c>
      <c r="C28" s="8" t="s">
        <v>56</v>
      </c>
      <c r="D28" s="7" t="s">
        <v>1244</v>
      </c>
      <c r="E28" s="7" t="s">
        <v>1245</v>
      </c>
      <c r="F28" s="7" t="s">
        <v>1246</v>
      </c>
      <c r="G28" s="7" t="s">
        <v>1247</v>
      </c>
      <c r="H28">
        <v>80</v>
      </c>
      <c r="I28">
        <v>32</v>
      </c>
      <c r="J28">
        <v>38</v>
      </c>
      <c r="K28">
        <v>84</v>
      </c>
      <c r="L28" s="5">
        <f t="shared" si="2"/>
        <v>58.5</v>
      </c>
      <c r="M28">
        <v>98</v>
      </c>
      <c r="N28">
        <v>25</v>
      </c>
      <c r="O28" s="5">
        <f>'Cobra Strike FC'!M9</f>
        <v>14.774999999999999</v>
      </c>
      <c r="P28" s="5">
        <f>'Cobra Strike FC'!N9</f>
        <v>49.25</v>
      </c>
      <c r="Q28" s="11">
        <f>'Cobra Strike FC'!O9</f>
        <v>49.25</v>
      </c>
      <c r="R28" s="10">
        <f>'Cobra Strike FC'!P9</f>
        <v>2.3017630748304065E-2</v>
      </c>
      <c r="S28" s="10">
        <f>'Cobra Strike FC'!Q9</f>
        <v>0.11081249999999999</v>
      </c>
      <c r="T28" t="s">
        <v>142</v>
      </c>
      <c r="U28">
        <v>20</v>
      </c>
      <c r="V28">
        <v>51</v>
      </c>
      <c r="W28" s="49">
        <f t="shared" si="3"/>
        <v>9.9249999999999972</v>
      </c>
      <c r="X28" t="str">
        <f t="shared" si="1"/>
        <v>Co67</v>
      </c>
    </row>
    <row r="29" spans="1:24" x14ac:dyDescent="0.25">
      <c r="A29" s="8">
        <v>26</v>
      </c>
      <c r="B29" s="7" t="s">
        <v>25</v>
      </c>
      <c r="C29" s="8" t="s">
        <v>56</v>
      </c>
      <c r="D29" s="7" t="s">
        <v>1248</v>
      </c>
      <c r="E29" s="7" t="s">
        <v>1249</v>
      </c>
      <c r="F29" s="7" t="s">
        <v>1250</v>
      </c>
      <c r="G29" s="7" t="s">
        <v>1251</v>
      </c>
      <c r="H29">
        <v>93</v>
      </c>
      <c r="I29">
        <v>36</v>
      </c>
      <c r="J29">
        <v>28</v>
      </c>
      <c r="K29">
        <v>86</v>
      </c>
      <c r="L29" s="5">
        <f t="shared" si="2"/>
        <v>60.75</v>
      </c>
      <c r="M29">
        <v>86</v>
      </c>
      <c r="N29">
        <v>17</v>
      </c>
      <c r="O29" s="5">
        <f>'Cobra Strike FC'!M10</f>
        <v>13.807499999999999</v>
      </c>
      <c r="P29" s="5">
        <f>'Cobra Strike FC'!N10</f>
        <v>46.024999999999999</v>
      </c>
      <c r="Q29" s="11">
        <f>'Cobra Strike FC'!O10</f>
        <v>46.024999999999999</v>
      </c>
      <c r="R29" s="10">
        <f>'Cobra Strike FC'!P10</f>
        <v>2.1510384876968418E-2</v>
      </c>
      <c r="S29" s="10">
        <f>'Cobra Strike FC'!Q10</f>
        <v>7.0418250000000002E-2</v>
      </c>
      <c r="T29" t="s">
        <v>142</v>
      </c>
      <c r="U29">
        <v>19</v>
      </c>
      <c r="V29">
        <v>47</v>
      </c>
      <c r="W29" s="49">
        <f t="shared" si="3"/>
        <v>6.4124999999999943</v>
      </c>
      <c r="X29" t="str">
        <f t="shared" si="1"/>
        <v>Co67</v>
      </c>
    </row>
    <row r="30" spans="1:24" x14ac:dyDescent="0.25">
      <c r="A30" s="8">
        <v>27</v>
      </c>
      <c r="B30" s="7" t="s">
        <v>25</v>
      </c>
      <c r="C30" s="8" t="s">
        <v>55</v>
      </c>
      <c r="D30" s="7" t="s">
        <v>1252</v>
      </c>
      <c r="E30" s="7" t="s">
        <v>1253</v>
      </c>
      <c r="F30" s="7" t="s">
        <v>1254</v>
      </c>
      <c r="G30" s="7" t="s">
        <v>1255</v>
      </c>
      <c r="H30">
        <v>81</v>
      </c>
      <c r="I30">
        <v>20</v>
      </c>
      <c r="J30">
        <v>45</v>
      </c>
      <c r="K30">
        <v>81</v>
      </c>
      <c r="L30" s="5">
        <f t="shared" si="2"/>
        <v>56.75</v>
      </c>
      <c r="M30">
        <v>89</v>
      </c>
      <c r="N30">
        <v>28</v>
      </c>
      <c r="O30" s="5">
        <f>'Cobra Strike FC'!M11</f>
        <v>22.480000000000004</v>
      </c>
      <c r="P30" s="5">
        <f>'Cobra Strike FC'!N11</f>
        <v>50.580000000000005</v>
      </c>
      <c r="Q30" s="11">
        <f>'Cobra Strike FC'!O11</f>
        <v>56.2</v>
      </c>
      <c r="R30" s="10">
        <f>'Cobra Strike FC'!P11</f>
        <v>3.5021072028553334E-2</v>
      </c>
      <c r="S30" s="10">
        <f>'Cobra Strike FC'!Q11</f>
        <v>0.18883200000000006</v>
      </c>
      <c r="T30" t="s">
        <v>142</v>
      </c>
      <c r="U30">
        <v>26</v>
      </c>
      <c r="V30">
        <v>69</v>
      </c>
      <c r="W30" s="49">
        <f t="shared" si="3"/>
        <v>21.800000000000004</v>
      </c>
      <c r="X30" t="str">
        <f t="shared" si="1"/>
        <v>Co67</v>
      </c>
    </row>
    <row r="31" spans="1:24" x14ac:dyDescent="0.25">
      <c r="A31" s="8">
        <v>28</v>
      </c>
      <c r="B31" s="7" t="s">
        <v>25</v>
      </c>
      <c r="C31" s="8" t="s">
        <v>45</v>
      </c>
      <c r="D31" s="7" t="s">
        <v>1256</v>
      </c>
      <c r="E31" s="7" t="s">
        <v>1257</v>
      </c>
      <c r="F31" s="7" t="s">
        <v>1258</v>
      </c>
      <c r="G31" s="7" t="s">
        <v>1259</v>
      </c>
      <c r="H31">
        <v>75</v>
      </c>
      <c r="I31">
        <v>49</v>
      </c>
      <c r="J31">
        <v>36</v>
      </c>
      <c r="K31">
        <v>80</v>
      </c>
      <c r="L31" s="5">
        <f t="shared" si="2"/>
        <v>60</v>
      </c>
      <c r="M31">
        <v>82</v>
      </c>
      <c r="N31">
        <v>24</v>
      </c>
      <c r="O31" s="5">
        <f>'Cobra Strike FC'!M12</f>
        <v>31.41</v>
      </c>
      <c r="P31" s="5">
        <f>'Cobra Strike FC'!N12</f>
        <v>47.115000000000002</v>
      </c>
      <c r="Q31" s="11">
        <f>'Cobra Strike FC'!O12</f>
        <v>52.35</v>
      </c>
      <c r="R31" s="10">
        <f>'Cobra Strike FC'!P12</f>
        <v>7.3034197722477032E-2</v>
      </c>
      <c r="S31" s="10">
        <f>'Cobra Strike FC'!Q12</f>
        <v>0.22615199999999996</v>
      </c>
      <c r="T31" t="s">
        <v>142</v>
      </c>
      <c r="U31">
        <v>31</v>
      </c>
      <c r="V31">
        <v>59</v>
      </c>
      <c r="W31" s="49">
        <f t="shared" si="3"/>
        <v>14.375</v>
      </c>
      <c r="X31" t="str">
        <f t="shared" si="1"/>
        <v>Co67</v>
      </c>
    </row>
    <row r="32" spans="1:24" x14ac:dyDescent="0.25">
      <c r="A32" s="8">
        <v>29</v>
      </c>
      <c r="B32" s="7" t="s">
        <v>25</v>
      </c>
      <c r="C32" s="8" t="s">
        <v>57</v>
      </c>
      <c r="D32" s="7" t="s">
        <v>1260</v>
      </c>
      <c r="E32" s="7" t="s">
        <v>1261</v>
      </c>
      <c r="F32" s="7" t="s">
        <v>1262</v>
      </c>
      <c r="G32" s="7" t="s">
        <v>1263</v>
      </c>
      <c r="H32">
        <v>82</v>
      </c>
      <c r="I32">
        <v>52</v>
      </c>
      <c r="J32">
        <v>42</v>
      </c>
      <c r="K32">
        <v>82</v>
      </c>
      <c r="L32" s="5">
        <f t="shared" si="2"/>
        <v>64.5</v>
      </c>
      <c r="M32">
        <v>90</v>
      </c>
      <c r="N32">
        <v>26</v>
      </c>
      <c r="O32" s="5">
        <f>'Cobra Strike FC'!M13</f>
        <v>46.875</v>
      </c>
      <c r="P32" s="5">
        <f>'Cobra Strike FC'!N13</f>
        <v>46.875</v>
      </c>
      <c r="Q32" s="11">
        <f>'Cobra Strike FC'!O13</f>
        <v>62.5</v>
      </c>
      <c r="R32" s="10">
        <f>'Cobra Strike FC'!P13</f>
        <v>0.10899325113788955</v>
      </c>
      <c r="S32" s="10">
        <f>'Cobra Strike FC'!Q13</f>
        <v>0.36562500000000003</v>
      </c>
      <c r="T32" t="s">
        <v>142</v>
      </c>
      <c r="U32">
        <v>22</v>
      </c>
      <c r="V32">
        <v>80</v>
      </c>
      <c r="W32" s="49">
        <f t="shared" si="3"/>
        <v>30.849999999999994</v>
      </c>
      <c r="X32" t="str">
        <f t="shared" si="1"/>
        <v>Co67</v>
      </c>
    </row>
    <row r="33" spans="1:24" x14ac:dyDescent="0.25">
      <c r="A33" s="8">
        <v>30</v>
      </c>
      <c r="B33" s="7" t="s">
        <v>25</v>
      </c>
      <c r="C33" s="8" t="s">
        <v>46</v>
      </c>
      <c r="D33" s="7" t="s">
        <v>1264</v>
      </c>
      <c r="E33" s="7" t="s">
        <v>1265</v>
      </c>
      <c r="F33" s="7" t="s">
        <v>1266</v>
      </c>
      <c r="G33" s="7" t="s">
        <v>1267</v>
      </c>
      <c r="H33">
        <v>92</v>
      </c>
      <c r="I33">
        <v>21</v>
      </c>
      <c r="J33">
        <v>29</v>
      </c>
      <c r="K33">
        <v>85</v>
      </c>
      <c r="L33" s="5">
        <f t="shared" si="2"/>
        <v>56.75</v>
      </c>
      <c r="M33">
        <v>97</v>
      </c>
      <c r="N33">
        <v>41</v>
      </c>
      <c r="O33" s="5">
        <f>'Cobra Strike FC'!M14</f>
        <v>53.144999999999996</v>
      </c>
      <c r="P33" s="5">
        <f>'Cobra Strike FC'!N14</f>
        <v>35.43</v>
      </c>
      <c r="Q33" s="11">
        <f>'Cobra Strike FC'!O14</f>
        <v>59.05</v>
      </c>
      <c r="R33" s="10">
        <f>'Cobra Strike FC'!P14</f>
        <v>0.12357218841009364</v>
      </c>
      <c r="S33" s="10">
        <f>'Cobra Strike FC'!Q14</f>
        <v>0.65368349999999997</v>
      </c>
      <c r="T33" t="s">
        <v>142</v>
      </c>
      <c r="U33">
        <v>22</v>
      </c>
      <c r="V33">
        <v>79</v>
      </c>
      <c r="W33" s="49">
        <f t="shared" si="3"/>
        <v>28.625</v>
      </c>
      <c r="X33" t="str">
        <f t="shared" si="1"/>
        <v>Co67</v>
      </c>
    </row>
    <row r="34" spans="1:24" x14ac:dyDescent="0.25">
      <c r="A34" s="8">
        <v>31</v>
      </c>
      <c r="B34" s="7" t="s">
        <v>25</v>
      </c>
      <c r="C34" s="8" t="s">
        <v>52</v>
      </c>
      <c r="D34" s="7" t="s">
        <v>1268</v>
      </c>
      <c r="E34" s="7" t="s">
        <v>1269</v>
      </c>
      <c r="F34" s="7" t="s">
        <v>1270</v>
      </c>
      <c r="G34" s="7" t="s">
        <v>1271</v>
      </c>
      <c r="H34">
        <v>91</v>
      </c>
      <c r="I34">
        <v>19</v>
      </c>
      <c r="J34">
        <v>25</v>
      </c>
      <c r="K34">
        <v>95</v>
      </c>
      <c r="L34" s="5">
        <f t="shared" si="2"/>
        <v>57.5</v>
      </c>
      <c r="M34">
        <v>84</v>
      </c>
      <c r="N34">
        <v>26</v>
      </c>
      <c r="O34" s="5">
        <f>'Cobra Strike FC'!M15</f>
        <v>78.699999999999989</v>
      </c>
      <c r="P34" s="5">
        <f>'Cobra Strike FC'!N15</f>
        <v>23.609999999999996</v>
      </c>
      <c r="Q34" s="11">
        <f>'Cobra Strike FC'!O15</f>
        <v>78.699999999999989</v>
      </c>
      <c r="R34" s="10">
        <f>'Cobra Strike FC'!P15</f>
        <v>0.24337989525021941</v>
      </c>
      <c r="S34" s="10">
        <f>'Cobra Strike FC'!Q15</f>
        <v>0.61385999999999996</v>
      </c>
      <c r="T34" t="s">
        <v>142</v>
      </c>
      <c r="U34">
        <v>27</v>
      </c>
      <c r="V34">
        <v>93</v>
      </c>
      <c r="W34" s="49">
        <f t="shared" si="3"/>
        <v>44.949999999999989</v>
      </c>
      <c r="X34" t="str">
        <f t="shared" si="1"/>
        <v>Co67</v>
      </c>
    </row>
    <row r="35" spans="1:24" x14ac:dyDescent="0.25">
      <c r="A35" s="8">
        <v>32</v>
      </c>
      <c r="B35" s="7" t="s">
        <v>25</v>
      </c>
      <c r="C35" s="8" t="s">
        <v>59</v>
      </c>
      <c r="D35" s="7" t="s">
        <v>1272</v>
      </c>
      <c r="E35" s="7" t="s">
        <v>1273</v>
      </c>
      <c r="F35" s="7" t="s">
        <v>1274</v>
      </c>
      <c r="G35" s="7" t="s">
        <v>1275</v>
      </c>
      <c r="H35">
        <v>88</v>
      </c>
      <c r="I35">
        <v>22</v>
      </c>
      <c r="J35">
        <v>18</v>
      </c>
      <c r="K35">
        <v>97</v>
      </c>
      <c r="L35" s="5">
        <f t="shared" si="2"/>
        <v>56.25</v>
      </c>
      <c r="M35">
        <v>92</v>
      </c>
      <c r="N35">
        <v>14</v>
      </c>
      <c r="O35" s="5">
        <f>'Cobra Strike FC'!M16</f>
        <v>67.199999999999989</v>
      </c>
      <c r="P35" s="5">
        <f>'Cobra Strike FC'!N16</f>
        <v>20.159999999999997</v>
      </c>
      <c r="Q35" s="11">
        <f>'Cobra Strike FC'!O16</f>
        <v>67.199999999999989</v>
      </c>
      <c r="R35" s="10">
        <f>'Cobra Strike FC'!P16</f>
        <v>0.20781612402560032</v>
      </c>
      <c r="S35" s="10">
        <f>'Cobra Strike FC'!Q16</f>
        <v>0.28223999999999999</v>
      </c>
      <c r="T35" t="s">
        <v>142</v>
      </c>
      <c r="U35">
        <v>19</v>
      </c>
      <c r="V35">
        <v>81</v>
      </c>
      <c r="W35" s="49">
        <f t="shared" si="3"/>
        <v>34</v>
      </c>
      <c r="X35" t="str">
        <f t="shared" si="1"/>
        <v>Co67</v>
      </c>
    </row>
    <row r="36" spans="1:24" x14ac:dyDescent="0.25">
      <c r="A36" s="8">
        <v>33</v>
      </c>
      <c r="B36" s="7" t="s">
        <v>25</v>
      </c>
      <c r="C36" s="8" t="s">
        <v>53</v>
      </c>
      <c r="D36" s="7" t="s">
        <v>848</v>
      </c>
      <c r="E36" s="7" t="s">
        <v>1276</v>
      </c>
      <c r="F36" s="7" t="s">
        <v>1277</v>
      </c>
      <c r="G36" s="7" t="s">
        <v>1278</v>
      </c>
      <c r="H36">
        <v>94</v>
      </c>
      <c r="I36">
        <v>23</v>
      </c>
      <c r="J36">
        <v>22</v>
      </c>
      <c r="K36">
        <v>89</v>
      </c>
      <c r="L36" s="5">
        <f t="shared" si="2"/>
        <v>57</v>
      </c>
      <c r="M36">
        <v>94</v>
      </c>
      <c r="N36">
        <v>17</v>
      </c>
      <c r="O36" s="5">
        <f>'Cobra Strike FC'!M17</f>
        <v>77.5</v>
      </c>
      <c r="P36" s="5">
        <f>'Cobra Strike FC'!N17</f>
        <v>23.25</v>
      </c>
      <c r="Q36" s="11">
        <f>'Cobra Strike FC'!O17</f>
        <v>77.5</v>
      </c>
      <c r="R36" s="10">
        <f>'Cobra Strike FC'!P17</f>
        <v>0.23966889303547659</v>
      </c>
      <c r="S36" s="10">
        <f>'Cobra Strike FC'!Q17</f>
        <v>0.39524999999999999</v>
      </c>
      <c r="T36" t="s">
        <v>142</v>
      </c>
      <c r="U36">
        <v>22</v>
      </c>
      <c r="V36">
        <v>80</v>
      </c>
      <c r="W36" s="49">
        <f t="shared" si="3"/>
        <v>38.349999999999994</v>
      </c>
      <c r="X36" t="str">
        <f t="shared" si="1"/>
        <v>Co67</v>
      </c>
    </row>
    <row r="37" spans="1:24" x14ac:dyDescent="0.25">
      <c r="A37" s="8">
        <v>34</v>
      </c>
      <c r="B37" s="7" t="s">
        <v>26</v>
      </c>
      <c r="C37" s="8" t="s">
        <v>11</v>
      </c>
      <c r="D37" s="7" t="s">
        <v>1210</v>
      </c>
      <c r="E37" s="7" t="s">
        <v>1211</v>
      </c>
      <c r="F37" s="7" t="s">
        <v>1212</v>
      </c>
      <c r="G37" s="7" t="s">
        <v>930</v>
      </c>
      <c r="H37">
        <v>80</v>
      </c>
      <c r="I37">
        <v>40</v>
      </c>
      <c r="J37">
        <v>10</v>
      </c>
      <c r="K37">
        <v>95</v>
      </c>
      <c r="L37" s="5">
        <f t="shared" si="2"/>
        <v>56.25</v>
      </c>
      <c r="M37">
        <v>80</v>
      </c>
      <c r="N37">
        <v>40</v>
      </c>
      <c r="O37" s="5">
        <f>'Falcon Flyers'!M7</f>
        <v>0</v>
      </c>
      <c r="P37" s="5">
        <f>'Falcon Flyers'!N7</f>
        <v>61.25</v>
      </c>
      <c r="Q37" s="11">
        <f>'Falcon Flyers'!O7</f>
        <v>61.25</v>
      </c>
      <c r="R37" s="10">
        <f>'Falcon Flyers'!P7</f>
        <v>0</v>
      </c>
      <c r="S37" s="10">
        <f>'Falcon Flyers'!Q7</f>
        <v>0</v>
      </c>
      <c r="T37" t="s">
        <v>145</v>
      </c>
      <c r="U37">
        <v>26</v>
      </c>
      <c r="V37">
        <v>63</v>
      </c>
      <c r="W37" s="49">
        <f t="shared" si="3"/>
        <v>21.325000000000003</v>
      </c>
      <c r="X37" t="str">
        <f t="shared" si="1"/>
        <v>Fa70</v>
      </c>
    </row>
    <row r="38" spans="1:24" x14ac:dyDescent="0.25">
      <c r="A38" s="8">
        <v>35</v>
      </c>
      <c r="B38" s="7" t="s">
        <v>26</v>
      </c>
      <c r="C38" s="8" t="s">
        <v>54</v>
      </c>
      <c r="D38" s="7" t="s">
        <v>1190</v>
      </c>
      <c r="E38" s="7" t="s">
        <v>960</v>
      </c>
      <c r="F38" s="7" t="s">
        <v>961</v>
      </c>
      <c r="G38" s="7" t="s">
        <v>962</v>
      </c>
      <c r="H38">
        <v>85</v>
      </c>
      <c r="I38">
        <v>33</v>
      </c>
      <c r="J38">
        <v>8</v>
      </c>
      <c r="K38">
        <v>98</v>
      </c>
      <c r="L38" s="5">
        <f t="shared" si="2"/>
        <v>56</v>
      </c>
      <c r="M38">
        <v>83</v>
      </c>
      <c r="N38">
        <v>42</v>
      </c>
      <c r="O38" s="5">
        <f>'Falcon Flyers'!M8</f>
        <v>20.62</v>
      </c>
      <c r="P38" s="5">
        <f>'Falcon Flyers'!N8</f>
        <v>46.394999999999996</v>
      </c>
      <c r="Q38" s="11">
        <f>'Falcon Flyers'!O8</f>
        <v>51.55</v>
      </c>
      <c r="R38" s="10">
        <f>'Falcon Flyers'!P8</f>
        <v>3.1486655878934296E-2</v>
      </c>
      <c r="S38" s="10">
        <f>'Falcon Flyers'!Q8</f>
        <v>0.25981199999999999</v>
      </c>
      <c r="T38" t="s">
        <v>145</v>
      </c>
      <c r="U38">
        <v>35</v>
      </c>
      <c r="V38">
        <v>52</v>
      </c>
      <c r="W38" s="49">
        <f t="shared" si="3"/>
        <v>10.075000000000003</v>
      </c>
      <c r="X38" t="str">
        <f t="shared" si="1"/>
        <v>Fa70</v>
      </c>
    </row>
    <row r="39" spans="1:24" x14ac:dyDescent="0.25">
      <c r="A39" s="8">
        <v>36</v>
      </c>
      <c r="B39" s="7" t="s">
        <v>26</v>
      </c>
      <c r="C39" s="8" t="s">
        <v>56</v>
      </c>
      <c r="D39" s="7" t="s">
        <v>931</v>
      </c>
      <c r="E39" s="7" t="s">
        <v>932</v>
      </c>
      <c r="F39" s="7" t="s">
        <v>933</v>
      </c>
      <c r="G39" s="7" t="s">
        <v>1213</v>
      </c>
      <c r="H39">
        <v>75</v>
      </c>
      <c r="I39">
        <v>28</v>
      </c>
      <c r="J39">
        <v>22</v>
      </c>
      <c r="K39">
        <v>92</v>
      </c>
      <c r="L39" s="5">
        <f t="shared" si="2"/>
        <v>54.25</v>
      </c>
      <c r="M39">
        <v>74</v>
      </c>
      <c r="N39">
        <v>49</v>
      </c>
      <c r="O39" s="5">
        <f>'Falcon Flyers'!M9</f>
        <v>12.007499999999999</v>
      </c>
      <c r="P39" s="5">
        <f>'Falcon Flyers'!N9</f>
        <v>40.024999999999999</v>
      </c>
      <c r="Q39" s="11">
        <f>'Falcon Flyers'!O9</f>
        <v>40.024999999999999</v>
      </c>
      <c r="R39" s="10">
        <f>'Falcon Flyers'!P9</f>
        <v>1.8335403514369714E-2</v>
      </c>
      <c r="S39" s="10">
        <f>'Falcon Flyers'!Q9</f>
        <v>0.17651024999999998</v>
      </c>
      <c r="T39" t="s">
        <v>145</v>
      </c>
      <c r="U39">
        <v>31</v>
      </c>
      <c r="V39">
        <v>41</v>
      </c>
      <c r="W39" s="49" t="str">
        <f t="shared" si="3"/>
        <v>0</v>
      </c>
      <c r="X39" t="str">
        <f t="shared" si="1"/>
        <v>Fa70</v>
      </c>
    </row>
    <row r="40" spans="1:24" x14ac:dyDescent="0.25">
      <c r="A40" s="8">
        <v>37</v>
      </c>
      <c r="B40" s="7" t="s">
        <v>26</v>
      </c>
      <c r="C40" s="8" t="s">
        <v>56</v>
      </c>
      <c r="D40" s="7" t="s">
        <v>935</v>
      </c>
      <c r="E40" s="7" t="s">
        <v>936</v>
      </c>
      <c r="F40" s="7" t="s">
        <v>937</v>
      </c>
      <c r="G40" s="7" t="s">
        <v>1214</v>
      </c>
      <c r="H40">
        <v>72</v>
      </c>
      <c r="I40">
        <v>32</v>
      </c>
      <c r="J40">
        <v>28</v>
      </c>
      <c r="K40">
        <v>91</v>
      </c>
      <c r="L40" s="5">
        <f t="shared" si="2"/>
        <v>55.75</v>
      </c>
      <c r="M40">
        <v>72</v>
      </c>
      <c r="N40">
        <v>52</v>
      </c>
      <c r="O40" s="5">
        <f>'Falcon Flyers'!M10</f>
        <v>13.065</v>
      </c>
      <c r="P40" s="5">
        <f>'Falcon Flyers'!N10</f>
        <v>43.55</v>
      </c>
      <c r="Q40" s="11">
        <f>'Falcon Flyers'!O10</f>
        <v>43.55</v>
      </c>
      <c r="R40" s="10">
        <f>'Falcon Flyers'!P10</f>
        <v>1.9950201700207396E-2</v>
      </c>
      <c r="S40" s="10">
        <f>'Falcon Flyers'!Q10</f>
        <v>0.203814</v>
      </c>
      <c r="T40" t="s">
        <v>145</v>
      </c>
      <c r="U40">
        <v>20</v>
      </c>
      <c r="V40">
        <v>59</v>
      </c>
      <c r="W40" s="49">
        <f t="shared" si="3"/>
        <v>11.075000000000003</v>
      </c>
      <c r="X40" t="str">
        <f t="shared" si="1"/>
        <v>Fa70</v>
      </c>
    </row>
    <row r="41" spans="1:24" x14ac:dyDescent="0.25">
      <c r="A41" s="8">
        <v>38</v>
      </c>
      <c r="B41" s="7" t="s">
        <v>26</v>
      </c>
      <c r="C41" s="8" t="s">
        <v>55</v>
      </c>
      <c r="D41" s="7" t="s">
        <v>1215</v>
      </c>
      <c r="E41" s="7" t="s">
        <v>1216</v>
      </c>
      <c r="F41" s="7" t="s">
        <v>1217</v>
      </c>
      <c r="G41" s="7" t="s">
        <v>1218</v>
      </c>
      <c r="H41">
        <v>81</v>
      </c>
      <c r="I41">
        <v>35</v>
      </c>
      <c r="J41">
        <v>12</v>
      </c>
      <c r="K41">
        <v>94</v>
      </c>
      <c r="L41" s="5">
        <f t="shared" si="2"/>
        <v>55.5</v>
      </c>
      <c r="M41">
        <v>76</v>
      </c>
      <c r="N41">
        <v>41</v>
      </c>
      <c r="O41" s="5">
        <f>'Falcon Flyers'!M11</f>
        <v>20.62</v>
      </c>
      <c r="P41" s="5">
        <f>'Falcon Flyers'!N11</f>
        <v>46.394999999999996</v>
      </c>
      <c r="Q41" s="11">
        <f>'Falcon Flyers'!O11</f>
        <v>51.55</v>
      </c>
      <c r="R41" s="10">
        <f>'Falcon Flyers'!P11</f>
        <v>3.1486655878934296E-2</v>
      </c>
      <c r="S41" s="10">
        <f>'Falcon Flyers'!Q11</f>
        <v>0.25362600000000002</v>
      </c>
      <c r="T41" t="s">
        <v>145</v>
      </c>
      <c r="U41">
        <v>21</v>
      </c>
      <c r="V41">
        <v>65</v>
      </c>
      <c r="W41" s="49">
        <f t="shared" si="3"/>
        <v>17.975000000000001</v>
      </c>
      <c r="X41" t="str">
        <f t="shared" si="1"/>
        <v>Fa70</v>
      </c>
    </row>
    <row r="42" spans="1:24" x14ac:dyDescent="0.25">
      <c r="A42" s="8">
        <v>39</v>
      </c>
      <c r="B42" s="7" t="s">
        <v>26</v>
      </c>
      <c r="C42" s="8" t="s">
        <v>45</v>
      </c>
      <c r="D42" s="7" t="s">
        <v>1219</v>
      </c>
      <c r="E42" s="7" t="s">
        <v>1220</v>
      </c>
      <c r="F42" s="7" t="s">
        <v>1221</v>
      </c>
      <c r="G42" s="7" t="s">
        <v>946</v>
      </c>
      <c r="H42">
        <v>79</v>
      </c>
      <c r="I42">
        <v>52</v>
      </c>
      <c r="J42">
        <v>15</v>
      </c>
      <c r="K42">
        <v>87</v>
      </c>
      <c r="L42" s="5">
        <f t="shared" si="2"/>
        <v>58.25</v>
      </c>
      <c r="M42">
        <v>79</v>
      </c>
      <c r="N42">
        <v>50</v>
      </c>
      <c r="O42" s="5">
        <f>'Falcon Flyers'!M12</f>
        <v>27.9</v>
      </c>
      <c r="P42" s="5">
        <f>'Falcon Flyers'!N12</f>
        <v>41.85</v>
      </c>
      <c r="Q42" s="11">
        <f>'Falcon Flyers'!O12</f>
        <v>46.5</v>
      </c>
      <c r="R42" s="10">
        <f>'Falcon Flyers'!P12</f>
        <v>6.3586845044100546E-2</v>
      </c>
      <c r="S42" s="10">
        <f>'Falcon Flyers'!Q12</f>
        <v>0.41849999999999998</v>
      </c>
      <c r="T42" t="s">
        <v>145</v>
      </c>
      <c r="U42">
        <v>21</v>
      </c>
      <c r="V42">
        <v>72</v>
      </c>
      <c r="W42" s="49">
        <f t="shared" si="3"/>
        <v>18.950000000000003</v>
      </c>
      <c r="X42" t="str">
        <f t="shared" si="1"/>
        <v>Fa70</v>
      </c>
    </row>
    <row r="43" spans="1:24" x14ac:dyDescent="0.25">
      <c r="A43" s="8">
        <v>40</v>
      </c>
      <c r="B43" s="7" t="s">
        <v>26</v>
      </c>
      <c r="C43" s="8" t="s">
        <v>57</v>
      </c>
      <c r="D43" s="7" t="s">
        <v>1222</v>
      </c>
      <c r="E43" s="7" t="s">
        <v>1223</v>
      </c>
      <c r="F43" s="7" t="s">
        <v>1224</v>
      </c>
      <c r="G43" s="7" t="s">
        <v>1225</v>
      </c>
      <c r="H43">
        <v>91</v>
      </c>
      <c r="I43">
        <v>47</v>
      </c>
      <c r="J43">
        <v>11</v>
      </c>
      <c r="K43">
        <v>90</v>
      </c>
      <c r="L43" s="5">
        <f t="shared" si="2"/>
        <v>59.75</v>
      </c>
      <c r="M43">
        <v>82</v>
      </c>
      <c r="N43">
        <v>52</v>
      </c>
      <c r="O43" s="5">
        <f>'Falcon Flyers'!M13</f>
        <v>44.287500000000001</v>
      </c>
      <c r="P43" s="5">
        <f>'Falcon Flyers'!N13</f>
        <v>44.287500000000001</v>
      </c>
      <c r="Q43" s="11">
        <f>'Falcon Flyers'!O13</f>
        <v>59.050000000000004</v>
      </c>
      <c r="R43" s="10">
        <f>'Falcon Flyers'!P13</f>
        <v>0.10093556988855208</v>
      </c>
      <c r="S43" s="10">
        <f>'Falcon Flyers'!Q13</f>
        <v>0.69088500000000008</v>
      </c>
      <c r="T43" t="s">
        <v>145</v>
      </c>
      <c r="U43">
        <v>27</v>
      </c>
      <c r="V43">
        <v>73</v>
      </c>
      <c r="W43" s="49">
        <f t="shared" si="3"/>
        <v>25.125</v>
      </c>
      <c r="X43" t="str">
        <f t="shared" si="1"/>
        <v>Fa70</v>
      </c>
    </row>
    <row r="44" spans="1:24" x14ac:dyDescent="0.25">
      <c r="A44" s="8">
        <v>41</v>
      </c>
      <c r="B44" s="7" t="s">
        <v>26</v>
      </c>
      <c r="C44" s="8" t="s">
        <v>46</v>
      </c>
      <c r="D44" s="7" t="s">
        <v>947</v>
      </c>
      <c r="E44" s="7" t="s">
        <v>948</v>
      </c>
      <c r="F44" s="7" t="s">
        <v>949</v>
      </c>
      <c r="G44" s="7" t="s">
        <v>950</v>
      </c>
      <c r="H44">
        <v>84</v>
      </c>
      <c r="I44">
        <v>52</v>
      </c>
      <c r="J44">
        <v>8</v>
      </c>
      <c r="K44">
        <v>96</v>
      </c>
      <c r="L44" s="5">
        <f t="shared" si="2"/>
        <v>60</v>
      </c>
      <c r="M44">
        <v>84</v>
      </c>
      <c r="N44">
        <v>37</v>
      </c>
      <c r="O44" s="5">
        <f>'Falcon Flyers'!M14</f>
        <v>62.820000000000014</v>
      </c>
      <c r="P44" s="5">
        <f>'Falcon Flyers'!N14</f>
        <v>41.88</v>
      </c>
      <c r="Q44" s="11">
        <f>'Falcon Flyers'!O14</f>
        <v>69.800000000000011</v>
      </c>
      <c r="R44" s="10">
        <f>'Falcon Flyers'!P14</f>
        <v>0.14317296077671676</v>
      </c>
      <c r="S44" s="10">
        <f>'Falcon Flyers'!Q14</f>
        <v>0.69730200000000009</v>
      </c>
      <c r="T44" t="s">
        <v>145</v>
      </c>
      <c r="U44">
        <v>31</v>
      </c>
      <c r="V44">
        <v>76</v>
      </c>
      <c r="W44" s="49">
        <f t="shared" si="3"/>
        <v>31.600000000000009</v>
      </c>
      <c r="X44" t="str">
        <f t="shared" si="1"/>
        <v>Fa70</v>
      </c>
    </row>
    <row r="45" spans="1:24" x14ac:dyDescent="0.25">
      <c r="A45" s="8">
        <v>42</v>
      </c>
      <c r="B45" s="7" t="s">
        <v>26</v>
      </c>
      <c r="C45" s="8" t="s">
        <v>52</v>
      </c>
      <c r="D45" s="7" t="s">
        <v>951</v>
      </c>
      <c r="E45" s="7" t="s">
        <v>1226</v>
      </c>
      <c r="F45" s="7" t="s">
        <v>1227</v>
      </c>
      <c r="G45" s="7" t="s">
        <v>1228</v>
      </c>
      <c r="H45">
        <v>93</v>
      </c>
      <c r="I45">
        <v>38</v>
      </c>
      <c r="J45">
        <v>7</v>
      </c>
      <c r="K45">
        <v>99</v>
      </c>
      <c r="L45" s="5">
        <f t="shared" si="2"/>
        <v>59.25</v>
      </c>
      <c r="M45">
        <v>86</v>
      </c>
      <c r="N45">
        <v>36</v>
      </c>
      <c r="O45" s="5">
        <f>'Falcon Flyers'!M15</f>
        <v>83.15</v>
      </c>
      <c r="P45" s="5">
        <f>'Falcon Flyers'!N15</f>
        <v>24.945</v>
      </c>
      <c r="Q45" s="11">
        <f>'Falcon Flyers'!O15</f>
        <v>83.15</v>
      </c>
      <c r="R45" s="10">
        <f>'Falcon Flyers'!P15</f>
        <v>0.25204435125464364</v>
      </c>
      <c r="S45" s="10">
        <f>'Falcon Flyers'!Q15</f>
        <v>0.89802000000000004</v>
      </c>
      <c r="T45" t="s">
        <v>145</v>
      </c>
      <c r="U45">
        <v>29</v>
      </c>
      <c r="V45">
        <v>89</v>
      </c>
      <c r="W45" s="49">
        <f t="shared" si="3"/>
        <v>44.974999999999994</v>
      </c>
      <c r="X45" t="str">
        <f t="shared" si="1"/>
        <v>Fa70</v>
      </c>
    </row>
    <row r="46" spans="1:24" x14ac:dyDescent="0.25">
      <c r="A46" s="8">
        <v>43</v>
      </c>
      <c r="B46" s="7" t="s">
        <v>26</v>
      </c>
      <c r="C46" s="8" t="s">
        <v>59</v>
      </c>
      <c r="D46" s="7" t="s">
        <v>955</v>
      </c>
      <c r="E46" s="7" t="s">
        <v>1229</v>
      </c>
      <c r="F46" s="7" t="s">
        <v>1230</v>
      </c>
      <c r="G46" s="7" t="s">
        <v>1231</v>
      </c>
      <c r="H46">
        <v>83</v>
      </c>
      <c r="I46">
        <v>51</v>
      </c>
      <c r="J46">
        <v>6</v>
      </c>
      <c r="K46">
        <v>97</v>
      </c>
      <c r="L46" s="5">
        <f t="shared" si="2"/>
        <v>59.25</v>
      </c>
      <c r="M46">
        <v>75</v>
      </c>
      <c r="N46">
        <v>32</v>
      </c>
      <c r="O46" s="5">
        <f>'Falcon Flyers'!M16</f>
        <v>71.5</v>
      </c>
      <c r="P46" s="5">
        <f>'Falcon Flyers'!N16</f>
        <v>21.45</v>
      </c>
      <c r="Q46" s="11">
        <f>'Falcon Flyers'!O16</f>
        <v>71.5</v>
      </c>
      <c r="R46" s="10">
        <f>'Falcon Flyers'!P16</f>
        <v>0.21673086127128108</v>
      </c>
      <c r="S46" s="10">
        <f>'Falcon Flyers'!Q16</f>
        <v>0.68640000000000001</v>
      </c>
      <c r="T46" t="s">
        <v>145</v>
      </c>
      <c r="U46">
        <v>24</v>
      </c>
      <c r="V46">
        <v>91</v>
      </c>
      <c r="W46" s="49">
        <f t="shared" si="3"/>
        <v>40.650000000000006</v>
      </c>
      <c r="X46" t="str">
        <f t="shared" si="1"/>
        <v>Fa70</v>
      </c>
    </row>
    <row r="47" spans="1:24" x14ac:dyDescent="0.25">
      <c r="A47" s="8">
        <v>44</v>
      </c>
      <c r="B47" s="7" t="s">
        <v>26</v>
      </c>
      <c r="C47" s="8" t="s">
        <v>53</v>
      </c>
      <c r="D47" s="7" t="s">
        <v>1232</v>
      </c>
      <c r="E47" s="7" t="s">
        <v>1233</v>
      </c>
      <c r="F47" s="7" t="s">
        <v>1234</v>
      </c>
      <c r="G47" s="7" t="s">
        <v>1235</v>
      </c>
      <c r="H47">
        <v>92</v>
      </c>
      <c r="I47">
        <v>39</v>
      </c>
      <c r="J47">
        <v>4</v>
      </c>
      <c r="K47">
        <v>99</v>
      </c>
      <c r="L47" s="5">
        <f t="shared" si="2"/>
        <v>58.5</v>
      </c>
      <c r="M47">
        <v>84</v>
      </c>
      <c r="N47">
        <v>19</v>
      </c>
      <c r="O47" s="5">
        <f>'Falcon Flyers'!M17</f>
        <v>82.800000000000011</v>
      </c>
      <c r="P47" s="5">
        <f>'Falcon Flyers'!N17</f>
        <v>24.840000000000003</v>
      </c>
      <c r="Q47" s="11">
        <f>'Falcon Flyers'!O17</f>
        <v>82.800000000000011</v>
      </c>
      <c r="R47" s="10">
        <f>'Falcon Flyers'!P17</f>
        <v>0.25098343095471431</v>
      </c>
      <c r="S47" s="10">
        <f>'Falcon Flyers'!Q17</f>
        <v>0.47196000000000005</v>
      </c>
      <c r="T47" t="s">
        <v>145</v>
      </c>
      <c r="U47">
        <v>31</v>
      </c>
      <c r="V47">
        <v>89</v>
      </c>
      <c r="W47" s="49">
        <f t="shared" si="3"/>
        <v>44.600000000000009</v>
      </c>
      <c r="X47" t="str">
        <f t="shared" si="1"/>
        <v>Fa70</v>
      </c>
    </row>
    <row r="48" spans="1:24" x14ac:dyDescent="0.25">
      <c r="A48" s="8">
        <v>45</v>
      </c>
      <c r="B48" s="7" t="s">
        <v>28</v>
      </c>
      <c r="C48" s="8" t="s">
        <v>11</v>
      </c>
      <c r="D48" s="7" t="s">
        <v>979</v>
      </c>
      <c r="E48" s="7" t="s">
        <v>1170</v>
      </c>
      <c r="F48" s="7" t="s">
        <v>1171</v>
      </c>
      <c r="G48" s="7" t="s">
        <v>1172</v>
      </c>
      <c r="H48">
        <v>48</v>
      </c>
      <c r="I48">
        <v>44</v>
      </c>
      <c r="J48">
        <v>77</v>
      </c>
      <c r="K48">
        <v>81</v>
      </c>
      <c r="L48" s="5">
        <f t="shared" si="2"/>
        <v>62.5</v>
      </c>
      <c r="M48">
        <v>60</v>
      </c>
      <c r="N48">
        <v>8</v>
      </c>
      <c r="O48" s="5">
        <f>'Sharkfin Athletic'!M7</f>
        <v>0</v>
      </c>
      <c r="P48" s="5">
        <f>'Sharkfin Athletic'!N7</f>
        <v>54.45</v>
      </c>
      <c r="Q48" s="11">
        <f>'Sharkfin Athletic'!O7</f>
        <v>54.45</v>
      </c>
      <c r="R48" s="10">
        <f>'Sharkfin Athletic'!P7</f>
        <v>0</v>
      </c>
      <c r="S48" s="10">
        <f>'Sharkfin Athletic'!Q7</f>
        <v>0</v>
      </c>
      <c r="T48" t="s">
        <v>157</v>
      </c>
      <c r="U48">
        <v>32</v>
      </c>
      <c r="V48">
        <v>58</v>
      </c>
      <c r="W48" s="49">
        <f t="shared" si="3"/>
        <v>14.825000000000003</v>
      </c>
      <c r="X48" t="str">
        <f t="shared" si="1"/>
        <v>Sh83</v>
      </c>
    </row>
    <row r="49" spans="1:24" x14ac:dyDescent="0.25">
      <c r="A49" s="8">
        <v>46</v>
      </c>
      <c r="B49" s="7" t="s">
        <v>28</v>
      </c>
      <c r="C49" s="8" t="s">
        <v>54</v>
      </c>
      <c r="D49" s="7" t="s">
        <v>971</v>
      </c>
      <c r="E49" s="7" t="s">
        <v>1173</v>
      </c>
      <c r="F49" s="7" t="s">
        <v>1174</v>
      </c>
      <c r="G49" s="7" t="s">
        <v>1175</v>
      </c>
      <c r="H49">
        <v>51</v>
      </c>
      <c r="I49">
        <v>56</v>
      </c>
      <c r="J49">
        <v>86</v>
      </c>
      <c r="K49">
        <v>71</v>
      </c>
      <c r="L49" s="5">
        <f t="shared" si="2"/>
        <v>66</v>
      </c>
      <c r="M49">
        <v>58</v>
      </c>
      <c r="N49">
        <v>11</v>
      </c>
      <c r="O49" s="5">
        <f>'Sharkfin Athletic'!M8</f>
        <v>28.1</v>
      </c>
      <c r="P49" s="5">
        <f>'Sharkfin Athletic'!N8</f>
        <v>63.225000000000001</v>
      </c>
      <c r="Q49" s="11">
        <f>'Sharkfin Athletic'!O8</f>
        <v>70.25</v>
      </c>
      <c r="R49" s="10">
        <f>'Sharkfin Athletic'!P8</f>
        <v>4.0719793232472885E-2</v>
      </c>
      <c r="S49" s="10">
        <f>'Sharkfin Athletic'!Q8</f>
        <v>9.2730000000000007E-2</v>
      </c>
      <c r="T49" t="s">
        <v>157</v>
      </c>
      <c r="U49">
        <v>29</v>
      </c>
      <c r="V49">
        <v>75</v>
      </c>
      <c r="W49" s="49">
        <f t="shared" si="3"/>
        <v>31.525000000000006</v>
      </c>
      <c r="X49" t="str">
        <f t="shared" si="1"/>
        <v>Sh83</v>
      </c>
    </row>
    <row r="50" spans="1:24" x14ac:dyDescent="0.25">
      <c r="A50" s="8">
        <v>47</v>
      </c>
      <c r="B50" s="7" t="s">
        <v>28</v>
      </c>
      <c r="C50" s="8" t="s">
        <v>56</v>
      </c>
      <c r="D50" s="7" t="s">
        <v>975</v>
      </c>
      <c r="E50" s="7" t="s">
        <v>1176</v>
      </c>
      <c r="F50" s="7" t="s">
        <v>1177</v>
      </c>
      <c r="G50" s="7" t="s">
        <v>1178</v>
      </c>
      <c r="H50">
        <v>72</v>
      </c>
      <c r="I50">
        <v>45</v>
      </c>
      <c r="J50">
        <v>100</v>
      </c>
      <c r="K50">
        <v>91</v>
      </c>
      <c r="L50" s="5">
        <f t="shared" si="2"/>
        <v>77</v>
      </c>
      <c r="M50">
        <v>61</v>
      </c>
      <c r="N50">
        <v>6</v>
      </c>
      <c r="O50" s="5">
        <f>'Sharkfin Athletic'!M9</f>
        <v>26.07</v>
      </c>
      <c r="P50" s="5">
        <f>'Sharkfin Athletic'!N9</f>
        <v>86.9</v>
      </c>
      <c r="Q50" s="11">
        <f>'Sharkfin Athletic'!O9</f>
        <v>86.9</v>
      </c>
      <c r="R50" s="10">
        <f>'Sharkfin Athletic'!P9</f>
        <v>3.7778114219593172E-2</v>
      </c>
      <c r="S50" s="10">
        <f>'Sharkfin Athletic'!Q9</f>
        <v>4.6925999999999995E-2</v>
      </c>
      <c r="T50" t="s">
        <v>157</v>
      </c>
      <c r="U50">
        <v>32</v>
      </c>
      <c r="V50">
        <v>92</v>
      </c>
      <c r="W50" s="49">
        <f t="shared" si="3"/>
        <v>48.050000000000011</v>
      </c>
      <c r="X50" t="str">
        <f t="shared" si="1"/>
        <v>Sh83</v>
      </c>
    </row>
    <row r="51" spans="1:24" x14ac:dyDescent="0.25">
      <c r="A51" s="8">
        <v>48</v>
      </c>
      <c r="B51" s="7" t="s">
        <v>28</v>
      </c>
      <c r="C51" s="8" t="s">
        <v>56</v>
      </c>
      <c r="D51" s="7" t="s">
        <v>1179</v>
      </c>
      <c r="E51" s="7" t="s">
        <v>1180</v>
      </c>
      <c r="F51" s="7" t="s">
        <v>1181</v>
      </c>
      <c r="G51" s="7" t="s">
        <v>1182</v>
      </c>
      <c r="H51">
        <v>54</v>
      </c>
      <c r="I51">
        <v>43</v>
      </c>
      <c r="J51">
        <v>71</v>
      </c>
      <c r="K51">
        <v>69</v>
      </c>
      <c r="L51" s="5">
        <f t="shared" si="2"/>
        <v>59.25</v>
      </c>
      <c r="M51">
        <v>64</v>
      </c>
      <c r="N51">
        <v>8</v>
      </c>
      <c r="O51" s="5">
        <f>'Sharkfin Athletic'!M10</f>
        <v>19.312499999999996</v>
      </c>
      <c r="P51" s="5">
        <f>'Sharkfin Athletic'!N10</f>
        <v>64.374999999999986</v>
      </c>
      <c r="Q51" s="11">
        <f>'Sharkfin Athletic'!O10</f>
        <v>64.374999999999986</v>
      </c>
      <c r="R51" s="10">
        <f>'Sharkfin Athletic'!P10</f>
        <v>2.7985800953812541E-2</v>
      </c>
      <c r="S51" s="10">
        <f>'Sharkfin Athletic'!Q10</f>
        <v>4.6349999999999988E-2</v>
      </c>
      <c r="T51" t="s">
        <v>157</v>
      </c>
      <c r="U51">
        <v>34</v>
      </c>
      <c r="V51">
        <v>65</v>
      </c>
      <c r="W51" s="49">
        <f t="shared" si="3"/>
        <v>23.087499999999991</v>
      </c>
      <c r="X51" t="str">
        <f t="shared" si="1"/>
        <v>Sh83</v>
      </c>
    </row>
    <row r="52" spans="1:24" x14ac:dyDescent="0.25">
      <c r="A52" s="8">
        <v>49</v>
      </c>
      <c r="B52" s="7" t="s">
        <v>28</v>
      </c>
      <c r="C52" s="8" t="s">
        <v>55</v>
      </c>
      <c r="D52" s="7" t="s">
        <v>815</v>
      </c>
      <c r="E52" s="7" t="s">
        <v>1480</v>
      </c>
      <c r="F52" s="7" t="s">
        <v>1481</v>
      </c>
      <c r="G52" s="7" t="s">
        <v>1482</v>
      </c>
      <c r="H52">
        <v>22</v>
      </c>
      <c r="I52">
        <v>95</v>
      </c>
      <c r="J52">
        <v>91</v>
      </c>
      <c r="K52">
        <v>111</v>
      </c>
      <c r="L52" s="5">
        <f t="shared" si="2"/>
        <v>79.75</v>
      </c>
      <c r="M52">
        <v>13</v>
      </c>
      <c r="N52">
        <v>78</v>
      </c>
      <c r="O52" s="5">
        <f>'Sharkfin Athletic'!M11</f>
        <v>34.979999999999997</v>
      </c>
      <c r="P52" s="5">
        <f>'Sharkfin Athletic'!N11</f>
        <v>78.704999999999998</v>
      </c>
      <c r="Q52" s="11">
        <f>'Sharkfin Athletic'!O11</f>
        <v>87.449999999999989</v>
      </c>
      <c r="R52" s="10">
        <f>'Sharkfin Athletic'!P11</f>
        <v>5.0689621611099696E-2</v>
      </c>
      <c r="S52" s="10">
        <f>'Sharkfin Athletic'!Q11</f>
        <v>0.81853199999999993</v>
      </c>
      <c r="T52" t="s">
        <v>157</v>
      </c>
      <c r="U52">
        <v>35</v>
      </c>
      <c r="V52">
        <v>76</v>
      </c>
      <c r="W52" s="49">
        <f t="shared" si="3"/>
        <v>40.024999999999991</v>
      </c>
      <c r="X52" t="str">
        <f t="shared" si="1"/>
        <v>Sh83</v>
      </c>
    </row>
    <row r="53" spans="1:24" x14ac:dyDescent="0.25">
      <c r="A53" s="8">
        <v>50</v>
      </c>
      <c r="B53" s="7" t="s">
        <v>28</v>
      </c>
      <c r="C53" s="8" t="s">
        <v>45</v>
      </c>
      <c r="D53" s="7" t="s">
        <v>1186</v>
      </c>
      <c r="E53" s="7" t="s">
        <v>1187</v>
      </c>
      <c r="F53" s="7" t="s">
        <v>1188</v>
      </c>
      <c r="G53" s="7" t="s">
        <v>1189</v>
      </c>
      <c r="H53">
        <v>64</v>
      </c>
      <c r="I53">
        <v>63</v>
      </c>
      <c r="J53">
        <v>99</v>
      </c>
      <c r="K53">
        <v>81</v>
      </c>
      <c r="L53" s="5">
        <f t="shared" si="2"/>
        <v>76.75</v>
      </c>
      <c r="M53">
        <v>62</v>
      </c>
      <c r="N53">
        <v>13</v>
      </c>
      <c r="O53" s="5">
        <f>'Sharkfin Athletic'!M12</f>
        <v>48.15</v>
      </c>
      <c r="P53" s="5">
        <f>'Sharkfin Athletic'!N12</f>
        <v>72.225000000000009</v>
      </c>
      <c r="Q53" s="11">
        <f>'Sharkfin Athletic'!O12</f>
        <v>80.25</v>
      </c>
      <c r="R53" s="10">
        <f>'Sharkfin Athletic'!P12</f>
        <v>0.10414075764293669</v>
      </c>
      <c r="S53" s="10">
        <f>'Sharkfin Athletic'!Q12</f>
        <v>0.18778499999999998</v>
      </c>
      <c r="T53" t="s">
        <v>157</v>
      </c>
      <c r="U53">
        <v>29</v>
      </c>
      <c r="V53">
        <v>89</v>
      </c>
      <c r="W53" s="49">
        <f t="shared" si="3"/>
        <v>43.525000000000006</v>
      </c>
      <c r="X53" t="str">
        <f t="shared" si="1"/>
        <v>Sh83</v>
      </c>
    </row>
    <row r="54" spans="1:24" x14ac:dyDescent="0.25">
      <c r="A54" s="8">
        <v>51</v>
      </c>
      <c r="B54" s="7" t="s">
        <v>28</v>
      </c>
      <c r="C54" s="8" t="s">
        <v>57</v>
      </c>
      <c r="D54" s="7" t="s">
        <v>1190</v>
      </c>
      <c r="E54" s="7" t="s">
        <v>1191</v>
      </c>
      <c r="F54" s="7" t="s">
        <v>1192</v>
      </c>
      <c r="G54" s="7" t="s">
        <v>1193</v>
      </c>
      <c r="H54">
        <v>64</v>
      </c>
      <c r="I54">
        <v>67</v>
      </c>
      <c r="J54">
        <v>78</v>
      </c>
      <c r="K54">
        <v>94</v>
      </c>
      <c r="L54" s="5">
        <f t="shared" si="2"/>
        <v>75.75</v>
      </c>
      <c r="M54">
        <v>55</v>
      </c>
      <c r="N54">
        <v>6</v>
      </c>
      <c r="O54" s="5">
        <f>'Sharkfin Athletic'!M13</f>
        <v>53.962500000000006</v>
      </c>
      <c r="P54" s="5">
        <f>'Sharkfin Athletic'!N13</f>
        <v>53.962500000000006</v>
      </c>
      <c r="Q54" s="11">
        <f>'Sharkfin Athletic'!O13</f>
        <v>71.95</v>
      </c>
      <c r="R54" s="10">
        <f>'Sharkfin Athletic'!P13</f>
        <v>0.11671226654843141</v>
      </c>
      <c r="S54" s="10">
        <f>'Sharkfin Athletic'!Q13</f>
        <v>9.713250000000001E-2</v>
      </c>
      <c r="T54" t="s">
        <v>157</v>
      </c>
      <c r="U54">
        <v>18</v>
      </c>
      <c r="V54">
        <v>101</v>
      </c>
      <c r="W54" s="49">
        <f t="shared" si="3"/>
        <v>46.474999999999994</v>
      </c>
      <c r="X54" t="str">
        <f t="shared" si="1"/>
        <v>Sh83</v>
      </c>
    </row>
    <row r="55" spans="1:24" x14ac:dyDescent="0.25">
      <c r="A55" s="8">
        <v>52</v>
      </c>
      <c r="B55" s="7" t="s">
        <v>28</v>
      </c>
      <c r="C55" s="8" t="s">
        <v>46</v>
      </c>
      <c r="D55" s="7" t="s">
        <v>1194</v>
      </c>
      <c r="E55" s="7" t="s">
        <v>1195</v>
      </c>
      <c r="F55" s="7" t="s">
        <v>1196</v>
      </c>
      <c r="G55" s="7" t="s">
        <v>1197</v>
      </c>
      <c r="H55">
        <v>68</v>
      </c>
      <c r="I55">
        <v>66</v>
      </c>
      <c r="J55">
        <v>80</v>
      </c>
      <c r="K55">
        <v>65</v>
      </c>
      <c r="L55" s="5">
        <f t="shared" si="2"/>
        <v>69.75</v>
      </c>
      <c r="M55">
        <v>62</v>
      </c>
      <c r="N55">
        <v>8</v>
      </c>
      <c r="O55" s="5">
        <f>'Sharkfin Athletic'!M14</f>
        <v>60.480000000000004</v>
      </c>
      <c r="P55" s="5">
        <f>'Sharkfin Athletic'!N14</f>
        <v>40.32</v>
      </c>
      <c r="Q55" s="11">
        <f>'Sharkfin Athletic'!O14</f>
        <v>67.2</v>
      </c>
      <c r="R55" s="10">
        <f>'Sharkfin Athletic'!P14</f>
        <v>0.130808577824399</v>
      </c>
      <c r="S55" s="10">
        <f>'Sharkfin Athletic'!Q14</f>
        <v>0.145152</v>
      </c>
      <c r="T55" t="s">
        <v>157</v>
      </c>
      <c r="U55">
        <v>29</v>
      </c>
      <c r="V55">
        <v>74</v>
      </c>
      <c r="W55" s="49">
        <f t="shared" si="3"/>
        <v>29.5</v>
      </c>
      <c r="X55" t="str">
        <f t="shared" si="1"/>
        <v>Sh83</v>
      </c>
    </row>
    <row r="56" spans="1:24" x14ac:dyDescent="0.25">
      <c r="A56" s="8">
        <v>53</v>
      </c>
      <c r="B56" s="7" t="s">
        <v>28</v>
      </c>
      <c r="C56" s="8" t="s">
        <v>52</v>
      </c>
      <c r="D56" s="7" t="s">
        <v>1198</v>
      </c>
      <c r="E56" s="7" t="s">
        <v>1199</v>
      </c>
      <c r="F56" s="7" t="s">
        <v>1200</v>
      </c>
      <c r="G56" s="7" t="s">
        <v>1201</v>
      </c>
      <c r="H56">
        <v>40</v>
      </c>
      <c r="I56">
        <v>30</v>
      </c>
      <c r="J56">
        <v>81</v>
      </c>
      <c r="K56">
        <v>69</v>
      </c>
      <c r="L56" s="5">
        <f t="shared" si="2"/>
        <v>55</v>
      </c>
      <c r="M56">
        <v>58</v>
      </c>
      <c r="N56">
        <v>13</v>
      </c>
      <c r="O56" s="5">
        <f>'Sharkfin Athletic'!M15</f>
        <v>53.6</v>
      </c>
      <c r="P56" s="5">
        <f>'Sharkfin Athletic'!N15</f>
        <v>16.079999999999998</v>
      </c>
      <c r="Q56" s="11">
        <f>'Sharkfin Athletic'!O15</f>
        <v>53.6</v>
      </c>
      <c r="R56" s="10">
        <f>'Sharkfin Athletic'!P15</f>
        <v>0.15418455515783328</v>
      </c>
      <c r="S56" s="10">
        <f>'Sharkfin Athletic'!Q15</f>
        <v>0.20904</v>
      </c>
      <c r="T56" t="s">
        <v>157</v>
      </c>
      <c r="U56">
        <v>24</v>
      </c>
      <c r="V56">
        <v>69</v>
      </c>
      <c r="W56" s="49">
        <f t="shared" si="3"/>
        <v>20.700000000000003</v>
      </c>
      <c r="X56" t="str">
        <f t="shared" si="1"/>
        <v>Sh83</v>
      </c>
    </row>
    <row r="57" spans="1:24" x14ac:dyDescent="0.25">
      <c r="A57" s="8">
        <v>54</v>
      </c>
      <c r="B57" s="7" t="s">
        <v>28</v>
      </c>
      <c r="C57" s="8" t="s">
        <v>59</v>
      </c>
      <c r="D57" s="7" t="s">
        <v>1202</v>
      </c>
      <c r="E57" s="7" t="s">
        <v>1203</v>
      </c>
      <c r="F57" s="7" t="s">
        <v>1204</v>
      </c>
      <c r="G57" s="7" t="s">
        <v>1205</v>
      </c>
      <c r="H57">
        <v>69</v>
      </c>
      <c r="I57">
        <v>51</v>
      </c>
      <c r="J57">
        <v>94</v>
      </c>
      <c r="K57">
        <v>65</v>
      </c>
      <c r="L57" s="5">
        <f t="shared" si="2"/>
        <v>69.75</v>
      </c>
      <c r="M57">
        <v>55</v>
      </c>
      <c r="N57">
        <v>13</v>
      </c>
      <c r="O57" s="5">
        <f>'Sharkfin Athletic'!M16</f>
        <v>65.8</v>
      </c>
      <c r="P57" s="5">
        <f>'Sharkfin Athletic'!N16</f>
        <v>19.739999999999998</v>
      </c>
      <c r="Q57" s="11">
        <f>'Sharkfin Athletic'!O16</f>
        <v>65.8</v>
      </c>
      <c r="R57" s="10">
        <f>'Sharkfin Athletic'!P16</f>
        <v>0.18927880092136995</v>
      </c>
      <c r="S57" s="10">
        <f>'Sharkfin Athletic'!Q16</f>
        <v>0.25661999999999996</v>
      </c>
      <c r="T57" t="s">
        <v>157</v>
      </c>
      <c r="U57">
        <v>22</v>
      </c>
      <c r="V57">
        <v>82</v>
      </c>
      <c r="W57" s="49">
        <f t="shared" si="3"/>
        <v>33.5</v>
      </c>
      <c r="X57" t="str">
        <f t="shared" si="1"/>
        <v>Sh83</v>
      </c>
    </row>
    <row r="58" spans="1:24" x14ac:dyDescent="0.25">
      <c r="A58" s="8">
        <v>55</v>
      </c>
      <c r="B58" s="7" t="s">
        <v>28</v>
      </c>
      <c r="C58" s="8" t="s">
        <v>53</v>
      </c>
      <c r="D58" s="7" t="s">
        <v>1206</v>
      </c>
      <c r="E58" s="7" t="s">
        <v>1207</v>
      </c>
      <c r="F58" s="7" t="s">
        <v>1208</v>
      </c>
      <c r="G58" s="7" t="s">
        <v>1209</v>
      </c>
      <c r="H58">
        <v>56</v>
      </c>
      <c r="I58">
        <v>58</v>
      </c>
      <c r="J58">
        <v>80</v>
      </c>
      <c r="K58">
        <v>88</v>
      </c>
      <c r="L58" s="5">
        <f t="shared" si="2"/>
        <v>70.5</v>
      </c>
      <c r="M58">
        <v>58</v>
      </c>
      <c r="N58">
        <v>7</v>
      </c>
      <c r="O58" s="5">
        <f>'Sharkfin Athletic'!M17</f>
        <v>71.900000000000006</v>
      </c>
      <c r="P58" s="5">
        <f>'Sharkfin Athletic'!N17</f>
        <v>21.57</v>
      </c>
      <c r="Q58" s="11">
        <f>'Sharkfin Athletic'!O17</f>
        <v>71.900000000000006</v>
      </c>
      <c r="R58" s="10">
        <f>'Sharkfin Athletic'!P17</f>
        <v>0.2068259238031383</v>
      </c>
      <c r="S58" s="10">
        <f>'Sharkfin Athletic'!Q17</f>
        <v>0.15099000000000004</v>
      </c>
      <c r="T58" t="s">
        <v>157</v>
      </c>
      <c r="U58">
        <v>19</v>
      </c>
      <c r="V58">
        <v>97</v>
      </c>
      <c r="W58" s="49">
        <f t="shared" si="3"/>
        <v>44.349999999999994</v>
      </c>
      <c r="X58" t="str">
        <f t="shared" si="1"/>
        <v>Sh83</v>
      </c>
    </row>
    <row r="59" spans="1:24" x14ac:dyDescent="0.25">
      <c r="A59" s="8">
        <v>56</v>
      </c>
      <c r="B59" s="7" t="s">
        <v>27</v>
      </c>
      <c r="C59" s="8" t="s">
        <v>11</v>
      </c>
      <c r="D59" s="7" t="s">
        <v>1131</v>
      </c>
      <c r="E59" s="7" t="s">
        <v>1132</v>
      </c>
      <c r="F59" s="7" t="s">
        <v>1133</v>
      </c>
      <c r="G59" s="7" t="s">
        <v>1134</v>
      </c>
      <c r="H59">
        <v>95</v>
      </c>
      <c r="I59">
        <v>82</v>
      </c>
      <c r="J59">
        <v>64</v>
      </c>
      <c r="K59">
        <v>82</v>
      </c>
      <c r="L59" s="5">
        <f t="shared" si="2"/>
        <v>80.75</v>
      </c>
      <c r="M59">
        <v>81</v>
      </c>
      <c r="N59">
        <v>37</v>
      </c>
      <c r="O59" s="5">
        <f>'Panther Prowlers'!M7</f>
        <v>0</v>
      </c>
      <c r="P59" s="5">
        <f>'Panther Prowlers'!N7</f>
        <v>85.4</v>
      </c>
      <c r="Q59" s="11">
        <f>'Panther Prowlers'!O7</f>
        <v>85.4</v>
      </c>
      <c r="R59" s="10">
        <f>'Panther Prowlers'!P7</f>
        <v>0</v>
      </c>
      <c r="S59" s="10">
        <f>'Panther Prowlers'!Q7</f>
        <v>0</v>
      </c>
      <c r="T59" t="s">
        <v>149</v>
      </c>
      <c r="U59">
        <v>34</v>
      </c>
      <c r="V59">
        <v>87</v>
      </c>
      <c r="W59" s="49">
        <f t="shared" si="3"/>
        <v>44.599999999999994</v>
      </c>
      <c r="X59" t="str">
        <f t="shared" si="1"/>
        <v>Pa80</v>
      </c>
    </row>
    <row r="60" spans="1:24" x14ac:dyDescent="0.25">
      <c r="A60" s="8">
        <v>57</v>
      </c>
      <c r="B60" s="7" t="s">
        <v>27</v>
      </c>
      <c r="C60" s="8" t="s">
        <v>54</v>
      </c>
      <c r="D60" s="7" t="s">
        <v>1135</v>
      </c>
      <c r="E60" s="7" t="s">
        <v>695</v>
      </c>
      <c r="F60" s="7" t="s">
        <v>1136</v>
      </c>
      <c r="G60" s="7" t="s">
        <v>1137</v>
      </c>
      <c r="H60">
        <v>92</v>
      </c>
      <c r="I60">
        <v>75</v>
      </c>
      <c r="J60">
        <v>72</v>
      </c>
      <c r="K60">
        <v>88</v>
      </c>
      <c r="L60" s="5">
        <f t="shared" si="2"/>
        <v>81.75</v>
      </c>
      <c r="M60">
        <v>78</v>
      </c>
      <c r="N60">
        <v>45</v>
      </c>
      <c r="O60" s="5">
        <f>'Panther Prowlers'!M8</f>
        <v>32.160000000000004</v>
      </c>
      <c r="P60" s="5">
        <f>'Panther Prowlers'!N8</f>
        <v>72.360000000000014</v>
      </c>
      <c r="Q60" s="11">
        <f>'Panther Prowlers'!O8</f>
        <v>80.400000000000006</v>
      </c>
      <c r="R60" s="10">
        <f>'Panther Prowlers'!P8</f>
        <v>3.875291134231991E-2</v>
      </c>
      <c r="S60" s="10">
        <f>'Panther Prowlers'!Q8</f>
        <v>0.43416000000000005</v>
      </c>
      <c r="T60" t="s">
        <v>149</v>
      </c>
      <c r="U60">
        <v>25</v>
      </c>
      <c r="V60">
        <v>89</v>
      </c>
      <c r="W60" s="49">
        <f t="shared" si="3"/>
        <v>44</v>
      </c>
      <c r="X60" t="str">
        <f t="shared" si="1"/>
        <v>Pa80</v>
      </c>
    </row>
    <row r="61" spans="1:24" x14ac:dyDescent="0.25">
      <c r="A61" s="8">
        <v>58</v>
      </c>
      <c r="B61" s="7" t="s">
        <v>27</v>
      </c>
      <c r="C61" s="8" t="s">
        <v>56</v>
      </c>
      <c r="D61" s="7" t="s">
        <v>1015</v>
      </c>
      <c r="E61" s="7" t="s">
        <v>1138</v>
      </c>
      <c r="F61" s="7" t="s">
        <v>1139</v>
      </c>
      <c r="G61" s="7" t="s">
        <v>1140</v>
      </c>
      <c r="H61">
        <v>81</v>
      </c>
      <c r="I61">
        <v>74</v>
      </c>
      <c r="J61">
        <v>75</v>
      </c>
      <c r="K61">
        <v>76</v>
      </c>
      <c r="L61" s="5">
        <f t="shared" si="2"/>
        <v>76.5</v>
      </c>
      <c r="M61">
        <v>84</v>
      </c>
      <c r="N61">
        <v>36</v>
      </c>
      <c r="O61" s="5">
        <f>'Panther Prowlers'!M9</f>
        <v>22.724999999999998</v>
      </c>
      <c r="P61" s="5">
        <f>'Panther Prowlers'!N9</f>
        <v>75.75</v>
      </c>
      <c r="Q61" s="11">
        <f>'Panther Prowlers'!O9</f>
        <v>75.75</v>
      </c>
      <c r="R61" s="10">
        <f>'Panther Prowlers'!P9</f>
        <v>2.7383703677059071E-2</v>
      </c>
      <c r="S61" s="10">
        <f>'Panther Prowlers'!Q9</f>
        <v>0.24542999999999998</v>
      </c>
      <c r="T61" t="s">
        <v>149</v>
      </c>
      <c r="U61">
        <v>25</v>
      </c>
      <c r="V61">
        <v>95</v>
      </c>
      <c r="W61" s="49">
        <f t="shared" si="3"/>
        <v>44.674999999999997</v>
      </c>
      <c r="X61" t="str">
        <f t="shared" si="1"/>
        <v>Pa80</v>
      </c>
    </row>
    <row r="62" spans="1:24" x14ac:dyDescent="0.25">
      <c r="A62" s="8">
        <v>59</v>
      </c>
      <c r="B62" s="7" t="s">
        <v>27</v>
      </c>
      <c r="C62" s="8" t="s">
        <v>56</v>
      </c>
      <c r="D62" s="7" t="s">
        <v>1141</v>
      </c>
      <c r="E62" s="7" t="s">
        <v>1142</v>
      </c>
      <c r="F62" s="7" t="s">
        <v>1143</v>
      </c>
      <c r="G62" s="7" t="s">
        <v>1144</v>
      </c>
      <c r="H62">
        <v>84</v>
      </c>
      <c r="I62">
        <v>72</v>
      </c>
      <c r="J62">
        <v>80</v>
      </c>
      <c r="K62">
        <v>84</v>
      </c>
      <c r="L62" s="5">
        <f t="shared" si="2"/>
        <v>80</v>
      </c>
      <c r="M62">
        <v>78</v>
      </c>
      <c r="N62">
        <v>44</v>
      </c>
      <c r="O62" s="5">
        <f>'Panther Prowlers'!M10</f>
        <v>23.969999999999995</v>
      </c>
      <c r="P62" s="5">
        <f>'Panther Prowlers'!N10</f>
        <v>79.899999999999991</v>
      </c>
      <c r="Q62" s="11">
        <f>'Panther Prowlers'!O10</f>
        <v>79.899999999999991</v>
      </c>
      <c r="R62" s="10">
        <f>'Panther Prowlers'!P10</f>
        <v>2.8883932987419404E-2</v>
      </c>
      <c r="S62" s="10">
        <f>'Panther Prowlers'!Q10</f>
        <v>0.31640399999999991</v>
      </c>
      <c r="T62" t="s">
        <v>149</v>
      </c>
      <c r="U62">
        <v>31</v>
      </c>
      <c r="V62">
        <v>86</v>
      </c>
      <c r="W62" s="49">
        <f t="shared" si="3"/>
        <v>41.650000000000006</v>
      </c>
      <c r="X62" t="str">
        <f t="shared" si="1"/>
        <v>Pa80</v>
      </c>
    </row>
    <row r="63" spans="1:24" x14ac:dyDescent="0.25">
      <c r="A63" s="8">
        <v>60</v>
      </c>
      <c r="B63" s="7" t="s">
        <v>27</v>
      </c>
      <c r="C63" s="8" t="s">
        <v>55</v>
      </c>
      <c r="D63" s="7" t="s">
        <v>1145</v>
      </c>
      <c r="E63" s="7" t="s">
        <v>1146</v>
      </c>
      <c r="F63" s="7" t="s">
        <v>1147</v>
      </c>
      <c r="G63" s="7" t="s">
        <v>1148</v>
      </c>
      <c r="H63">
        <v>89</v>
      </c>
      <c r="I63">
        <v>69</v>
      </c>
      <c r="J63">
        <v>61</v>
      </c>
      <c r="K63">
        <v>95</v>
      </c>
      <c r="L63" s="5">
        <f t="shared" si="2"/>
        <v>78.5</v>
      </c>
      <c r="M63">
        <v>79</v>
      </c>
      <c r="N63">
        <v>37</v>
      </c>
      <c r="O63" s="5">
        <f>'Panther Prowlers'!M11</f>
        <v>30.8</v>
      </c>
      <c r="P63" s="5">
        <f>'Panther Prowlers'!N11</f>
        <v>69.3</v>
      </c>
      <c r="Q63" s="11">
        <f>'Panther Prowlers'!O11</f>
        <v>77</v>
      </c>
      <c r="R63" s="10">
        <f>'Panther Prowlers'!P11</f>
        <v>3.7114106633813843E-2</v>
      </c>
      <c r="S63" s="10">
        <f>'Panther Prowlers'!Q11</f>
        <v>0.34187999999999996</v>
      </c>
      <c r="T63" t="s">
        <v>149</v>
      </c>
      <c r="U63">
        <v>27</v>
      </c>
      <c r="V63">
        <v>88</v>
      </c>
      <c r="W63" s="49">
        <f t="shared" si="3"/>
        <v>41.599999999999994</v>
      </c>
      <c r="X63" t="str">
        <f t="shared" si="1"/>
        <v>Pa80</v>
      </c>
    </row>
    <row r="64" spans="1:24" x14ac:dyDescent="0.25">
      <c r="A64" s="8">
        <v>61</v>
      </c>
      <c r="B64" s="7" t="s">
        <v>27</v>
      </c>
      <c r="C64" s="8" t="s">
        <v>45</v>
      </c>
      <c r="D64" s="7" t="s">
        <v>1149</v>
      </c>
      <c r="E64" s="7" t="s">
        <v>1150</v>
      </c>
      <c r="F64" s="7" t="s">
        <v>1151</v>
      </c>
      <c r="G64" s="7" t="s">
        <v>1152</v>
      </c>
      <c r="H64">
        <v>97</v>
      </c>
      <c r="I64">
        <v>85</v>
      </c>
      <c r="J64">
        <v>69</v>
      </c>
      <c r="K64">
        <v>92</v>
      </c>
      <c r="L64" s="5">
        <f t="shared" si="2"/>
        <v>85.75</v>
      </c>
      <c r="M64">
        <v>82</v>
      </c>
      <c r="N64">
        <v>41</v>
      </c>
      <c r="O64" s="5">
        <f>'Panther Prowlers'!M12</f>
        <v>48.87</v>
      </c>
      <c r="P64" s="5">
        <f>'Panther Prowlers'!N12</f>
        <v>73.305000000000007</v>
      </c>
      <c r="Q64" s="11">
        <f>'Panther Prowlers'!O12</f>
        <v>81.45</v>
      </c>
      <c r="R64" s="10">
        <f>'Panther Prowlers'!P12</f>
        <v>8.7893312230785142E-2</v>
      </c>
      <c r="S64" s="10">
        <f>'Panther Prowlers'!Q12</f>
        <v>0.60110099999999989</v>
      </c>
      <c r="T64" t="s">
        <v>149</v>
      </c>
      <c r="U64">
        <v>21</v>
      </c>
      <c r="V64">
        <v>109</v>
      </c>
      <c r="W64" s="49">
        <f t="shared" si="3"/>
        <v>54.925000000000011</v>
      </c>
      <c r="X64" t="str">
        <f t="shared" si="1"/>
        <v>Pa80</v>
      </c>
    </row>
    <row r="65" spans="1:24" x14ac:dyDescent="0.25">
      <c r="A65" s="8">
        <v>62</v>
      </c>
      <c r="B65" s="7" t="s">
        <v>27</v>
      </c>
      <c r="C65" s="8" t="s">
        <v>57</v>
      </c>
      <c r="D65" s="7" t="s">
        <v>1153</v>
      </c>
      <c r="E65" s="7" t="s">
        <v>667</v>
      </c>
      <c r="F65" s="7" t="s">
        <v>668</v>
      </c>
      <c r="G65" s="7" t="s">
        <v>864</v>
      </c>
      <c r="H65">
        <v>88</v>
      </c>
      <c r="I65">
        <v>82</v>
      </c>
      <c r="J65">
        <v>64</v>
      </c>
      <c r="K65">
        <v>80</v>
      </c>
      <c r="L65" s="5">
        <f t="shared" si="2"/>
        <v>78.5</v>
      </c>
      <c r="M65">
        <v>81</v>
      </c>
      <c r="N65">
        <v>45</v>
      </c>
      <c r="O65" s="5">
        <f>'Panther Prowlers'!M13</f>
        <v>60.375</v>
      </c>
      <c r="P65" s="5">
        <f>'Panther Prowlers'!N13</f>
        <v>60.375</v>
      </c>
      <c r="Q65" s="11">
        <f>'Panther Prowlers'!O13</f>
        <v>80.5</v>
      </c>
      <c r="R65" s="10">
        <f>'Panther Prowlers'!P13</f>
        <v>0.10858520003956729</v>
      </c>
      <c r="S65" s="10">
        <f>'Panther Prowlers'!Q13</f>
        <v>0.81506250000000002</v>
      </c>
      <c r="T65" t="s">
        <v>149</v>
      </c>
      <c r="U65">
        <v>33</v>
      </c>
      <c r="V65">
        <v>82</v>
      </c>
      <c r="W65" s="49">
        <f t="shared" si="3"/>
        <v>39.75</v>
      </c>
      <c r="X65" t="str">
        <f t="shared" si="1"/>
        <v>Pa80</v>
      </c>
    </row>
    <row r="66" spans="1:24" x14ac:dyDescent="0.25">
      <c r="A66" s="8">
        <v>63</v>
      </c>
      <c r="B66" s="7" t="s">
        <v>27</v>
      </c>
      <c r="C66" s="8" t="s">
        <v>46</v>
      </c>
      <c r="D66" s="7" t="s">
        <v>1154</v>
      </c>
      <c r="E66" s="7" t="s">
        <v>1155</v>
      </c>
      <c r="F66" s="7" t="s">
        <v>1156</v>
      </c>
      <c r="G66" s="7" t="s">
        <v>1157</v>
      </c>
      <c r="H66">
        <v>92</v>
      </c>
      <c r="I66">
        <v>85</v>
      </c>
      <c r="J66">
        <v>65</v>
      </c>
      <c r="K66">
        <v>82</v>
      </c>
      <c r="L66" s="5">
        <f t="shared" si="2"/>
        <v>81</v>
      </c>
      <c r="M66">
        <v>84</v>
      </c>
      <c r="N66">
        <v>44</v>
      </c>
      <c r="O66" s="5">
        <f>'Panther Prowlers'!M14</f>
        <v>77.265000000000001</v>
      </c>
      <c r="P66" s="5">
        <f>'Panther Prowlers'!N14</f>
        <v>51.51</v>
      </c>
      <c r="Q66" s="11">
        <f>'Panther Prowlers'!O14</f>
        <v>85.85</v>
      </c>
      <c r="R66" s="10">
        <f>'Panther Prowlers'!P14</f>
        <v>0.13896207836119528</v>
      </c>
      <c r="S66" s="10">
        <f>'Panther Prowlers'!Q14</f>
        <v>1.0198980000000002</v>
      </c>
      <c r="T66" t="s">
        <v>149</v>
      </c>
      <c r="U66">
        <v>23</v>
      </c>
      <c r="V66">
        <v>96</v>
      </c>
      <c r="W66" s="49">
        <f t="shared" si="3"/>
        <v>50.424999999999997</v>
      </c>
      <c r="X66" t="str">
        <f t="shared" si="1"/>
        <v>Pa80</v>
      </c>
    </row>
    <row r="67" spans="1:24" x14ac:dyDescent="0.25">
      <c r="A67" s="8">
        <v>64</v>
      </c>
      <c r="B67" s="7" t="s">
        <v>27</v>
      </c>
      <c r="C67" s="8" t="s">
        <v>52</v>
      </c>
      <c r="D67" s="7" t="s">
        <v>1158</v>
      </c>
      <c r="E67" s="7" t="s">
        <v>1159</v>
      </c>
      <c r="F67" s="7" t="s">
        <v>1160</v>
      </c>
      <c r="G67" s="7" t="s">
        <v>1161</v>
      </c>
      <c r="H67">
        <v>84</v>
      </c>
      <c r="I67">
        <v>92</v>
      </c>
      <c r="J67">
        <v>53</v>
      </c>
      <c r="K67">
        <v>92</v>
      </c>
      <c r="L67" s="5">
        <f t="shared" si="2"/>
        <v>80.25</v>
      </c>
      <c r="M67">
        <v>82</v>
      </c>
      <c r="N67">
        <v>37</v>
      </c>
      <c r="O67" s="5">
        <f>'Panther Prowlers'!M15</f>
        <v>87.25</v>
      </c>
      <c r="P67" s="5">
        <f>'Panther Prowlers'!N15</f>
        <v>26.175000000000001</v>
      </c>
      <c r="Q67" s="11">
        <f>'Panther Prowlers'!O15</f>
        <v>87.25</v>
      </c>
      <c r="R67" s="10">
        <f>'Panther Prowlers'!P15</f>
        <v>0.20870390187315091</v>
      </c>
      <c r="S67" s="10">
        <f>'Panther Prowlers'!Q15</f>
        <v>0.96847500000000009</v>
      </c>
      <c r="T67" t="s">
        <v>149</v>
      </c>
      <c r="U67">
        <v>26</v>
      </c>
      <c r="V67">
        <v>101</v>
      </c>
      <c r="W67" s="49">
        <f t="shared" si="3"/>
        <v>53.325000000000003</v>
      </c>
      <c r="X67" t="str">
        <f t="shared" si="1"/>
        <v>Pa80</v>
      </c>
    </row>
    <row r="68" spans="1:24" x14ac:dyDescent="0.25">
      <c r="A68" s="8">
        <v>65</v>
      </c>
      <c r="B68" s="7" t="s">
        <v>27</v>
      </c>
      <c r="C68" s="8" t="s">
        <v>59</v>
      </c>
      <c r="D68" s="7" t="s">
        <v>1162</v>
      </c>
      <c r="E68" s="7" t="s">
        <v>1163</v>
      </c>
      <c r="F68" s="7" t="s">
        <v>1164</v>
      </c>
      <c r="G68" s="7" t="s">
        <v>1165</v>
      </c>
      <c r="H68">
        <v>95</v>
      </c>
      <c r="I68">
        <v>75</v>
      </c>
      <c r="J68">
        <v>48</v>
      </c>
      <c r="K68">
        <v>91</v>
      </c>
      <c r="L68" s="5">
        <f t="shared" si="2"/>
        <v>77.25</v>
      </c>
      <c r="M68">
        <v>79</v>
      </c>
      <c r="N68">
        <v>40</v>
      </c>
      <c r="O68" s="5">
        <f>'Panther Prowlers'!M16</f>
        <v>84.1</v>
      </c>
      <c r="P68" s="5">
        <f>'Panther Prowlers'!N16</f>
        <v>25.229999999999997</v>
      </c>
      <c r="Q68" s="11">
        <f>'Panther Prowlers'!O16</f>
        <v>84.1</v>
      </c>
      <c r="R68" s="10">
        <f>'Panther Prowlers'!P16</f>
        <v>0.20116903320953572</v>
      </c>
      <c r="S68" s="10">
        <f>'Panther Prowlers'!Q16</f>
        <v>1.0092000000000001</v>
      </c>
      <c r="T68" t="s">
        <v>149</v>
      </c>
      <c r="U68">
        <v>22</v>
      </c>
      <c r="V68">
        <v>100</v>
      </c>
      <c r="W68" s="49">
        <f t="shared" si="3"/>
        <v>51.650000000000006</v>
      </c>
      <c r="X68" t="str">
        <f t="shared" si="1"/>
        <v>Pa80</v>
      </c>
    </row>
    <row r="69" spans="1:24" x14ac:dyDescent="0.25">
      <c r="A69" s="8">
        <v>66</v>
      </c>
      <c r="B69" s="7" t="s">
        <v>27</v>
      </c>
      <c r="C69" s="8" t="s">
        <v>53</v>
      </c>
      <c r="D69" s="7" t="s">
        <v>1166</v>
      </c>
      <c r="E69" s="7" t="s">
        <v>1167</v>
      </c>
      <c r="F69" s="7" t="s">
        <v>1168</v>
      </c>
      <c r="G69" s="7" t="s">
        <v>1169</v>
      </c>
      <c r="H69">
        <v>96</v>
      </c>
      <c r="I69">
        <v>79</v>
      </c>
      <c r="J69">
        <v>51</v>
      </c>
      <c r="K69">
        <v>90</v>
      </c>
      <c r="L69" s="5">
        <f t="shared" si="2"/>
        <v>79</v>
      </c>
      <c r="M69">
        <v>77</v>
      </c>
      <c r="N69">
        <v>44</v>
      </c>
      <c r="O69" s="5">
        <f>'Panther Prowlers'!M17</f>
        <v>88.5</v>
      </c>
      <c r="P69" s="5">
        <f>'Panther Prowlers'!N17</f>
        <v>26.55</v>
      </c>
      <c r="Q69" s="11">
        <f>'Panther Prowlers'!O17</f>
        <v>88.5</v>
      </c>
      <c r="R69" s="10">
        <f>'Panther Prowlers'!P17</f>
        <v>0.21169392912061727</v>
      </c>
      <c r="S69" s="10">
        <f>'Panther Prowlers'!Q17</f>
        <v>1.1682000000000001</v>
      </c>
      <c r="T69" t="s">
        <v>149</v>
      </c>
      <c r="U69">
        <v>28</v>
      </c>
      <c r="V69">
        <v>97</v>
      </c>
      <c r="W69" s="49">
        <f t="shared" si="3"/>
        <v>51.75</v>
      </c>
      <c r="X69" t="str">
        <f t="shared" ref="X69:X132" si="4">_xlfn.CONCAT(LEFT(B69,2),CODE(B69))</f>
        <v>Pa80</v>
      </c>
    </row>
    <row r="70" spans="1:24" x14ac:dyDescent="0.25">
      <c r="A70" s="8">
        <v>67</v>
      </c>
      <c r="B70" s="7" t="s">
        <v>29</v>
      </c>
      <c r="C70" s="8" t="s">
        <v>11</v>
      </c>
      <c r="D70" s="7" t="s">
        <v>1087</v>
      </c>
      <c r="E70" s="7" t="s">
        <v>1088</v>
      </c>
      <c r="F70" s="7" t="s">
        <v>1089</v>
      </c>
      <c r="G70" s="7" t="s">
        <v>1090</v>
      </c>
      <c r="H70">
        <v>91</v>
      </c>
      <c r="I70">
        <v>84</v>
      </c>
      <c r="J70">
        <v>51</v>
      </c>
      <c r="K70">
        <v>81</v>
      </c>
      <c r="L70" s="5">
        <f t="shared" si="2"/>
        <v>76.75</v>
      </c>
      <c r="M70">
        <v>78</v>
      </c>
      <c r="N70">
        <v>93</v>
      </c>
      <c r="O70" s="5">
        <f>'Wolfpack Wanderers'!M7</f>
        <v>0</v>
      </c>
      <c r="P70" s="5">
        <f>'Wolfpack Wanderers'!N7</f>
        <v>83.05</v>
      </c>
      <c r="Q70" s="11">
        <f>'Wolfpack Wanderers'!O7</f>
        <v>83.05</v>
      </c>
      <c r="R70" s="10">
        <f>'Wolfpack Wanderers'!P7</f>
        <v>0</v>
      </c>
      <c r="S70" s="10">
        <f>'Wolfpack Wanderers'!Q7</f>
        <v>0</v>
      </c>
      <c r="T70" t="s">
        <v>147</v>
      </c>
      <c r="U70">
        <v>23</v>
      </c>
      <c r="V70">
        <v>102</v>
      </c>
      <c r="W70" s="49">
        <f t="shared" si="3"/>
        <v>52.025000000000006</v>
      </c>
      <c r="X70" t="str">
        <f t="shared" si="4"/>
        <v>Wo87</v>
      </c>
    </row>
    <row r="71" spans="1:24" x14ac:dyDescent="0.25">
      <c r="A71" s="8">
        <v>68</v>
      </c>
      <c r="B71" s="7" t="s">
        <v>29</v>
      </c>
      <c r="C71" s="8" t="s">
        <v>54</v>
      </c>
      <c r="D71" s="7" t="s">
        <v>1091</v>
      </c>
      <c r="E71" s="7" t="s">
        <v>1092</v>
      </c>
      <c r="F71" s="7" t="s">
        <v>1093</v>
      </c>
      <c r="G71" s="7" t="s">
        <v>1094</v>
      </c>
      <c r="H71">
        <v>83</v>
      </c>
      <c r="I71">
        <v>85</v>
      </c>
      <c r="J71">
        <v>56</v>
      </c>
      <c r="K71">
        <v>93</v>
      </c>
      <c r="L71" s="5">
        <f t="shared" si="2"/>
        <v>79.25</v>
      </c>
      <c r="M71">
        <v>81</v>
      </c>
      <c r="N71">
        <v>96</v>
      </c>
      <c r="O71" s="5">
        <f>'Wolfpack Wanderers'!M8</f>
        <v>30.779999999999998</v>
      </c>
      <c r="P71" s="5">
        <f>'Wolfpack Wanderers'!N8</f>
        <v>69.254999999999995</v>
      </c>
      <c r="Q71" s="11">
        <f>'Wolfpack Wanderers'!O8</f>
        <v>76.949999999999989</v>
      </c>
      <c r="R71" s="10">
        <f>'Wolfpack Wanderers'!P8</f>
        <v>3.9701219570888152E-2</v>
      </c>
      <c r="S71" s="10">
        <f>'Wolfpack Wanderers'!Q8</f>
        <v>0.88646399999999992</v>
      </c>
      <c r="T71" t="s">
        <v>147</v>
      </c>
      <c r="U71">
        <v>28</v>
      </c>
      <c r="V71">
        <v>78</v>
      </c>
      <c r="W71" s="49">
        <f t="shared" si="3"/>
        <v>36.474999999999994</v>
      </c>
      <c r="X71" t="str">
        <f t="shared" si="4"/>
        <v>Wo87</v>
      </c>
    </row>
    <row r="72" spans="1:24" x14ac:dyDescent="0.25">
      <c r="A72" s="8">
        <v>69</v>
      </c>
      <c r="B72" s="7" t="s">
        <v>29</v>
      </c>
      <c r="C72" s="8" t="s">
        <v>56</v>
      </c>
      <c r="D72" s="7" t="s">
        <v>1095</v>
      </c>
      <c r="E72" s="7" t="s">
        <v>1096</v>
      </c>
      <c r="F72" s="7" t="s">
        <v>1097</v>
      </c>
      <c r="G72" s="7" t="s">
        <v>1098</v>
      </c>
      <c r="H72">
        <v>87</v>
      </c>
      <c r="I72">
        <v>73</v>
      </c>
      <c r="J72">
        <v>57</v>
      </c>
      <c r="K72">
        <v>68</v>
      </c>
      <c r="L72" s="5">
        <f t="shared" ref="L72:L135" si="5">AVERAGE(H72:K72)</f>
        <v>71.25</v>
      </c>
      <c r="M72">
        <v>81</v>
      </c>
      <c r="N72">
        <v>91</v>
      </c>
      <c r="O72" s="5">
        <f>'Wolfpack Wanderers'!M9</f>
        <v>19.439999999999998</v>
      </c>
      <c r="P72" s="5">
        <f>'Wolfpack Wanderers'!N9</f>
        <v>64.8</v>
      </c>
      <c r="Q72" s="11">
        <f>'Wolfpack Wanderers'!O9</f>
        <v>64.8</v>
      </c>
      <c r="R72" s="10">
        <f>'Wolfpack Wanderers'!P9</f>
        <v>2.5074454465824098E-2</v>
      </c>
      <c r="S72" s="10">
        <f>'Wolfpack Wanderers'!Q9</f>
        <v>0.53071200000000007</v>
      </c>
      <c r="T72" t="s">
        <v>147</v>
      </c>
      <c r="U72">
        <v>31</v>
      </c>
      <c r="V72">
        <v>71</v>
      </c>
      <c r="W72" s="49">
        <f t="shared" si="3"/>
        <v>26.599999999999994</v>
      </c>
      <c r="X72" t="str">
        <f t="shared" si="4"/>
        <v>Wo87</v>
      </c>
    </row>
    <row r="73" spans="1:24" x14ac:dyDescent="0.25">
      <c r="A73" s="8">
        <v>70</v>
      </c>
      <c r="B73" s="7" t="s">
        <v>29</v>
      </c>
      <c r="C73" s="8" t="s">
        <v>56</v>
      </c>
      <c r="D73" s="7" t="s">
        <v>1099</v>
      </c>
      <c r="E73" s="7" t="s">
        <v>1100</v>
      </c>
      <c r="F73" s="7" t="s">
        <v>1101</v>
      </c>
      <c r="G73" s="7" t="s">
        <v>1102</v>
      </c>
      <c r="H73">
        <v>98</v>
      </c>
      <c r="I73">
        <v>77</v>
      </c>
      <c r="J73">
        <v>53</v>
      </c>
      <c r="K73">
        <v>61</v>
      </c>
      <c r="L73" s="5">
        <f t="shared" si="5"/>
        <v>72.25</v>
      </c>
      <c r="M73">
        <v>83</v>
      </c>
      <c r="N73">
        <v>93</v>
      </c>
      <c r="O73" s="5">
        <f>'Wolfpack Wanderers'!M10</f>
        <v>19.027499999999996</v>
      </c>
      <c r="P73" s="5">
        <f>'Wolfpack Wanderers'!N10</f>
        <v>63.42499999999999</v>
      </c>
      <c r="Q73" s="11">
        <f>'Wolfpack Wanderers'!O10</f>
        <v>63.42499999999999</v>
      </c>
      <c r="R73" s="10">
        <f>'Wolfpack Wanderers'!P10</f>
        <v>2.4542396211340946E-2</v>
      </c>
      <c r="S73" s="10">
        <f>'Wolfpack Wanderers'!Q10</f>
        <v>0.53086725000000001</v>
      </c>
      <c r="T73" t="s">
        <v>147</v>
      </c>
      <c r="U73">
        <v>23</v>
      </c>
      <c r="V73">
        <v>72</v>
      </c>
      <c r="W73" s="49">
        <f t="shared" si="3"/>
        <v>27.212499999999991</v>
      </c>
      <c r="X73" t="str">
        <f t="shared" si="4"/>
        <v>Wo87</v>
      </c>
    </row>
    <row r="74" spans="1:24" x14ac:dyDescent="0.25">
      <c r="A74" s="8">
        <v>71</v>
      </c>
      <c r="B74" s="7" t="s">
        <v>29</v>
      </c>
      <c r="C74" s="8" t="s">
        <v>55</v>
      </c>
      <c r="D74" s="7" t="s">
        <v>1103</v>
      </c>
      <c r="E74" s="7" t="s">
        <v>1104</v>
      </c>
      <c r="F74" s="7" t="s">
        <v>1105</v>
      </c>
      <c r="G74" s="7" t="s">
        <v>1106</v>
      </c>
      <c r="H74">
        <v>94</v>
      </c>
      <c r="I74">
        <v>92</v>
      </c>
      <c r="J74">
        <v>53</v>
      </c>
      <c r="K74">
        <v>77</v>
      </c>
      <c r="L74" s="5">
        <f t="shared" si="5"/>
        <v>79</v>
      </c>
      <c r="M74">
        <v>76</v>
      </c>
      <c r="N74">
        <v>92</v>
      </c>
      <c r="O74" s="5">
        <f>'Wolfpack Wanderers'!M11</f>
        <v>29.659999999999997</v>
      </c>
      <c r="P74" s="5">
        <f>'Wolfpack Wanderers'!N11</f>
        <v>66.734999999999999</v>
      </c>
      <c r="Q74" s="11">
        <f>'Wolfpack Wanderers'!O11</f>
        <v>74.149999999999991</v>
      </c>
      <c r="R74" s="10">
        <f>'Wolfpack Wanderers'!P11</f>
        <v>3.8256600795079358E-2</v>
      </c>
      <c r="S74" s="10">
        <f>'Wolfpack Wanderers'!Q11</f>
        <v>0.81861600000000001</v>
      </c>
      <c r="T74" t="s">
        <v>147</v>
      </c>
      <c r="U74">
        <v>30</v>
      </c>
      <c r="V74">
        <v>81</v>
      </c>
      <c r="W74" s="49">
        <f t="shared" si="3"/>
        <v>36.375</v>
      </c>
      <c r="X74" t="str">
        <f t="shared" si="4"/>
        <v>Wo87</v>
      </c>
    </row>
    <row r="75" spans="1:24" x14ac:dyDescent="0.25">
      <c r="A75" s="8">
        <v>72</v>
      </c>
      <c r="B75" s="7" t="s">
        <v>29</v>
      </c>
      <c r="C75" s="8" t="s">
        <v>45</v>
      </c>
      <c r="D75" s="7" t="s">
        <v>1107</v>
      </c>
      <c r="E75" s="7" t="s">
        <v>1108</v>
      </c>
      <c r="F75" s="7" t="s">
        <v>1109</v>
      </c>
      <c r="G75" s="7" t="s">
        <v>1110</v>
      </c>
      <c r="H75">
        <v>90</v>
      </c>
      <c r="I75">
        <v>86</v>
      </c>
      <c r="J75">
        <v>63</v>
      </c>
      <c r="K75">
        <v>73</v>
      </c>
      <c r="L75" s="5">
        <f t="shared" si="5"/>
        <v>78</v>
      </c>
      <c r="M75">
        <v>79</v>
      </c>
      <c r="N75">
        <v>95</v>
      </c>
      <c r="O75" s="5">
        <f>'Wolfpack Wanderers'!M12</f>
        <v>45.27</v>
      </c>
      <c r="P75" s="5">
        <f>'Wolfpack Wanderers'!N12</f>
        <v>67.905000000000001</v>
      </c>
      <c r="Q75" s="11">
        <f>'Wolfpack Wanderers'!O12</f>
        <v>75.45</v>
      </c>
      <c r="R75" s="10">
        <f>'Wolfpack Wanderers'!P12</f>
        <v>8.715070892972307E-2</v>
      </c>
      <c r="S75" s="10">
        <f>'Wolfpack Wanderers'!Q12</f>
        <v>1.2901950000000002</v>
      </c>
      <c r="T75" t="s">
        <v>147</v>
      </c>
      <c r="U75">
        <v>27</v>
      </c>
      <c r="V75">
        <v>87</v>
      </c>
      <c r="W75" s="49">
        <f t="shared" si="3"/>
        <v>40.325000000000003</v>
      </c>
      <c r="X75" t="str">
        <f t="shared" si="4"/>
        <v>Wo87</v>
      </c>
    </row>
    <row r="76" spans="1:24" x14ac:dyDescent="0.25">
      <c r="A76" s="8">
        <v>73</v>
      </c>
      <c r="B76" s="7" t="s">
        <v>29</v>
      </c>
      <c r="C76" s="8" t="s">
        <v>57</v>
      </c>
      <c r="D76" s="7" t="s">
        <v>1111</v>
      </c>
      <c r="E76" s="7" t="s">
        <v>1112</v>
      </c>
      <c r="F76" s="7" t="s">
        <v>1113</v>
      </c>
      <c r="G76" s="7" t="s">
        <v>1114</v>
      </c>
      <c r="H76">
        <v>92</v>
      </c>
      <c r="I76">
        <v>97</v>
      </c>
      <c r="J76">
        <v>60</v>
      </c>
      <c r="K76">
        <v>70</v>
      </c>
      <c r="L76" s="5">
        <f t="shared" si="5"/>
        <v>79.75</v>
      </c>
      <c r="M76">
        <v>81</v>
      </c>
      <c r="N76">
        <v>92</v>
      </c>
      <c r="O76" s="5">
        <f>'Wolfpack Wanderers'!M13</f>
        <v>64.612500000000011</v>
      </c>
      <c r="P76" s="5">
        <f>'Wolfpack Wanderers'!N13</f>
        <v>64.612500000000011</v>
      </c>
      <c r="Q76" s="11">
        <f>'Wolfpack Wanderers'!O13</f>
        <v>86.15</v>
      </c>
      <c r="R76" s="10">
        <f>'Wolfpack Wanderers'!P13</f>
        <v>0.12438756749992781</v>
      </c>
      <c r="S76" s="10">
        <f>'Wolfpack Wanderers'!Q13</f>
        <v>1.7833050000000001</v>
      </c>
      <c r="T76" t="s">
        <v>147</v>
      </c>
      <c r="U76">
        <v>20</v>
      </c>
      <c r="V76">
        <v>109</v>
      </c>
      <c r="W76" s="49">
        <f t="shared" si="3"/>
        <v>57.375</v>
      </c>
      <c r="X76" t="str">
        <f t="shared" si="4"/>
        <v>Wo87</v>
      </c>
    </row>
    <row r="77" spans="1:24" x14ac:dyDescent="0.25">
      <c r="A77" s="8">
        <v>74</v>
      </c>
      <c r="B77" s="7" t="s">
        <v>29</v>
      </c>
      <c r="C77" s="8" t="s">
        <v>46</v>
      </c>
      <c r="D77" s="7" t="s">
        <v>1115</v>
      </c>
      <c r="E77" s="7" t="s">
        <v>1116</v>
      </c>
      <c r="F77" s="7" t="s">
        <v>1117</v>
      </c>
      <c r="G77" s="7" t="s">
        <v>1118</v>
      </c>
      <c r="H77">
        <v>79</v>
      </c>
      <c r="I77">
        <v>99</v>
      </c>
      <c r="J77">
        <v>66</v>
      </c>
      <c r="K77">
        <v>67</v>
      </c>
      <c r="L77" s="5">
        <f t="shared" si="5"/>
        <v>77.75</v>
      </c>
      <c r="M77">
        <v>80</v>
      </c>
      <c r="N77">
        <v>93</v>
      </c>
      <c r="O77" s="5">
        <f>'Wolfpack Wanderers'!M14</f>
        <v>75.555000000000007</v>
      </c>
      <c r="P77" s="5">
        <f>'Wolfpack Wanderers'!N14</f>
        <v>50.37</v>
      </c>
      <c r="Q77" s="11">
        <f>'Wolfpack Wanderers'!O14</f>
        <v>83.95</v>
      </c>
      <c r="R77" s="10">
        <f>'Wolfpack Wanderers'!P14</f>
        <v>0.14545332037078035</v>
      </c>
      <c r="S77" s="10">
        <f>'Wolfpack Wanderers'!Q14</f>
        <v>2.1079845000000001</v>
      </c>
      <c r="T77" t="s">
        <v>147</v>
      </c>
      <c r="U77">
        <v>26</v>
      </c>
      <c r="V77">
        <v>93</v>
      </c>
      <c r="W77" s="49">
        <f t="shared" si="3"/>
        <v>47.675000000000011</v>
      </c>
      <c r="X77" t="str">
        <f t="shared" si="4"/>
        <v>Wo87</v>
      </c>
    </row>
    <row r="78" spans="1:24" x14ac:dyDescent="0.25">
      <c r="A78" s="8">
        <v>75</v>
      </c>
      <c r="B78" s="7" t="s">
        <v>29</v>
      </c>
      <c r="C78" s="8" t="s">
        <v>52</v>
      </c>
      <c r="D78" s="7" t="s">
        <v>1119</v>
      </c>
      <c r="E78" s="7" t="s">
        <v>1120</v>
      </c>
      <c r="F78" s="7" t="s">
        <v>1121</v>
      </c>
      <c r="G78" s="7" t="s">
        <v>1122</v>
      </c>
      <c r="H78">
        <v>87</v>
      </c>
      <c r="I78">
        <v>66</v>
      </c>
      <c r="J78">
        <v>49</v>
      </c>
      <c r="K78">
        <v>89</v>
      </c>
      <c r="L78" s="5">
        <f t="shared" si="5"/>
        <v>72.75</v>
      </c>
      <c r="M78">
        <v>84</v>
      </c>
      <c r="N78">
        <v>91</v>
      </c>
      <c r="O78" s="5">
        <f>'Wolfpack Wanderers'!M15</f>
        <v>82.850000000000009</v>
      </c>
      <c r="P78" s="5">
        <f>'Wolfpack Wanderers'!N15</f>
        <v>24.855</v>
      </c>
      <c r="Q78" s="11">
        <f>'Wolfpack Wanderers'!O15</f>
        <v>82.850000000000009</v>
      </c>
      <c r="R78" s="10">
        <f>'Wolfpack Wanderers'!P15</f>
        <v>0.21213121697196047</v>
      </c>
      <c r="S78" s="10">
        <f>'Wolfpack Wanderers'!Q15</f>
        <v>2.2618050000000003</v>
      </c>
      <c r="T78" t="s">
        <v>147</v>
      </c>
      <c r="U78">
        <v>25</v>
      </c>
      <c r="V78">
        <v>85</v>
      </c>
      <c r="W78" s="49">
        <f t="shared" si="3"/>
        <v>43.224999999999994</v>
      </c>
      <c r="X78" t="str">
        <f t="shared" si="4"/>
        <v>Wo87</v>
      </c>
    </row>
    <row r="79" spans="1:24" x14ac:dyDescent="0.25">
      <c r="A79" s="8">
        <v>76</v>
      </c>
      <c r="B79" s="7" t="s">
        <v>29</v>
      </c>
      <c r="C79" s="8" t="s">
        <v>59</v>
      </c>
      <c r="D79" s="7" t="s">
        <v>1123</v>
      </c>
      <c r="E79" s="7" t="s">
        <v>1124</v>
      </c>
      <c r="F79" s="7" t="s">
        <v>1125</v>
      </c>
      <c r="G79" s="7" t="s">
        <v>1126</v>
      </c>
      <c r="H79">
        <v>85</v>
      </c>
      <c r="I79">
        <v>90</v>
      </c>
      <c r="J79">
        <v>50</v>
      </c>
      <c r="K79">
        <v>89</v>
      </c>
      <c r="L79" s="5">
        <f t="shared" si="5"/>
        <v>78.5</v>
      </c>
      <c r="M79">
        <v>76</v>
      </c>
      <c r="N79">
        <v>98</v>
      </c>
      <c r="O79" s="5">
        <f>'Wolfpack Wanderers'!M16</f>
        <v>83.95</v>
      </c>
      <c r="P79" s="5">
        <f>'Wolfpack Wanderers'!N16</f>
        <v>25.184999999999999</v>
      </c>
      <c r="Q79" s="11">
        <f>'Wolfpack Wanderers'!O16</f>
        <v>83.95</v>
      </c>
      <c r="R79" s="10">
        <f>'Wolfpack Wanderers'!P16</f>
        <v>0.21494768454793095</v>
      </c>
      <c r="S79" s="10">
        <f>'Wolfpack Wanderers'!Q16</f>
        <v>2.4681300000000004</v>
      </c>
      <c r="T79" t="s">
        <v>147</v>
      </c>
      <c r="U79">
        <v>23</v>
      </c>
      <c r="V79">
        <v>85</v>
      </c>
      <c r="W79" s="49">
        <f t="shared" si="3"/>
        <v>43.974999999999994</v>
      </c>
      <c r="X79" t="str">
        <f t="shared" si="4"/>
        <v>Wo87</v>
      </c>
    </row>
    <row r="80" spans="1:24" x14ac:dyDescent="0.25">
      <c r="A80" s="8">
        <v>77</v>
      </c>
      <c r="B80" s="7" t="s">
        <v>29</v>
      </c>
      <c r="C80" s="8" t="s">
        <v>53</v>
      </c>
      <c r="D80" s="7" t="s">
        <v>1127</v>
      </c>
      <c r="E80" s="7" t="s">
        <v>1128</v>
      </c>
      <c r="F80" s="7" t="s">
        <v>1129</v>
      </c>
      <c r="G80" s="7" t="s">
        <v>1130</v>
      </c>
      <c r="H80">
        <v>86</v>
      </c>
      <c r="I80">
        <v>70</v>
      </c>
      <c r="J80">
        <v>32</v>
      </c>
      <c r="K80">
        <v>58</v>
      </c>
      <c r="L80" s="5">
        <f t="shared" si="5"/>
        <v>61.5</v>
      </c>
      <c r="M80">
        <v>76</v>
      </c>
      <c r="N80">
        <v>96</v>
      </c>
      <c r="O80" s="5">
        <f>'Wolfpack Wanderers'!M17</f>
        <v>68.3</v>
      </c>
      <c r="P80" s="5">
        <f>'Wolfpack Wanderers'!N17</f>
        <v>20.49</v>
      </c>
      <c r="Q80" s="11">
        <f>'Wolfpack Wanderers'!O17</f>
        <v>68.3</v>
      </c>
      <c r="R80" s="10">
        <f>'Wolfpack Wanderers'!P17</f>
        <v>0.17487703221707784</v>
      </c>
      <c r="S80" s="10">
        <f>'Wolfpack Wanderers'!Q17</f>
        <v>1.9670399999999999</v>
      </c>
      <c r="T80" t="s">
        <v>147</v>
      </c>
      <c r="U80">
        <v>29</v>
      </c>
      <c r="V80">
        <v>69</v>
      </c>
      <c r="W80" s="49">
        <f t="shared" si="3"/>
        <v>27.549999999999997</v>
      </c>
      <c r="X80" t="str">
        <f t="shared" si="4"/>
        <v>Wo87</v>
      </c>
    </row>
    <row r="81" spans="1:24" x14ac:dyDescent="0.25">
      <c r="A81" s="8">
        <v>78</v>
      </c>
      <c r="B81" s="7" t="s">
        <v>30</v>
      </c>
      <c r="C81" s="8" t="s">
        <v>11</v>
      </c>
      <c r="D81" s="7" t="s">
        <v>1046</v>
      </c>
      <c r="E81" s="7" t="s">
        <v>1047</v>
      </c>
      <c r="F81" s="7" t="s">
        <v>1048</v>
      </c>
      <c r="G81" s="7" t="s">
        <v>1049</v>
      </c>
      <c r="H81">
        <v>4</v>
      </c>
      <c r="I81">
        <v>58</v>
      </c>
      <c r="J81">
        <v>92</v>
      </c>
      <c r="K81">
        <v>66</v>
      </c>
      <c r="L81" s="5">
        <f t="shared" si="5"/>
        <v>55</v>
      </c>
      <c r="M81">
        <v>38</v>
      </c>
      <c r="N81">
        <v>33</v>
      </c>
      <c r="O81" s="5">
        <f>'Rhino Rampage'!M7</f>
        <v>0</v>
      </c>
      <c r="P81" s="5">
        <f>'Rhino Rampage'!N7</f>
        <v>41</v>
      </c>
      <c r="Q81" s="11">
        <f>'Rhino Rampage'!O7</f>
        <v>41</v>
      </c>
      <c r="R81" s="10">
        <f>'Rhino Rampage'!P7</f>
        <v>0</v>
      </c>
      <c r="S81" s="10">
        <f>'Rhino Rampage'!Q7</f>
        <v>0</v>
      </c>
      <c r="T81" t="s">
        <v>139</v>
      </c>
      <c r="U81">
        <v>28</v>
      </c>
      <c r="V81">
        <v>50</v>
      </c>
      <c r="W81" s="49">
        <f t="shared" si="3"/>
        <v>4.5</v>
      </c>
      <c r="X81" t="str">
        <f t="shared" si="4"/>
        <v>Rh82</v>
      </c>
    </row>
    <row r="82" spans="1:24" x14ac:dyDescent="0.25">
      <c r="A82" s="8">
        <v>79</v>
      </c>
      <c r="B82" s="7" t="s">
        <v>30</v>
      </c>
      <c r="C82" s="8" t="s">
        <v>54</v>
      </c>
      <c r="D82" s="7" t="s">
        <v>1050</v>
      </c>
      <c r="E82" s="7" t="s">
        <v>1051</v>
      </c>
      <c r="F82" s="7" t="s">
        <v>1052</v>
      </c>
      <c r="G82" s="7" t="s">
        <v>641</v>
      </c>
      <c r="H82">
        <v>20</v>
      </c>
      <c r="I82">
        <v>31</v>
      </c>
      <c r="J82">
        <v>97</v>
      </c>
      <c r="K82">
        <v>64</v>
      </c>
      <c r="L82" s="5">
        <f t="shared" si="5"/>
        <v>53</v>
      </c>
      <c r="M82">
        <v>38</v>
      </c>
      <c r="N82">
        <v>28</v>
      </c>
      <c r="O82" s="5">
        <f>'Rhino Rampage'!M8</f>
        <v>24.939999999999998</v>
      </c>
      <c r="P82" s="5">
        <f>'Rhino Rampage'!N8</f>
        <v>56.114999999999995</v>
      </c>
      <c r="Q82" s="11">
        <f>'Rhino Rampage'!O8</f>
        <v>62.349999999999994</v>
      </c>
      <c r="R82" s="10">
        <f>'Rhino Rampage'!P8</f>
        <v>5.4436408652593173E-2</v>
      </c>
      <c r="S82" s="10">
        <f>'Rhino Rampage'!Q8</f>
        <v>0.20949600000000002</v>
      </c>
      <c r="T82" t="s">
        <v>139</v>
      </c>
      <c r="U82">
        <v>21</v>
      </c>
      <c r="V82">
        <v>76</v>
      </c>
      <c r="W82" s="49">
        <f t="shared" ref="W82:W145" si="6">IF((Q82*0.5)+((V82*0.5)-((U82-18)*0.1))-40&lt;0,"0",(Q82*0.5)+((V82*0.5)-((U82-18)*0.1))-40)</f>
        <v>28.875</v>
      </c>
      <c r="X82" t="str">
        <f t="shared" si="4"/>
        <v>Rh82</v>
      </c>
    </row>
    <row r="83" spans="1:24" x14ac:dyDescent="0.25">
      <c r="A83" s="8">
        <v>80</v>
      </c>
      <c r="B83" s="7" t="s">
        <v>30</v>
      </c>
      <c r="C83" s="8" t="s">
        <v>56</v>
      </c>
      <c r="D83" s="7" t="s">
        <v>1053</v>
      </c>
      <c r="E83" s="7" t="s">
        <v>1054</v>
      </c>
      <c r="F83" s="7" t="s">
        <v>1055</v>
      </c>
      <c r="G83" s="7" t="s">
        <v>1056</v>
      </c>
      <c r="H83">
        <v>22</v>
      </c>
      <c r="I83">
        <v>40</v>
      </c>
      <c r="J83">
        <v>87</v>
      </c>
      <c r="K83">
        <v>41</v>
      </c>
      <c r="L83" s="5">
        <f t="shared" si="5"/>
        <v>47.5</v>
      </c>
      <c r="M83">
        <v>36</v>
      </c>
      <c r="N83">
        <v>31</v>
      </c>
      <c r="O83" s="5">
        <f>'Rhino Rampage'!M9</f>
        <v>19.477499999999999</v>
      </c>
      <c r="P83" s="5">
        <f>'Rhino Rampage'!N9</f>
        <v>64.924999999999997</v>
      </c>
      <c r="Q83" s="11">
        <f>'Rhino Rampage'!O9</f>
        <v>64.924999999999997</v>
      </c>
      <c r="R83" s="10">
        <f>'Rhino Rampage'!P9</f>
        <v>4.2513438232994534E-2</v>
      </c>
      <c r="S83" s="10">
        <f>'Rhino Rampage'!Q9</f>
        <v>0.18114075000000002</v>
      </c>
      <c r="T83" t="s">
        <v>139</v>
      </c>
      <c r="U83">
        <v>20</v>
      </c>
      <c r="V83">
        <v>65</v>
      </c>
      <c r="W83" s="49">
        <f t="shared" si="6"/>
        <v>24.762499999999989</v>
      </c>
      <c r="X83" t="str">
        <f t="shared" si="4"/>
        <v>Rh82</v>
      </c>
    </row>
    <row r="84" spans="1:24" x14ac:dyDescent="0.25">
      <c r="A84" s="8">
        <v>81</v>
      </c>
      <c r="B84" s="7" t="s">
        <v>30</v>
      </c>
      <c r="C84" s="8" t="s">
        <v>56</v>
      </c>
      <c r="D84" s="7" t="s">
        <v>1057</v>
      </c>
      <c r="E84" s="7" t="s">
        <v>1058</v>
      </c>
      <c r="F84" s="7" t="s">
        <v>1059</v>
      </c>
      <c r="G84" s="7" t="s">
        <v>1060</v>
      </c>
      <c r="H84">
        <v>23</v>
      </c>
      <c r="I84">
        <v>38</v>
      </c>
      <c r="J84">
        <v>99</v>
      </c>
      <c r="K84">
        <v>47</v>
      </c>
      <c r="L84" s="5">
        <f t="shared" si="5"/>
        <v>51.75</v>
      </c>
      <c r="M84">
        <v>36</v>
      </c>
      <c r="N84">
        <v>27</v>
      </c>
      <c r="O84" s="5">
        <f>'Rhino Rampage'!M10</f>
        <v>21.764999999999997</v>
      </c>
      <c r="P84" s="5">
        <f>'Rhino Rampage'!N10</f>
        <v>72.55</v>
      </c>
      <c r="Q84" s="11">
        <f>'Rhino Rampage'!O10</f>
        <v>72.55</v>
      </c>
      <c r="R84" s="10">
        <f>'Rhino Rampage'!P10</f>
        <v>4.7506352619233777E-2</v>
      </c>
      <c r="S84" s="10">
        <f>'Rhino Rampage'!Q10</f>
        <v>0.17629649999999999</v>
      </c>
      <c r="T84" t="s">
        <v>139</v>
      </c>
      <c r="U84">
        <v>19</v>
      </c>
      <c r="V84">
        <v>92</v>
      </c>
      <c r="W84" s="49">
        <f t="shared" si="6"/>
        <v>42.174999999999997</v>
      </c>
      <c r="X84" t="str">
        <f t="shared" si="4"/>
        <v>Rh82</v>
      </c>
    </row>
    <row r="85" spans="1:24" x14ac:dyDescent="0.25">
      <c r="A85" s="8">
        <v>82</v>
      </c>
      <c r="B85" s="7" t="s">
        <v>30</v>
      </c>
      <c r="C85" s="8" t="s">
        <v>55</v>
      </c>
      <c r="D85" s="7" t="s">
        <v>1061</v>
      </c>
      <c r="E85" s="7" t="s">
        <v>1062</v>
      </c>
      <c r="F85" s="7" t="s">
        <v>1063</v>
      </c>
      <c r="G85" s="7" t="s">
        <v>1064</v>
      </c>
      <c r="H85">
        <v>25</v>
      </c>
      <c r="I85">
        <v>57</v>
      </c>
      <c r="J85">
        <v>74</v>
      </c>
      <c r="K85">
        <v>67</v>
      </c>
      <c r="L85" s="5">
        <f t="shared" si="5"/>
        <v>55.75</v>
      </c>
      <c r="M85">
        <v>45</v>
      </c>
      <c r="N85">
        <v>26</v>
      </c>
      <c r="O85" s="5">
        <f>'Rhino Rampage'!M11</f>
        <v>24.459999999999997</v>
      </c>
      <c r="P85" s="5">
        <f>'Rhino Rampage'!N11</f>
        <v>55.034999999999997</v>
      </c>
      <c r="Q85" s="11">
        <f>'Rhino Rampage'!O11</f>
        <v>61.149999999999991</v>
      </c>
      <c r="R85" s="10">
        <f>'Rhino Rampage'!P11</f>
        <v>5.3388715142038044E-2</v>
      </c>
      <c r="S85" s="10">
        <f>'Rhino Rampage'!Q11</f>
        <v>0.19078800000000001</v>
      </c>
      <c r="T85" t="s">
        <v>139</v>
      </c>
      <c r="U85">
        <v>27</v>
      </c>
      <c r="V85">
        <v>64</v>
      </c>
      <c r="W85" s="49">
        <f t="shared" si="6"/>
        <v>21.674999999999997</v>
      </c>
      <c r="X85" t="str">
        <f t="shared" si="4"/>
        <v>Rh82</v>
      </c>
    </row>
    <row r="86" spans="1:24" x14ac:dyDescent="0.25">
      <c r="A86" s="8">
        <v>83</v>
      </c>
      <c r="B86" s="7" t="s">
        <v>30</v>
      </c>
      <c r="C86" s="8" t="s">
        <v>45</v>
      </c>
      <c r="D86" s="7" t="s">
        <v>1065</v>
      </c>
      <c r="E86" s="7" t="s">
        <v>1066</v>
      </c>
      <c r="F86" s="7" t="s">
        <v>1067</v>
      </c>
      <c r="G86" s="7" t="s">
        <v>1068</v>
      </c>
      <c r="H86">
        <v>26</v>
      </c>
      <c r="I86">
        <v>30</v>
      </c>
      <c r="J86">
        <v>89</v>
      </c>
      <c r="K86">
        <v>64</v>
      </c>
      <c r="L86" s="5">
        <f t="shared" si="5"/>
        <v>52.25</v>
      </c>
      <c r="M86">
        <v>35</v>
      </c>
      <c r="N86">
        <v>32</v>
      </c>
      <c r="O86" s="5">
        <f>'Rhino Rampage'!M12</f>
        <v>34.86</v>
      </c>
      <c r="P86" s="5">
        <f>'Rhino Rampage'!N12</f>
        <v>52.29</v>
      </c>
      <c r="Q86" s="11">
        <f>'Rhino Rampage'!O12</f>
        <v>58.1</v>
      </c>
      <c r="R86" s="10">
        <f>'Rhino Rampage'!P12</f>
        <v>0.1135652853792025</v>
      </c>
      <c r="S86" s="10">
        <f>'Rhino Rampage'!Q12</f>
        <v>0.33465600000000006</v>
      </c>
      <c r="T86" t="s">
        <v>139</v>
      </c>
      <c r="U86">
        <v>24</v>
      </c>
      <c r="V86">
        <v>68</v>
      </c>
      <c r="W86" s="49">
        <f t="shared" si="6"/>
        <v>22.450000000000003</v>
      </c>
      <c r="X86" t="str">
        <f t="shared" si="4"/>
        <v>Rh82</v>
      </c>
    </row>
    <row r="87" spans="1:24" x14ac:dyDescent="0.25">
      <c r="A87" s="8">
        <v>84</v>
      </c>
      <c r="B87" s="7" t="s">
        <v>30</v>
      </c>
      <c r="C87" s="8" t="s">
        <v>57</v>
      </c>
      <c r="D87" s="7" t="s">
        <v>1069</v>
      </c>
      <c r="E87" s="7" t="s">
        <v>1070</v>
      </c>
      <c r="F87" s="7" t="s">
        <v>1071</v>
      </c>
      <c r="G87" s="7" t="s">
        <v>665</v>
      </c>
      <c r="H87">
        <v>14</v>
      </c>
      <c r="I87">
        <v>44</v>
      </c>
      <c r="J87">
        <v>83</v>
      </c>
      <c r="K87">
        <v>44</v>
      </c>
      <c r="L87" s="5">
        <f t="shared" si="5"/>
        <v>46.25</v>
      </c>
      <c r="M87">
        <v>45</v>
      </c>
      <c r="N87">
        <v>33</v>
      </c>
      <c r="O87" s="5">
        <f>'Rhino Rampage'!M13</f>
        <v>31.762500000000003</v>
      </c>
      <c r="P87" s="5">
        <f>'Rhino Rampage'!N13</f>
        <v>31.762500000000003</v>
      </c>
      <c r="Q87" s="11">
        <f>'Rhino Rampage'!O13</f>
        <v>42.35</v>
      </c>
      <c r="R87" s="10">
        <f>'Rhino Rampage'!P13</f>
        <v>0.10347439405785772</v>
      </c>
      <c r="S87" s="10">
        <f>'Rhino Rampage'!Q13</f>
        <v>0.31444875000000005</v>
      </c>
      <c r="T87" t="s">
        <v>139</v>
      </c>
      <c r="U87">
        <v>32</v>
      </c>
      <c r="V87">
        <v>45</v>
      </c>
      <c r="W87" s="49">
        <f t="shared" si="6"/>
        <v>2.2750000000000057</v>
      </c>
      <c r="X87" t="str">
        <f t="shared" si="4"/>
        <v>Rh82</v>
      </c>
    </row>
    <row r="88" spans="1:24" x14ac:dyDescent="0.25">
      <c r="A88" s="8">
        <v>85</v>
      </c>
      <c r="B88" s="7" t="s">
        <v>30</v>
      </c>
      <c r="C88" s="8" t="s">
        <v>46</v>
      </c>
      <c r="D88" s="7" t="s">
        <v>1072</v>
      </c>
      <c r="E88" s="7" t="s">
        <v>1073</v>
      </c>
      <c r="F88" s="7" t="s">
        <v>1074</v>
      </c>
      <c r="G88" s="7" t="s">
        <v>1075</v>
      </c>
      <c r="H88">
        <v>22</v>
      </c>
      <c r="I88">
        <v>30</v>
      </c>
      <c r="J88">
        <v>83</v>
      </c>
      <c r="K88">
        <v>36</v>
      </c>
      <c r="L88" s="5">
        <f t="shared" si="5"/>
        <v>42.75</v>
      </c>
      <c r="M88">
        <v>37</v>
      </c>
      <c r="N88">
        <v>28</v>
      </c>
      <c r="O88" s="5">
        <f>'Rhino Rampage'!M14</f>
        <v>27.945</v>
      </c>
      <c r="P88" s="5">
        <f>'Rhino Rampage'!N14</f>
        <v>18.63</v>
      </c>
      <c r="Q88" s="11">
        <f>'Rhino Rampage'!O14</f>
        <v>31.05</v>
      </c>
      <c r="R88" s="10">
        <f>'Rhino Rampage'!P14</f>
        <v>9.103792025019547E-2</v>
      </c>
      <c r="S88" s="10">
        <f>'Rhino Rampage'!Q14</f>
        <v>0.234738</v>
      </c>
      <c r="T88" t="s">
        <v>139</v>
      </c>
      <c r="U88">
        <v>31</v>
      </c>
      <c r="V88">
        <v>34</v>
      </c>
      <c r="W88" s="49" t="str">
        <f t="shared" si="6"/>
        <v>0</v>
      </c>
      <c r="X88" t="str">
        <f t="shared" si="4"/>
        <v>Rh82</v>
      </c>
    </row>
    <row r="89" spans="1:24" x14ac:dyDescent="0.25">
      <c r="A89" s="8">
        <v>86</v>
      </c>
      <c r="B89" s="7" t="s">
        <v>30</v>
      </c>
      <c r="C89" s="8" t="s">
        <v>52</v>
      </c>
      <c r="D89" s="7" t="s">
        <v>1076</v>
      </c>
      <c r="E89" s="7" t="s">
        <v>1077</v>
      </c>
      <c r="F89" s="7" t="s">
        <v>1078</v>
      </c>
      <c r="G89" s="7" t="s">
        <v>1079</v>
      </c>
      <c r="H89">
        <v>12</v>
      </c>
      <c r="I89">
        <v>55</v>
      </c>
      <c r="J89">
        <v>100</v>
      </c>
      <c r="K89">
        <v>56</v>
      </c>
      <c r="L89" s="5">
        <f t="shared" si="5"/>
        <v>55.75</v>
      </c>
      <c r="M89">
        <v>45</v>
      </c>
      <c r="N89">
        <v>31</v>
      </c>
      <c r="O89" s="5">
        <f>'Rhino Rampage'!M15</f>
        <v>42.65</v>
      </c>
      <c r="P89" s="5">
        <f>'Rhino Rampage'!N15</f>
        <v>12.795</v>
      </c>
      <c r="Q89" s="11">
        <f>'Rhino Rampage'!O15</f>
        <v>42.65</v>
      </c>
      <c r="R89" s="10">
        <f>'Rhino Rampage'!P15</f>
        <v>0.18479443575710194</v>
      </c>
      <c r="S89" s="10">
        <f>'Rhino Rampage'!Q15</f>
        <v>0.39664500000000003</v>
      </c>
      <c r="T89" t="s">
        <v>139</v>
      </c>
      <c r="U89">
        <v>26</v>
      </c>
      <c r="V89">
        <v>50</v>
      </c>
      <c r="W89" s="49">
        <f t="shared" si="6"/>
        <v>5.5249999999999986</v>
      </c>
      <c r="X89" t="str">
        <f t="shared" si="4"/>
        <v>Rh82</v>
      </c>
    </row>
    <row r="90" spans="1:24" x14ac:dyDescent="0.25">
      <c r="A90" s="8">
        <v>87</v>
      </c>
      <c r="B90" s="7" t="s">
        <v>30</v>
      </c>
      <c r="C90" s="8" t="s">
        <v>59</v>
      </c>
      <c r="D90" s="7" t="s">
        <v>1080</v>
      </c>
      <c r="E90" s="7" t="s">
        <v>1081</v>
      </c>
      <c r="F90" s="7" t="s">
        <v>1082</v>
      </c>
      <c r="G90" s="7" t="s">
        <v>1083</v>
      </c>
      <c r="H90">
        <v>39</v>
      </c>
      <c r="I90">
        <v>33</v>
      </c>
      <c r="J90">
        <v>93</v>
      </c>
      <c r="K90">
        <v>39</v>
      </c>
      <c r="L90" s="5">
        <f t="shared" si="5"/>
        <v>51</v>
      </c>
      <c r="M90">
        <v>41</v>
      </c>
      <c r="N90">
        <v>34</v>
      </c>
      <c r="O90" s="5">
        <f>'Rhino Rampage'!M16</f>
        <v>42.9</v>
      </c>
      <c r="P90" s="5">
        <f>'Rhino Rampage'!N16</f>
        <v>12.87</v>
      </c>
      <c r="Q90" s="11">
        <f>'Rhino Rampage'!O16</f>
        <v>42.9</v>
      </c>
      <c r="R90" s="10">
        <f>'Rhino Rampage'!P16</f>
        <v>0.18587763878029714</v>
      </c>
      <c r="S90" s="10">
        <f>'Rhino Rampage'!Q16</f>
        <v>0.43758000000000008</v>
      </c>
      <c r="T90" t="s">
        <v>139</v>
      </c>
      <c r="U90">
        <v>29</v>
      </c>
      <c r="V90">
        <v>47</v>
      </c>
      <c r="W90" s="49">
        <f t="shared" si="6"/>
        <v>3.8499999999999943</v>
      </c>
      <c r="X90" t="str">
        <f t="shared" si="4"/>
        <v>Rh82</v>
      </c>
    </row>
    <row r="91" spans="1:24" x14ac:dyDescent="0.25">
      <c r="A91" s="8">
        <v>88</v>
      </c>
      <c r="B91" s="7" t="s">
        <v>30</v>
      </c>
      <c r="C91" s="8" t="s">
        <v>53</v>
      </c>
      <c r="D91" s="7" t="s">
        <v>1084</v>
      </c>
      <c r="E91" s="7" t="s">
        <v>1072</v>
      </c>
      <c r="F91" s="7" t="s">
        <v>1085</v>
      </c>
      <c r="G91" s="7" t="s">
        <v>1086</v>
      </c>
      <c r="H91">
        <v>12</v>
      </c>
      <c r="I91">
        <v>40</v>
      </c>
      <c r="J91">
        <v>79</v>
      </c>
      <c r="K91">
        <v>49</v>
      </c>
      <c r="L91" s="5">
        <f t="shared" si="5"/>
        <v>45</v>
      </c>
      <c r="M91">
        <v>45</v>
      </c>
      <c r="N91">
        <v>28</v>
      </c>
      <c r="O91" s="5">
        <f>'Rhino Rampage'!M17</f>
        <v>36.200000000000003</v>
      </c>
      <c r="P91" s="5">
        <f>'Rhino Rampage'!N17</f>
        <v>10.860000000000001</v>
      </c>
      <c r="Q91" s="11">
        <f>'Rhino Rampage'!O17</f>
        <v>36.200000000000003</v>
      </c>
      <c r="R91" s="10">
        <f>'Rhino Rampage'!P17</f>
        <v>0.15684779775866564</v>
      </c>
      <c r="S91" s="10">
        <f>'Rhino Rampage'!Q17</f>
        <v>0.30408000000000007</v>
      </c>
      <c r="T91" t="s">
        <v>139</v>
      </c>
      <c r="U91">
        <v>21</v>
      </c>
      <c r="V91">
        <v>38</v>
      </c>
      <c r="W91" s="49" t="str">
        <f t="shared" si="6"/>
        <v>0</v>
      </c>
      <c r="X91" t="str">
        <f t="shared" si="4"/>
        <v>Rh82</v>
      </c>
    </row>
    <row r="92" spans="1:24" x14ac:dyDescent="0.25">
      <c r="A92" s="8">
        <v>89</v>
      </c>
      <c r="B92" s="7" t="s">
        <v>31</v>
      </c>
      <c r="C92" s="8" t="s">
        <v>11</v>
      </c>
      <c r="D92" s="7" t="s">
        <v>1011</v>
      </c>
      <c r="E92" s="7" t="s">
        <v>1012</v>
      </c>
      <c r="F92" s="7" t="s">
        <v>1013</v>
      </c>
      <c r="G92" s="7" t="s">
        <v>1014</v>
      </c>
      <c r="H92">
        <v>100</v>
      </c>
      <c r="I92">
        <v>89</v>
      </c>
      <c r="J92">
        <v>48</v>
      </c>
      <c r="K92">
        <v>76</v>
      </c>
      <c r="L92" s="5">
        <f t="shared" si="5"/>
        <v>78.25</v>
      </c>
      <c r="M92">
        <v>47</v>
      </c>
      <c r="N92">
        <v>73</v>
      </c>
      <c r="O92" s="5">
        <f>'Tiger Tacklers'!M7</f>
        <v>0</v>
      </c>
      <c r="P92" s="5">
        <f>'Tiger Tacklers'!N7</f>
        <v>87.350000000000009</v>
      </c>
      <c r="Q92" s="11">
        <f>'Tiger Tacklers'!O7</f>
        <v>87.350000000000009</v>
      </c>
      <c r="R92" s="10">
        <f>'Tiger Tacklers'!P7</f>
        <v>0</v>
      </c>
      <c r="S92" s="10">
        <f>'Tiger Tacklers'!Q7</f>
        <v>0</v>
      </c>
      <c r="T92" t="s">
        <v>140</v>
      </c>
      <c r="U92">
        <v>31</v>
      </c>
      <c r="V92">
        <v>93</v>
      </c>
      <c r="W92" s="49">
        <f t="shared" si="6"/>
        <v>48.875</v>
      </c>
      <c r="X92" t="str">
        <f t="shared" si="4"/>
        <v>Ti84</v>
      </c>
    </row>
    <row r="93" spans="1:24" x14ac:dyDescent="0.25">
      <c r="A93" s="8">
        <v>90</v>
      </c>
      <c r="B93" s="7" t="s">
        <v>31</v>
      </c>
      <c r="C93" s="8" t="s">
        <v>54</v>
      </c>
      <c r="D93" s="7" t="s">
        <v>1015</v>
      </c>
      <c r="E93" s="7" t="s">
        <v>1016</v>
      </c>
      <c r="F93" s="7" t="s">
        <v>1017</v>
      </c>
      <c r="G93" s="7" t="s">
        <v>1018</v>
      </c>
      <c r="H93">
        <v>80</v>
      </c>
      <c r="I93">
        <v>91</v>
      </c>
      <c r="J93">
        <v>77</v>
      </c>
      <c r="K93">
        <v>61</v>
      </c>
      <c r="L93" s="5">
        <f t="shared" si="5"/>
        <v>77.25</v>
      </c>
      <c r="M93">
        <v>50</v>
      </c>
      <c r="N93">
        <v>69</v>
      </c>
      <c r="O93" s="5">
        <f>'Tiger Tacklers'!M8</f>
        <v>30.180000000000003</v>
      </c>
      <c r="P93" s="5">
        <f>'Tiger Tacklers'!N8</f>
        <v>67.905000000000001</v>
      </c>
      <c r="Q93" s="11">
        <f>'Tiger Tacklers'!O8</f>
        <v>75.45</v>
      </c>
      <c r="R93" s="10">
        <f>'Tiger Tacklers'!P8</f>
        <v>3.7443302023489333E-2</v>
      </c>
      <c r="S93" s="10">
        <f>'Tiger Tacklers'!Q8</f>
        <v>0.62472599999999989</v>
      </c>
      <c r="T93" t="s">
        <v>140</v>
      </c>
      <c r="U93">
        <v>25</v>
      </c>
      <c r="V93">
        <v>92</v>
      </c>
      <c r="W93" s="49">
        <f t="shared" si="6"/>
        <v>43.025000000000006</v>
      </c>
      <c r="X93" t="str">
        <f t="shared" si="4"/>
        <v>Ti84</v>
      </c>
    </row>
    <row r="94" spans="1:24" x14ac:dyDescent="0.25">
      <c r="A94" s="8">
        <v>91</v>
      </c>
      <c r="B94" s="7" t="s">
        <v>31</v>
      </c>
      <c r="C94" s="8" t="s">
        <v>56</v>
      </c>
      <c r="D94" s="7" t="s">
        <v>1019</v>
      </c>
      <c r="E94" s="7" t="s">
        <v>695</v>
      </c>
      <c r="F94" s="7" t="s">
        <v>1020</v>
      </c>
      <c r="G94" s="7" t="s">
        <v>1021</v>
      </c>
      <c r="H94">
        <v>84</v>
      </c>
      <c r="I94">
        <v>72</v>
      </c>
      <c r="J94">
        <v>70</v>
      </c>
      <c r="K94">
        <v>83</v>
      </c>
      <c r="L94" s="5">
        <f t="shared" si="5"/>
        <v>77.25</v>
      </c>
      <c r="M94">
        <v>45</v>
      </c>
      <c r="N94">
        <v>70</v>
      </c>
      <c r="O94" s="5">
        <f>'Tiger Tacklers'!M9</f>
        <v>22.2</v>
      </c>
      <c r="P94" s="5">
        <f>'Tiger Tacklers'!N9</f>
        <v>74</v>
      </c>
      <c r="Q94" s="11">
        <f>'Tiger Tacklers'!O9</f>
        <v>74</v>
      </c>
      <c r="R94" s="10">
        <f>'Tiger Tacklers'!P9</f>
        <v>2.754278677672177E-2</v>
      </c>
      <c r="S94" s="10">
        <f>'Tiger Tacklers'!Q9</f>
        <v>0.46619999999999995</v>
      </c>
      <c r="T94" t="s">
        <v>140</v>
      </c>
      <c r="U94">
        <v>34</v>
      </c>
      <c r="V94">
        <v>76</v>
      </c>
      <c r="W94" s="49">
        <f t="shared" si="6"/>
        <v>33.400000000000006</v>
      </c>
      <c r="X94" t="str">
        <f t="shared" si="4"/>
        <v>Ti84</v>
      </c>
    </row>
    <row r="95" spans="1:24" x14ac:dyDescent="0.25">
      <c r="A95" s="8">
        <v>92</v>
      </c>
      <c r="B95" s="7" t="s">
        <v>31</v>
      </c>
      <c r="C95" s="8" t="s">
        <v>56</v>
      </c>
      <c r="D95" s="7" t="s">
        <v>679</v>
      </c>
      <c r="E95" s="7" t="s">
        <v>1022</v>
      </c>
      <c r="F95" s="7" t="s">
        <v>1023</v>
      </c>
      <c r="G95" s="7" t="s">
        <v>1024</v>
      </c>
      <c r="H95">
        <v>93</v>
      </c>
      <c r="I95">
        <v>70</v>
      </c>
      <c r="J95">
        <v>94</v>
      </c>
      <c r="K95">
        <v>75</v>
      </c>
      <c r="L95" s="5">
        <f t="shared" si="5"/>
        <v>83</v>
      </c>
      <c r="M95">
        <v>53</v>
      </c>
      <c r="N95">
        <v>69</v>
      </c>
      <c r="O95" s="5">
        <f>'Tiger Tacklers'!M10</f>
        <v>26.227499999999999</v>
      </c>
      <c r="P95" s="5">
        <f>'Tiger Tacklers'!N10</f>
        <v>87.424999999999997</v>
      </c>
      <c r="Q95" s="11">
        <f>'Tiger Tacklers'!O10</f>
        <v>87.424999999999997</v>
      </c>
      <c r="R95" s="10">
        <f>'Tiger Tacklers'!P10</f>
        <v>3.2539569377768932E-2</v>
      </c>
      <c r="S95" s="10">
        <f>'Tiger Tacklers'!Q10</f>
        <v>0.5429092499999999</v>
      </c>
      <c r="T95" t="s">
        <v>140</v>
      </c>
      <c r="U95">
        <v>26</v>
      </c>
      <c r="V95">
        <v>102</v>
      </c>
      <c r="W95" s="49">
        <f t="shared" si="6"/>
        <v>53.912499999999994</v>
      </c>
      <c r="X95" t="str">
        <f t="shared" si="4"/>
        <v>Ti84</v>
      </c>
    </row>
    <row r="96" spans="1:24" x14ac:dyDescent="0.25">
      <c r="A96" s="8">
        <v>93</v>
      </c>
      <c r="B96" s="7" t="s">
        <v>31</v>
      </c>
      <c r="C96" s="8" t="s">
        <v>55</v>
      </c>
      <c r="D96" s="7" t="s">
        <v>1025</v>
      </c>
      <c r="E96" s="7" t="s">
        <v>1026</v>
      </c>
      <c r="F96" s="7" t="s">
        <v>1027</v>
      </c>
      <c r="G96" s="7" t="s">
        <v>1028</v>
      </c>
      <c r="H96">
        <v>72</v>
      </c>
      <c r="I96">
        <v>64</v>
      </c>
      <c r="J96">
        <v>72</v>
      </c>
      <c r="K96">
        <v>85</v>
      </c>
      <c r="L96" s="5">
        <f t="shared" si="5"/>
        <v>73.25</v>
      </c>
      <c r="M96">
        <v>49</v>
      </c>
      <c r="N96">
        <v>68</v>
      </c>
      <c r="O96" s="5">
        <f>'Tiger Tacklers'!M11</f>
        <v>29.72</v>
      </c>
      <c r="P96" s="5">
        <f>'Tiger Tacklers'!N11</f>
        <v>66.87</v>
      </c>
      <c r="Q96" s="11">
        <f>'Tiger Tacklers'!O11</f>
        <v>74.3</v>
      </c>
      <c r="R96" s="10">
        <f>'Tiger Tacklers'!P11</f>
        <v>3.6872595630818517E-2</v>
      </c>
      <c r="S96" s="10">
        <f>'Tiger Tacklers'!Q11</f>
        <v>0.60628799999999994</v>
      </c>
      <c r="T96" t="s">
        <v>140</v>
      </c>
      <c r="U96">
        <v>25</v>
      </c>
      <c r="V96">
        <v>91</v>
      </c>
      <c r="W96" s="49">
        <f t="shared" si="6"/>
        <v>41.949999999999989</v>
      </c>
      <c r="X96" t="str">
        <f t="shared" si="4"/>
        <v>Ti84</v>
      </c>
    </row>
    <row r="97" spans="1:24" x14ac:dyDescent="0.25">
      <c r="A97" s="8">
        <v>94</v>
      </c>
      <c r="B97" s="7" t="s">
        <v>31</v>
      </c>
      <c r="C97" s="8" t="s">
        <v>45</v>
      </c>
      <c r="D97" s="7" t="s">
        <v>1029</v>
      </c>
      <c r="E97" s="7" t="s">
        <v>1030</v>
      </c>
      <c r="F97" s="7" t="s">
        <v>1031</v>
      </c>
      <c r="G97" s="7" t="s">
        <v>1032</v>
      </c>
      <c r="H97">
        <v>90</v>
      </c>
      <c r="I97">
        <v>79</v>
      </c>
      <c r="J97">
        <v>72</v>
      </c>
      <c r="K97">
        <v>84</v>
      </c>
      <c r="L97" s="5">
        <f t="shared" si="5"/>
        <v>81.25</v>
      </c>
      <c r="M97">
        <v>45</v>
      </c>
      <c r="N97">
        <v>75</v>
      </c>
      <c r="O97" s="5">
        <f>'Tiger Tacklers'!M12</f>
        <v>47.16</v>
      </c>
      <c r="P97" s="5">
        <f>'Tiger Tacklers'!N12</f>
        <v>70.739999999999995</v>
      </c>
      <c r="Q97" s="11">
        <f>'Tiger Tacklers'!O12</f>
        <v>78.599999999999994</v>
      </c>
      <c r="R97" s="10">
        <f>'Tiger Tacklers'!P12</f>
        <v>8.7328077476818519E-2</v>
      </c>
      <c r="S97" s="10">
        <f>'Tiger Tacklers'!Q12</f>
        <v>1.0610999999999999</v>
      </c>
      <c r="T97" t="s">
        <v>140</v>
      </c>
      <c r="U97">
        <v>24</v>
      </c>
      <c r="V97">
        <v>81</v>
      </c>
      <c r="W97" s="49">
        <f t="shared" si="6"/>
        <v>39.199999999999989</v>
      </c>
      <c r="X97" t="str">
        <f t="shared" si="4"/>
        <v>Ti84</v>
      </c>
    </row>
    <row r="98" spans="1:24" x14ac:dyDescent="0.25">
      <c r="A98" s="8">
        <v>95</v>
      </c>
      <c r="B98" s="7" t="s">
        <v>31</v>
      </c>
      <c r="C98" s="8" t="s">
        <v>57</v>
      </c>
      <c r="D98" s="7" t="s">
        <v>1033</v>
      </c>
      <c r="E98" s="7" t="s">
        <v>1034</v>
      </c>
      <c r="F98" s="7" t="s">
        <v>1035</v>
      </c>
      <c r="G98" s="7" t="s">
        <v>1036</v>
      </c>
      <c r="H98">
        <v>89</v>
      </c>
      <c r="I98">
        <v>74</v>
      </c>
      <c r="J98">
        <v>87</v>
      </c>
      <c r="K98">
        <v>90</v>
      </c>
      <c r="L98" s="5">
        <f t="shared" si="5"/>
        <v>85</v>
      </c>
      <c r="M98">
        <v>55</v>
      </c>
      <c r="N98">
        <v>66</v>
      </c>
      <c r="O98" s="5">
        <f>'Tiger Tacklers'!M13</f>
        <v>61.575000000000003</v>
      </c>
      <c r="P98" s="5">
        <f>'Tiger Tacklers'!N13</f>
        <v>61.575000000000003</v>
      </c>
      <c r="Q98" s="11">
        <f>'Tiger Tacklers'!O13</f>
        <v>82.100000000000009</v>
      </c>
      <c r="R98" s="10">
        <f>'Tiger Tacklers'!P13</f>
        <v>0.11402091540786898</v>
      </c>
      <c r="S98" s="10">
        <f>'Tiger Tacklers'!Q13</f>
        <v>1.219185</v>
      </c>
      <c r="T98" t="s">
        <v>140</v>
      </c>
      <c r="U98">
        <v>32</v>
      </c>
      <c r="V98">
        <v>86</v>
      </c>
      <c r="W98" s="49">
        <f t="shared" si="6"/>
        <v>42.650000000000006</v>
      </c>
      <c r="X98" t="str">
        <f t="shared" si="4"/>
        <v>Ti84</v>
      </c>
    </row>
    <row r="99" spans="1:24" x14ac:dyDescent="0.25">
      <c r="A99" s="8">
        <v>96</v>
      </c>
      <c r="B99" s="7" t="s">
        <v>31</v>
      </c>
      <c r="C99" s="8" t="s">
        <v>46</v>
      </c>
      <c r="D99" s="7" t="s">
        <v>1037</v>
      </c>
      <c r="E99" s="7" t="s">
        <v>667</v>
      </c>
      <c r="F99" s="7" t="s">
        <v>668</v>
      </c>
      <c r="G99" s="7" t="s">
        <v>1038</v>
      </c>
      <c r="H99">
        <v>90</v>
      </c>
      <c r="I99">
        <v>90</v>
      </c>
      <c r="J99">
        <v>74</v>
      </c>
      <c r="K99">
        <v>88</v>
      </c>
      <c r="L99" s="5">
        <f t="shared" si="5"/>
        <v>85.5</v>
      </c>
      <c r="M99">
        <v>52</v>
      </c>
      <c r="N99">
        <v>65</v>
      </c>
      <c r="O99" s="5">
        <f>'Tiger Tacklers'!M14</f>
        <v>79.920000000000016</v>
      </c>
      <c r="P99" s="5">
        <f>'Tiger Tacklers'!N14</f>
        <v>53.280000000000008</v>
      </c>
      <c r="Q99" s="11">
        <f>'Tiger Tacklers'!O14</f>
        <v>88.800000000000011</v>
      </c>
      <c r="R99" s="10">
        <f>'Tiger Tacklers'!P14</f>
        <v>0.14799109312865433</v>
      </c>
      <c r="S99" s="10">
        <f>'Tiger Tacklers'!Q14</f>
        <v>1.55844</v>
      </c>
      <c r="T99" t="s">
        <v>140</v>
      </c>
      <c r="U99">
        <v>26</v>
      </c>
      <c r="V99">
        <v>97</v>
      </c>
      <c r="W99" s="49">
        <f t="shared" si="6"/>
        <v>52.100000000000009</v>
      </c>
      <c r="X99" t="str">
        <f t="shared" si="4"/>
        <v>Ti84</v>
      </c>
    </row>
    <row r="100" spans="1:24" x14ac:dyDescent="0.25">
      <c r="A100" s="8">
        <v>97</v>
      </c>
      <c r="B100" s="7" t="s">
        <v>31</v>
      </c>
      <c r="C100" s="8" t="s">
        <v>52</v>
      </c>
      <c r="D100" s="7" t="s">
        <v>1039</v>
      </c>
      <c r="E100" s="7" t="s">
        <v>1040</v>
      </c>
      <c r="F100" s="7" t="s">
        <v>1041</v>
      </c>
      <c r="G100" s="7" t="s">
        <v>1042</v>
      </c>
      <c r="H100">
        <v>62</v>
      </c>
      <c r="I100">
        <v>78</v>
      </c>
      <c r="J100">
        <v>73</v>
      </c>
      <c r="K100">
        <v>82</v>
      </c>
      <c r="L100" s="5">
        <f t="shared" si="5"/>
        <v>73.75</v>
      </c>
      <c r="M100">
        <v>51</v>
      </c>
      <c r="N100">
        <v>66</v>
      </c>
      <c r="O100" s="5">
        <f>'Tiger Tacklers'!M15</f>
        <v>73.949999999999989</v>
      </c>
      <c r="P100" s="5">
        <f>'Tiger Tacklers'!N15</f>
        <v>22.184999999999995</v>
      </c>
      <c r="Q100" s="11">
        <f>'Tiger Tacklers'!O15</f>
        <v>73.949999999999989</v>
      </c>
      <c r="R100" s="10">
        <f>'Tiger Tacklers'!P15</f>
        <v>0.18212514987523898</v>
      </c>
      <c r="S100" s="10">
        <f>'Tiger Tacklers'!Q15</f>
        <v>1.46421</v>
      </c>
      <c r="T100" t="s">
        <v>140</v>
      </c>
      <c r="U100">
        <v>19</v>
      </c>
      <c r="V100">
        <v>100</v>
      </c>
      <c r="W100" s="49">
        <f t="shared" si="6"/>
        <v>46.875</v>
      </c>
      <c r="X100" t="str">
        <f t="shared" si="4"/>
        <v>Ti84</v>
      </c>
    </row>
    <row r="101" spans="1:24" x14ac:dyDescent="0.25">
      <c r="A101" s="8">
        <v>98</v>
      </c>
      <c r="B101" s="7" t="s">
        <v>31</v>
      </c>
      <c r="C101" s="8" t="s">
        <v>59</v>
      </c>
      <c r="D101" s="7" t="s">
        <v>678</v>
      </c>
      <c r="E101" s="7" t="s">
        <v>679</v>
      </c>
      <c r="F101" s="7" t="s">
        <v>680</v>
      </c>
      <c r="G101" s="7" t="s">
        <v>1043</v>
      </c>
      <c r="H101">
        <v>90</v>
      </c>
      <c r="I101">
        <v>88</v>
      </c>
      <c r="J101">
        <v>74</v>
      </c>
      <c r="K101">
        <v>72</v>
      </c>
      <c r="L101" s="5">
        <f t="shared" si="5"/>
        <v>81</v>
      </c>
      <c r="M101">
        <v>49</v>
      </c>
      <c r="N101">
        <v>71</v>
      </c>
      <c r="O101" s="5">
        <f>'Tiger Tacklers'!M16</f>
        <v>82.5</v>
      </c>
      <c r="P101" s="5">
        <f>'Tiger Tacklers'!N16</f>
        <v>24.75</v>
      </c>
      <c r="Q101" s="11">
        <f>'Tiger Tacklers'!O16</f>
        <v>82.5</v>
      </c>
      <c r="R101" s="10">
        <f>'Tiger Tacklers'!P16</f>
        <v>0.20318221588515509</v>
      </c>
      <c r="S101" s="10">
        <f>'Tiger Tacklers'!Q16</f>
        <v>1.75725</v>
      </c>
      <c r="T101" t="s">
        <v>140</v>
      </c>
      <c r="U101">
        <v>30</v>
      </c>
      <c r="V101">
        <v>91</v>
      </c>
      <c r="W101" s="49">
        <f t="shared" si="6"/>
        <v>45.55</v>
      </c>
      <c r="X101" t="str">
        <f t="shared" si="4"/>
        <v>Ti84</v>
      </c>
    </row>
    <row r="102" spans="1:24" x14ac:dyDescent="0.25">
      <c r="A102" s="8">
        <v>99</v>
      </c>
      <c r="B102" s="7" t="s">
        <v>31</v>
      </c>
      <c r="C102" s="8" t="s">
        <v>53</v>
      </c>
      <c r="D102" s="7" t="s">
        <v>1044</v>
      </c>
      <c r="E102" s="7" t="s">
        <v>695</v>
      </c>
      <c r="F102" s="7" t="s">
        <v>696</v>
      </c>
      <c r="G102" s="7" t="s">
        <v>1045</v>
      </c>
      <c r="H102">
        <v>83</v>
      </c>
      <c r="I102">
        <v>58</v>
      </c>
      <c r="J102">
        <v>77</v>
      </c>
      <c r="K102">
        <v>100</v>
      </c>
      <c r="L102" s="5">
        <f t="shared" si="5"/>
        <v>79.5</v>
      </c>
      <c r="M102">
        <v>52</v>
      </c>
      <c r="N102">
        <v>71</v>
      </c>
      <c r="O102" s="5">
        <f>'Tiger Tacklers'!M17</f>
        <v>86.6</v>
      </c>
      <c r="P102" s="5">
        <f>'Tiger Tacklers'!N17</f>
        <v>25.979999999999997</v>
      </c>
      <c r="Q102" s="11">
        <f>'Tiger Tacklers'!O17</f>
        <v>86.6</v>
      </c>
      <c r="R102" s="10">
        <f>'Tiger Tacklers'!P17</f>
        <v>0.21327975631096274</v>
      </c>
      <c r="S102" s="10">
        <f>'Tiger Tacklers'!Q17</f>
        <v>1.8445799999999999</v>
      </c>
      <c r="T102" t="s">
        <v>140</v>
      </c>
      <c r="U102">
        <v>19</v>
      </c>
      <c r="V102">
        <v>105</v>
      </c>
      <c r="W102" s="49">
        <f t="shared" si="6"/>
        <v>55.699999999999989</v>
      </c>
      <c r="X102" t="str">
        <f t="shared" si="4"/>
        <v>Ti84</v>
      </c>
    </row>
    <row r="103" spans="1:24" x14ac:dyDescent="0.25">
      <c r="A103" s="8">
        <v>100</v>
      </c>
      <c r="B103" s="7" t="s">
        <v>32</v>
      </c>
      <c r="C103" s="8" t="s">
        <v>11</v>
      </c>
      <c r="D103" s="7" t="s">
        <v>967</v>
      </c>
      <c r="E103" s="7" t="s">
        <v>968</v>
      </c>
      <c r="F103" s="7" t="s">
        <v>969</v>
      </c>
      <c r="G103" s="7" t="s">
        <v>970</v>
      </c>
      <c r="H103">
        <v>58</v>
      </c>
      <c r="I103">
        <v>68</v>
      </c>
      <c r="J103">
        <v>93</v>
      </c>
      <c r="K103">
        <v>19</v>
      </c>
      <c r="L103" s="5">
        <f t="shared" si="5"/>
        <v>59.5</v>
      </c>
      <c r="M103">
        <v>35</v>
      </c>
      <c r="N103">
        <v>76</v>
      </c>
      <c r="O103" s="5">
        <f>'Bear Brigade'!M7</f>
        <v>0</v>
      </c>
      <c r="P103" s="5">
        <f>'Bear Brigade'!N7</f>
        <v>59.15</v>
      </c>
      <c r="Q103" s="11">
        <f>'Bear Brigade'!O7</f>
        <v>59.15</v>
      </c>
      <c r="R103" s="10">
        <f>'Bear Brigade'!P7</f>
        <v>0</v>
      </c>
      <c r="S103" s="10">
        <f>'Bear Brigade'!Q7</f>
        <v>0</v>
      </c>
      <c r="T103" t="s">
        <v>141</v>
      </c>
      <c r="U103">
        <v>23</v>
      </c>
      <c r="V103">
        <v>60</v>
      </c>
      <c r="W103" s="49">
        <f t="shared" si="6"/>
        <v>19.075000000000003</v>
      </c>
      <c r="X103" t="str">
        <f t="shared" si="4"/>
        <v>Be66</v>
      </c>
    </row>
    <row r="104" spans="1:24" x14ac:dyDescent="0.25">
      <c r="A104" s="8">
        <v>101</v>
      </c>
      <c r="B104" s="7" t="s">
        <v>32</v>
      </c>
      <c r="C104" s="8" t="s">
        <v>54</v>
      </c>
      <c r="D104" s="7" t="s">
        <v>971</v>
      </c>
      <c r="E104" s="7" t="s">
        <v>972</v>
      </c>
      <c r="F104" s="7" t="s">
        <v>973</v>
      </c>
      <c r="G104" s="7" t="s">
        <v>974</v>
      </c>
      <c r="H104">
        <v>72</v>
      </c>
      <c r="I104">
        <v>53</v>
      </c>
      <c r="J104">
        <v>86</v>
      </c>
      <c r="K104">
        <v>39</v>
      </c>
      <c r="L104" s="5">
        <f t="shared" si="5"/>
        <v>62.5</v>
      </c>
      <c r="M104">
        <v>26</v>
      </c>
      <c r="N104">
        <v>80</v>
      </c>
      <c r="O104" s="5">
        <f>'Bear Brigade'!M8</f>
        <v>25.28</v>
      </c>
      <c r="P104" s="5">
        <f>'Bear Brigade'!N8</f>
        <v>56.88</v>
      </c>
      <c r="Q104" s="11">
        <f>'Bear Brigade'!O8</f>
        <v>63.2</v>
      </c>
      <c r="R104" s="10">
        <f>'Bear Brigade'!P8</f>
        <v>4.5471593006476727E-2</v>
      </c>
      <c r="S104" s="10">
        <f>'Bear Brigade'!Q8</f>
        <v>0.60672000000000015</v>
      </c>
      <c r="T104" t="s">
        <v>141</v>
      </c>
      <c r="U104">
        <v>28</v>
      </c>
      <c r="V104">
        <v>65</v>
      </c>
      <c r="W104" s="49">
        <f t="shared" si="6"/>
        <v>23.1</v>
      </c>
      <c r="X104" t="str">
        <f t="shared" si="4"/>
        <v>Be66</v>
      </c>
    </row>
    <row r="105" spans="1:24" x14ac:dyDescent="0.25">
      <c r="A105" s="8">
        <v>102</v>
      </c>
      <c r="B105" s="7" t="s">
        <v>32</v>
      </c>
      <c r="C105" s="8" t="s">
        <v>56</v>
      </c>
      <c r="D105" s="7" t="s">
        <v>975</v>
      </c>
      <c r="E105" s="7" t="s">
        <v>976</v>
      </c>
      <c r="F105" s="7" t="s">
        <v>977</v>
      </c>
      <c r="G105" s="7" t="s">
        <v>978</v>
      </c>
      <c r="H105">
        <v>52</v>
      </c>
      <c r="I105">
        <v>49</v>
      </c>
      <c r="J105">
        <v>100</v>
      </c>
      <c r="K105">
        <v>39</v>
      </c>
      <c r="L105" s="5">
        <f t="shared" si="5"/>
        <v>60</v>
      </c>
      <c r="M105">
        <v>32</v>
      </c>
      <c r="N105">
        <v>82</v>
      </c>
      <c r="O105" s="5">
        <f>'Bear Brigade'!M9</f>
        <v>23.159999999999997</v>
      </c>
      <c r="P105" s="5">
        <f>'Bear Brigade'!N9</f>
        <v>77.199999999999989</v>
      </c>
      <c r="Q105" s="11">
        <f>'Bear Brigade'!O9</f>
        <v>77.199999999999989</v>
      </c>
      <c r="R105" s="10">
        <f>'Bear Brigade'!P9</f>
        <v>4.1658310681566488E-2</v>
      </c>
      <c r="S105" s="10">
        <f>'Bear Brigade'!Q9</f>
        <v>0.56973599999999991</v>
      </c>
      <c r="T105" t="s">
        <v>141</v>
      </c>
      <c r="U105">
        <v>24</v>
      </c>
      <c r="V105">
        <v>86</v>
      </c>
      <c r="W105" s="49">
        <f t="shared" si="6"/>
        <v>41</v>
      </c>
      <c r="X105" t="str">
        <f t="shared" si="4"/>
        <v>Be66</v>
      </c>
    </row>
    <row r="106" spans="1:24" x14ac:dyDescent="0.25">
      <c r="A106" s="8">
        <v>103</v>
      </c>
      <c r="B106" s="7" t="s">
        <v>32</v>
      </c>
      <c r="C106" s="8" t="s">
        <v>56</v>
      </c>
      <c r="D106" s="7" t="s">
        <v>979</v>
      </c>
      <c r="E106" s="7" t="s">
        <v>980</v>
      </c>
      <c r="F106" s="7" t="s">
        <v>981</v>
      </c>
      <c r="G106" s="7" t="s">
        <v>982</v>
      </c>
      <c r="H106">
        <v>55</v>
      </c>
      <c r="I106">
        <v>58</v>
      </c>
      <c r="J106">
        <v>100</v>
      </c>
      <c r="K106">
        <v>46</v>
      </c>
      <c r="L106" s="5">
        <f t="shared" si="5"/>
        <v>64.75</v>
      </c>
      <c r="M106">
        <v>32</v>
      </c>
      <c r="N106">
        <v>75</v>
      </c>
      <c r="O106" s="5">
        <f>'Bear Brigade'!M10</f>
        <v>23.992499999999996</v>
      </c>
      <c r="P106" s="5">
        <f>'Bear Brigade'!N10</f>
        <v>79.974999999999994</v>
      </c>
      <c r="Q106" s="11">
        <f>'Bear Brigade'!O10</f>
        <v>79.974999999999994</v>
      </c>
      <c r="R106" s="10">
        <f>'Bear Brigade'!P10</f>
        <v>4.3155743481324858E-2</v>
      </c>
      <c r="S106" s="10">
        <f>'Bear Brigade'!Q10</f>
        <v>0.53983124999999998</v>
      </c>
      <c r="T106" t="s">
        <v>141</v>
      </c>
      <c r="U106">
        <v>19</v>
      </c>
      <c r="V106">
        <v>96</v>
      </c>
      <c r="W106" s="49">
        <f t="shared" si="6"/>
        <v>47.887499999999989</v>
      </c>
      <c r="X106" t="str">
        <f t="shared" si="4"/>
        <v>Be66</v>
      </c>
    </row>
    <row r="107" spans="1:24" x14ac:dyDescent="0.25">
      <c r="A107" s="8">
        <v>104</v>
      </c>
      <c r="B107" s="7" t="s">
        <v>32</v>
      </c>
      <c r="C107" s="8" t="s">
        <v>55</v>
      </c>
      <c r="D107" s="7" t="s">
        <v>983</v>
      </c>
      <c r="E107" s="7" t="s">
        <v>984</v>
      </c>
      <c r="F107" s="7" t="s">
        <v>985</v>
      </c>
      <c r="G107" s="7" t="s">
        <v>986</v>
      </c>
      <c r="H107">
        <v>78</v>
      </c>
      <c r="I107">
        <v>66</v>
      </c>
      <c r="J107">
        <v>98</v>
      </c>
      <c r="K107">
        <v>35</v>
      </c>
      <c r="L107" s="5">
        <f t="shared" si="5"/>
        <v>69.25</v>
      </c>
      <c r="M107">
        <v>26</v>
      </c>
      <c r="N107">
        <v>82</v>
      </c>
      <c r="O107" s="5">
        <f>'Bear Brigade'!M11</f>
        <v>27.879999999999995</v>
      </c>
      <c r="P107" s="5">
        <f>'Bear Brigade'!N11</f>
        <v>62.72999999999999</v>
      </c>
      <c r="Q107" s="11">
        <f>'Bear Brigade'!O11</f>
        <v>69.699999999999989</v>
      </c>
      <c r="R107" s="10">
        <f>'Bear Brigade'!P11</f>
        <v>5.0148260008725104E-2</v>
      </c>
      <c r="S107" s="10">
        <f>'Bear Brigade'!Q11</f>
        <v>0.68584799999999979</v>
      </c>
      <c r="T107" t="s">
        <v>141</v>
      </c>
      <c r="U107">
        <v>24</v>
      </c>
      <c r="V107">
        <v>74</v>
      </c>
      <c r="W107" s="49">
        <f t="shared" si="6"/>
        <v>31.25</v>
      </c>
      <c r="X107" t="str">
        <f t="shared" si="4"/>
        <v>Be66</v>
      </c>
    </row>
    <row r="108" spans="1:24" x14ac:dyDescent="0.25">
      <c r="A108" s="8">
        <v>105</v>
      </c>
      <c r="B108" s="7" t="s">
        <v>32</v>
      </c>
      <c r="C108" s="8" t="s">
        <v>45</v>
      </c>
      <c r="D108" s="7" t="s">
        <v>987</v>
      </c>
      <c r="E108" s="7" t="s">
        <v>988</v>
      </c>
      <c r="F108" s="7" t="s">
        <v>989</v>
      </c>
      <c r="G108" s="7" t="s">
        <v>990</v>
      </c>
      <c r="H108">
        <v>77</v>
      </c>
      <c r="I108">
        <v>48</v>
      </c>
      <c r="J108">
        <v>95</v>
      </c>
      <c r="K108">
        <v>30</v>
      </c>
      <c r="L108" s="5">
        <f t="shared" si="5"/>
        <v>62.5</v>
      </c>
      <c r="M108">
        <v>25</v>
      </c>
      <c r="N108">
        <v>84</v>
      </c>
      <c r="O108" s="5">
        <f>'Bear Brigade'!M12</f>
        <v>41.069999999999993</v>
      </c>
      <c r="P108" s="5">
        <f>'Bear Brigade'!N12</f>
        <v>61.60499999999999</v>
      </c>
      <c r="Q108" s="11">
        <f>'Bear Brigade'!O12</f>
        <v>68.449999999999989</v>
      </c>
      <c r="R108" s="10">
        <f>'Bear Brigade'!P12</f>
        <v>0.11025873351454743</v>
      </c>
      <c r="S108" s="10">
        <f>'Bear Brigade'!Q12</f>
        <v>1.034964</v>
      </c>
      <c r="T108" t="s">
        <v>141</v>
      </c>
      <c r="U108">
        <v>30</v>
      </c>
      <c r="V108">
        <v>71</v>
      </c>
      <c r="W108" s="49">
        <f t="shared" si="6"/>
        <v>28.524999999999991</v>
      </c>
      <c r="X108" t="str">
        <f t="shared" si="4"/>
        <v>Be66</v>
      </c>
    </row>
    <row r="109" spans="1:24" x14ac:dyDescent="0.25">
      <c r="A109" s="8">
        <v>106</v>
      </c>
      <c r="B109" s="7" t="s">
        <v>32</v>
      </c>
      <c r="C109" s="8" t="s">
        <v>57</v>
      </c>
      <c r="D109" s="7" t="s">
        <v>991</v>
      </c>
      <c r="E109" s="7" t="s">
        <v>992</v>
      </c>
      <c r="F109" s="7" t="s">
        <v>993</v>
      </c>
      <c r="G109" s="7" t="s">
        <v>994</v>
      </c>
      <c r="H109">
        <v>68</v>
      </c>
      <c r="I109">
        <v>51</v>
      </c>
      <c r="J109">
        <v>100</v>
      </c>
      <c r="K109">
        <v>23</v>
      </c>
      <c r="L109" s="5">
        <f t="shared" si="5"/>
        <v>60.5</v>
      </c>
      <c r="M109">
        <v>31</v>
      </c>
      <c r="N109">
        <v>76</v>
      </c>
      <c r="O109" s="5">
        <f>'Bear Brigade'!M13</f>
        <v>43.800000000000004</v>
      </c>
      <c r="P109" s="5">
        <f>'Bear Brigade'!N13</f>
        <v>43.800000000000004</v>
      </c>
      <c r="Q109" s="11">
        <f>'Bear Brigade'!O13</f>
        <v>58.400000000000006</v>
      </c>
      <c r="R109" s="10">
        <f>'Bear Brigade'!P13</f>
        <v>0.11758783851807107</v>
      </c>
      <c r="S109" s="10">
        <f>'Bear Brigade'!Q13</f>
        <v>0.99864000000000019</v>
      </c>
      <c r="T109" t="s">
        <v>141</v>
      </c>
      <c r="U109">
        <v>18</v>
      </c>
      <c r="V109">
        <v>83</v>
      </c>
      <c r="W109" s="49">
        <f t="shared" si="6"/>
        <v>30.700000000000003</v>
      </c>
      <c r="X109" t="str">
        <f t="shared" si="4"/>
        <v>Be66</v>
      </c>
    </row>
    <row r="110" spans="1:24" x14ac:dyDescent="0.25">
      <c r="A110" s="8">
        <v>107</v>
      </c>
      <c r="B110" s="7" t="s">
        <v>32</v>
      </c>
      <c r="C110" s="8" t="s">
        <v>46</v>
      </c>
      <c r="D110" s="7" t="s">
        <v>995</v>
      </c>
      <c r="E110" s="7" t="s">
        <v>996</v>
      </c>
      <c r="F110" s="7" t="s">
        <v>997</v>
      </c>
      <c r="G110" s="7" t="s">
        <v>998</v>
      </c>
      <c r="H110">
        <v>38</v>
      </c>
      <c r="I110">
        <v>61</v>
      </c>
      <c r="J110">
        <v>97</v>
      </c>
      <c r="K110">
        <v>37</v>
      </c>
      <c r="L110" s="5">
        <f t="shared" si="5"/>
        <v>58.25</v>
      </c>
      <c r="M110">
        <v>32</v>
      </c>
      <c r="N110">
        <v>81</v>
      </c>
      <c r="O110" s="5">
        <f>'Bear Brigade'!M14</f>
        <v>44.955000000000005</v>
      </c>
      <c r="P110" s="5">
        <f>'Bear Brigade'!N14</f>
        <v>29.97</v>
      </c>
      <c r="Q110" s="11">
        <f>'Bear Brigade'!O14</f>
        <v>49.95</v>
      </c>
      <c r="R110" s="10">
        <f>'Bear Brigade'!P14</f>
        <v>0.12068861371186952</v>
      </c>
      <c r="S110" s="10">
        <f>'Bear Brigade'!Q14</f>
        <v>1.0924065000000001</v>
      </c>
      <c r="T110" t="s">
        <v>141</v>
      </c>
      <c r="U110">
        <v>25</v>
      </c>
      <c r="V110">
        <v>60</v>
      </c>
      <c r="W110" s="49">
        <f t="shared" si="6"/>
        <v>14.275000000000006</v>
      </c>
      <c r="X110" t="str">
        <f t="shared" si="4"/>
        <v>Be66</v>
      </c>
    </row>
    <row r="111" spans="1:24" x14ac:dyDescent="0.25">
      <c r="A111" s="8">
        <v>108</v>
      </c>
      <c r="B111" s="7" t="s">
        <v>32</v>
      </c>
      <c r="C111" s="8" t="s">
        <v>52</v>
      </c>
      <c r="D111" s="7" t="s">
        <v>999</v>
      </c>
      <c r="E111" s="7" t="s">
        <v>1000</v>
      </c>
      <c r="F111" s="7" t="s">
        <v>1001</v>
      </c>
      <c r="G111" s="7" t="s">
        <v>1002</v>
      </c>
      <c r="H111">
        <v>71</v>
      </c>
      <c r="I111">
        <v>53</v>
      </c>
      <c r="J111">
        <v>86</v>
      </c>
      <c r="K111">
        <v>33</v>
      </c>
      <c r="L111" s="5">
        <f t="shared" si="5"/>
        <v>60.75</v>
      </c>
      <c r="M111">
        <v>32</v>
      </c>
      <c r="N111">
        <v>76</v>
      </c>
      <c r="O111" s="5">
        <f>'Bear Brigade'!M15</f>
        <v>51.949999999999996</v>
      </c>
      <c r="P111" s="5">
        <f>'Bear Brigade'!N15</f>
        <v>15.584999999999997</v>
      </c>
      <c r="Q111" s="11">
        <f>'Bear Brigade'!O15</f>
        <v>51.949999999999996</v>
      </c>
      <c r="R111" s="10">
        <f>'Bear Brigade'!P15</f>
        <v>0.18549213060840966</v>
      </c>
      <c r="S111" s="10">
        <f>'Bear Brigade'!Q15</f>
        <v>1.1844599999999998</v>
      </c>
      <c r="T111" t="s">
        <v>141</v>
      </c>
      <c r="U111">
        <v>27</v>
      </c>
      <c r="V111">
        <v>59</v>
      </c>
      <c r="W111" s="49">
        <f t="shared" si="6"/>
        <v>14.575000000000003</v>
      </c>
      <c r="X111" t="str">
        <f t="shared" si="4"/>
        <v>Be66</v>
      </c>
    </row>
    <row r="112" spans="1:24" x14ac:dyDescent="0.25">
      <c r="A112" s="8">
        <v>109</v>
      </c>
      <c r="B112" s="7" t="s">
        <v>32</v>
      </c>
      <c r="C112" s="8" t="s">
        <v>59</v>
      </c>
      <c r="D112" s="7" t="s">
        <v>1003</v>
      </c>
      <c r="E112" s="7" t="s">
        <v>1004</v>
      </c>
      <c r="F112" s="7" t="s">
        <v>1005</v>
      </c>
      <c r="G112" s="7" t="s">
        <v>1006</v>
      </c>
      <c r="H112">
        <v>58</v>
      </c>
      <c r="I112">
        <v>56</v>
      </c>
      <c r="J112">
        <v>94</v>
      </c>
      <c r="K112">
        <v>7</v>
      </c>
      <c r="L112" s="5">
        <f t="shared" si="5"/>
        <v>53.75</v>
      </c>
      <c r="M112">
        <v>29</v>
      </c>
      <c r="N112">
        <v>82</v>
      </c>
      <c r="O112" s="5">
        <f>'Bear Brigade'!M16</f>
        <v>45.8</v>
      </c>
      <c r="P112" s="5">
        <f>'Bear Brigade'!N16</f>
        <v>13.739999999999998</v>
      </c>
      <c r="Q112" s="11">
        <f>'Bear Brigade'!O16</f>
        <v>45.8</v>
      </c>
      <c r="R112" s="10">
        <f>'Bear Brigade'!P16</f>
        <v>0.16353300446323699</v>
      </c>
      <c r="S112" s="10">
        <f>'Bear Brigade'!Q16</f>
        <v>1.1266799999999999</v>
      </c>
      <c r="T112" t="s">
        <v>141</v>
      </c>
      <c r="U112">
        <v>23</v>
      </c>
      <c r="V112">
        <v>49</v>
      </c>
      <c r="W112" s="49">
        <f t="shared" si="6"/>
        <v>6.8999999999999986</v>
      </c>
      <c r="X112" t="str">
        <f t="shared" si="4"/>
        <v>Be66</v>
      </c>
    </row>
    <row r="113" spans="1:24" x14ac:dyDescent="0.25">
      <c r="A113" s="8">
        <v>110</v>
      </c>
      <c r="B113" s="7" t="s">
        <v>32</v>
      </c>
      <c r="C113" s="8" t="s">
        <v>53</v>
      </c>
      <c r="D113" s="7" t="s">
        <v>1007</v>
      </c>
      <c r="E113" s="7" t="s">
        <v>1008</v>
      </c>
      <c r="F113" s="7" t="s">
        <v>1009</v>
      </c>
      <c r="G113" s="7" t="s">
        <v>1010</v>
      </c>
      <c r="H113">
        <v>63</v>
      </c>
      <c r="I113">
        <v>60</v>
      </c>
      <c r="J113">
        <v>100</v>
      </c>
      <c r="K113">
        <v>19</v>
      </c>
      <c r="L113" s="5">
        <f t="shared" si="5"/>
        <v>60.5</v>
      </c>
      <c r="M113">
        <v>33</v>
      </c>
      <c r="N113">
        <v>82</v>
      </c>
      <c r="O113" s="5">
        <f>'Bear Brigade'!M17</f>
        <v>44.599999999999994</v>
      </c>
      <c r="P113" s="5">
        <f>'Bear Brigade'!N17</f>
        <v>13.379999999999997</v>
      </c>
      <c r="Q113" s="11">
        <f>'Bear Brigade'!O17</f>
        <v>44.599999999999994</v>
      </c>
      <c r="R113" s="10">
        <f>'Bear Brigade'!P17</f>
        <v>0.1592482969227155</v>
      </c>
      <c r="S113" s="10">
        <f>'Bear Brigade'!Q17</f>
        <v>1.0971599999999997</v>
      </c>
      <c r="T113" t="s">
        <v>141</v>
      </c>
      <c r="U113">
        <v>32</v>
      </c>
      <c r="V113">
        <v>45</v>
      </c>
      <c r="W113" s="49">
        <f t="shared" si="6"/>
        <v>3.3999999999999986</v>
      </c>
      <c r="X113" t="str">
        <f t="shared" si="4"/>
        <v>Be66</v>
      </c>
    </row>
    <row r="114" spans="1:24" x14ac:dyDescent="0.25">
      <c r="A114" s="8">
        <v>111</v>
      </c>
      <c r="B114" s="7" t="s">
        <v>33</v>
      </c>
      <c r="C114" s="8" t="s">
        <v>11</v>
      </c>
      <c r="D114" s="7" t="s">
        <v>923</v>
      </c>
      <c r="E114" s="7" t="s">
        <v>924</v>
      </c>
      <c r="F114" s="7" t="s">
        <v>925</v>
      </c>
      <c r="G114" s="7" t="s">
        <v>926</v>
      </c>
      <c r="H114">
        <v>77</v>
      </c>
      <c r="I114">
        <v>58</v>
      </c>
      <c r="J114">
        <v>9</v>
      </c>
      <c r="K114">
        <v>91</v>
      </c>
      <c r="L114" s="5">
        <f t="shared" si="5"/>
        <v>58.75</v>
      </c>
      <c r="M114">
        <v>82</v>
      </c>
      <c r="N114">
        <v>80</v>
      </c>
      <c r="O114" s="5">
        <f>'Hawk Haven'!M7</f>
        <v>0</v>
      </c>
      <c r="P114" s="5">
        <f>'Hawk Haven'!N7</f>
        <v>65.649999999999991</v>
      </c>
      <c r="Q114" s="11">
        <f>'Hawk Haven'!O7</f>
        <v>65.649999999999991</v>
      </c>
      <c r="R114" s="10">
        <f>'Hawk Haven'!P7</f>
        <v>0</v>
      </c>
      <c r="S114" s="10">
        <f>'Hawk Haven'!Q7</f>
        <v>0</v>
      </c>
      <c r="T114" t="s">
        <v>148</v>
      </c>
      <c r="U114">
        <v>32</v>
      </c>
      <c r="V114">
        <v>69</v>
      </c>
      <c r="W114" s="49">
        <f t="shared" si="6"/>
        <v>25.924999999999997</v>
      </c>
      <c r="X114" t="str">
        <f t="shared" si="4"/>
        <v>Ha72</v>
      </c>
    </row>
    <row r="115" spans="1:24" x14ac:dyDescent="0.25">
      <c r="A115" s="8">
        <v>112</v>
      </c>
      <c r="B115" s="7" t="s">
        <v>33</v>
      </c>
      <c r="C115" s="8" t="s">
        <v>54</v>
      </c>
      <c r="D115" s="7" t="s">
        <v>927</v>
      </c>
      <c r="E115" s="7" t="s">
        <v>928</v>
      </c>
      <c r="F115" s="7" t="s">
        <v>929</v>
      </c>
      <c r="G115" s="7" t="s">
        <v>930</v>
      </c>
      <c r="H115">
        <v>100</v>
      </c>
      <c r="I115">
        <v>78</v>
      </c>
      <c r="J115">
        <v>15</v>
      </c>
      <c r="K115">
        <v>97</v>
      </c>
      <c r="L115" s="5">
        <f t="shared" si="5"/>
        <v>72.5</v>
      </c>
      <c r="M115">
        <v>81</v>
      </c>
      <c r="N115">
        <v>73</v>
      </c>
      <c r="O115" s="5">
        <f>'Hawk Haven'!M8</f>
        <v>25.980000000000004</v>
      </c>
      <c r="P115" s="5">
        <f>'Hawk Haven'!N8</f>
        <v>58.455000000000005</v>
      </c>
      <c r="Q115" s="11">
        <f>'Hawk Haven'!O8</f>
        <v>64.95</v>
      </c>
      <c r="R115" s="10">
        <f>'Hawk Haven'!P8</f>
        <v>3.5540718507855819E-2</v>
      </c>
      <c r="S115" s="10">
        <f>'Hawk Haven'!Q8</f>
        <v>0.56896200000000008</v>
      </c>
      <c r="T115" t="s">
        <v>148</v>
      </c>
      <c r="U115">
        <v>21</v>
      </c>
      <c r="V115">
        <v>80</v>
      </c>
      <c r="W115" s="49">
        <f t="shared" si="6"/>
        <v>32.175000000000011</v>
      </c>
      <c r="X115" t="str">
        <f t="shared" si="4"/>
        <v>Ha72</v>
      </c>
    </row>
    <row r="116" spans="1:24" x14ac:dyDescent="0.25">
      <c r="A116" s="8">
        <v>113</v>
      </c>
      <c r="B116" s="7" t="s">
        <v>33</v>
      </c>
      <c r="C116" s="8" t="s">
        <v>56</v>
      </c>
      <c r="D116" s="7" t="s">
        <v>931</v>
      </c>
      <c r="E116" s="7" t="s">
        <v>932</v>
      </c>
      <c r="F116" s="7" t="s">
        <v>933</v>
      </c>
      <c r="G116" s="7" t="s">
        <v>934</v>
      </c>
      <c r="H116">
        <v>100</v>
      </c>
      <c r="I116">
        <v>90</v>
      </c>
      <c r="J116">
        <v>2</v>
      </c>
      <c r="K116">
        <v>78</v>
      </c>
      <c r="L116" s="5">
        <f t="shared" si="5"/>
        <v>67.5</v>
      </c>
      <c r="M116">
        <v>81</v>
      </c>
      <c r="N116">
        <v>77</v>
      </c>
      <c r="O116" s="5">
        <f>'Hawk Haven'!M9</f>
        <v>11.654999999999998</v>
      </c>
      <c r="P116" s="5">
        <f>'Hawk Haven'!N9</f>
        <v>38.849999999999994</v>
      </c>
      <c r="Q116" s="11">
        <f>'Hawk Haven'!O9</f>
        <v>38.849999999999994</v>
      </c>
      <c r="R116" s="10">
        <f>'Hawk Haven'!P9</f>
        <v>1.5944075219748242E-2</v>
      </c>
      <c r="S116" s="10">
        <f>'Hawk Haven'!Q9</f>
        <v>0.26923049999999993</v>
      </c>
      <c r="T116" t="s">
        <v>148</v>
      </c>
      <c r="U116">
        <v>32</v>
      </c>
      <c r="V116">
        <v>43</v>
      </c>
      <c r="W116" s="49" t="str">
        <f t="shared" si="6"/>
        <v>0</v>
      </c>
      <c r="X116" t="str">
        <f t="shared" si="4"/>
        <v>Ha72</v>
      </c>
    </row>
    <row r="117" spans="1:24" x14ac:dyDescent="0.25">
      <c r="A117" s="8">
        <v>114</v>
      </c>
      <c r="B117" s="7" t="s">
        <v>33</v>
      </c>
      <c r="C117" s="8" t="s">
        <v>56</v>
      </c>
      <c r="D117" s="7" t="s">
        <v>935</v>
      </c>
      <c r="E117" s="7" t="s">
        <v>936</v>
      </c>
      <c r="F117" s="7" t="s">
        <v>937</v>
      </c>
      <c r="G117" s="7" t="s">
        <v>938</v>
      </c>
      <c r="H117">
        <v>89</v>
      </c>
      <c r="I117">
        <v>79</v>
      </c>
      <c r="J117">
        <v>16</v>
      </c>
      <c r="K117">
        <v>91</v>
      </c>
      <c r="L117" s="5">
        <f t="shared" si="5"/>
        <v>68.75</v>
      </c>
      <c r="M117">
        <v>80</v>
      </c>
      <c r="N117">
        <v>74</v>
      </c>
      <c r="O117" s="5">
        <f>'Hawk Haven'!M10</f>
        <v>13.747499999999999</v>
      </c>
      <c r="P117" s="5">
        <f>'Hawk Haven'!N10</f>
        <v>45.824999999999996</v>
      </c>
      <c r="Q117" s="11">
        <f>'Hawk Haven'!O10</f>
        <v>45.824999999999996</v>
      </c>
      <c r="R117" s="10">
        <f>'Hawk Haven'!P10</f>
        <v>1.8806621542984899E-2</v>
      </c>
      <c r="S117" s="10">
        <f>'Hawk Haven'!Q10</f>
        <v>0.30519449999999998</v>
      </c>
      <c r="T117" t="s">
        <v>148</v>
      </c>
      <c r="U117">
        <v>28</v>
      </c>
      <c r="V117">
        <v>53</v>
      </c>
      <c r="W117" s="49">
        <f t="shared" si="6"/>
        <v>8.4124999999999943</v>
      </c>
      <c r="X117" t="str">
        <f t="shared" si="4"/>
        <v>Ha72</v>
      </c>
    </row>
    <row r="118" spans="1:24" x14ac:dyDescent="0.25">
      <c r="A118" s="8">
        <v>115</v>
      </c>
      <c r="B118" s="7" t="s">
        <v>33</v>
      </c>
      <c r="C118" s="8" t="s">
        <v>55</v>
      </c>
      <c r="D118" s="7" t="s">
        <v>939</v>
      </c>
      <c r="E118" s="7" t="s">
        <v>940</v>
      </c>
      <c r="F118" s="7" t="s">
        <v>941</v>
      </c>
      <c r="G118" s="7" t="s">
        <v>942</v>
      </c>
      <c r="H118">
        <v>100</v>
      </c>
      <c r="I118">
        <v>73</v>
      </c>
      <c r="J118">
        <v>9</v>
      </c>
      <c r="K118">
        <v>90</v>
      </c>
      <c r="L118" s="5">
        <f t="shared" si="5"/>
        <v>68</v>
      </c>
      <c r="M118">
        <v>89</v>
      </c>
      <c r="N118">
        <v>79</v>
      </c>
      <c r="O118" s="5">
        <f>'Hawk Haven'!M11</f>
        <v>23.900000000000002</v>
      </c>
      <c r="P118" s="5">
        <f>'Hawk Haven'!N11</f>
        <v>53.774999999999999</v>
      </c>
      <c r="Q118" s="11">
        <f>'Hawk Haven'!O11</f>
        <v>59.75</v>
      </c>
      <c r="R118" s="10">
        <f>'Hawk Haven'!P11</f>
        <v>3.2695272222392373E-2</v>
      </c>
      <c r="S118" s="10">
        <f>'Hawk Haven'!Q11</f>
        <v>0.5664300000000001</v>
      </c>
      <c r="T118" t="s">
        <v>148</v>
      </c>
      <c r="U118">
        <v>35</v>
      </c>
      <c r="V118">
        <v>60</v>
      </c>
      <c r="W118" s="49">
        <f t="shared" si="6"/>
        <v>18.174999999999997</v>
      </c>
      <c r="X118" t="str">
        <f t="shared" si="4"/>
        <v>Ha72</v>
      </c>
    </row>
    <row r="119" spans="1:24" x14ac:dyDescent="0.25">
      <c r="A119" s="8">
        <v>116</v>
      </c>
      <c r="B119" s="7" t="s">
        <v>33</v>
      </c>
      <c r="C119" s="8" t="s">
        <v>45</v>
      </c>
      <c r="D119" s="7" t="s">
        <v>943</v>
      </c>
      <c r="E119" s="7" t="s">
        <v>944</v>
      </c>
      <c r="F119" s="7" t="s">
        <v>945</v>
      </c>
      <c r="G119" s="7" t="s">
        <v>946</v>
      </c>
      <c r="H119">
        <v>89</v>
      </c>
      <c r="I119">
        <v>100</v>
      </c>
      <c r="J119">
        <v>19</v>
      </c>
      <c r="K119">
        <v>79</v>
      </c>
      <c r="L119" s="5">
        <f t="shared" si="5"/>
        <v>71.75</v>
      </c>
      <c r="M119">
        <v>85</v>
      </c>
      <c r="N119">
        <v>79</v>
      </c>
      <c r="O119" s="5">
        <f>'Hawk Haven'!M12</f>
        <v>37.68</v>
      </c>
      <c r="P119" s="5">
        <f>'Hawk Haven'!N12</f>
        <v>56.52</v>
      </c>
      <c r="Q119" s="11">
        <f>'Hawk Haven'!O12</f>
        <v>62.800000000000004</v>
      </c>
      <c r="R119" s="10">
        <f>'Hawk Haven'!P12</f>
        <v>7.6934856512817368E-2</v>
      </c>
      <c r="S119" s="10">
        <f>'Hawk Haven'!Q12</f>
        <v>0.89301600000000014</v>
      </c>
      <c r="T119" t="s">
        <v>148</v>
      </c>
      <c r="U119">
        <v>34</v>
      </c>
      <c r="V119">
        <v>64</v>
      </c>
      <c r="W119" s="49">
        <f t="shared" si="6"/>
        <v>21.799999999999997</v>
      </c>
      <c r="X119" t="str">
        <f t="shared" si="4"/>
        <v>Ha72</v>
      </c>
    </row>
    <row r="120" spans="1:24" x14ac:dyDescent="0.25">
      <c r="A120" s="8">
        <v>117</v>
      </c>
      <c r="B120" s="7" t="s">
        <v>33</v>
      </c>
      <c r="C120" s="8" t="s">
        <v>57</v>
      </c>
      <c r="D120" s="7" t="s">
        <v>947</v>
      </c>
      <c r="E120" s="7" t="s">
        <v>948</v>
      </c>
      <c r="F120" s="7" t="s">
        <v>949</v>
      </c>
      <c r="G120" s="7" t="s">
        <v>950</v>
      </c>
      <c r="H120">
        <v>89</v>
      </c>
      <c r="I120">
        <v>77</v>
      </c>
      <c r="J120">
        <v>19</v>
      </c>
      <c r="K120">
        <v>98</v>
      </c>
      <c r="L120" s="5">
        <f t="shared" si="5"/>
        <v>70.75</v>
      </c>
      <c r="M120">
        <v>82</v>
      </c>
      <c r="N120">
        <v>79</v>
      </c>
      <c r="O120" s="5">
        <f>'Hawk Haven'!M13</f>
        <v>55.837500000000006</v>
      </c>
      <c r="P120" s="5">
        <f>'Hawk Haven'!N13</f>
        <v>55.837500000000006</v>
      </c>
      <c r="Q120" s="11">
        <f>'Hawk Haven'!O13</f>
        <v>74.45</v>
      </c>
      <c r="R120" s="10">
        <f>'Hawk Haven'!P13</f>
        <v>0.11400875930293101</v>
      </c>
      <c r="S120" s="10">
        <f>'Hawk Haven'!Q13</f>
        <v>1.3233487500000003</v>
      </c>
      <c r="T120" t="s">
        <v>148</v>
      </c>
      <c r="U120">
        <v>26</v>
      </c>
      <c r="V120">
        <v>82</v>
      </c>
      <c r="W120" s="49">
        <f t="shared" si="6"/>
        <v>37.425000000000011</v>
      </c>
      <c r="X120" t="str">
        <f t="shared" si="4"/>
        <v>Ha72</v>
      </c>
    </row>
    <row r="121" spans="1:24" x14ac:dyDescent="0.25">
      <c r="A121" s="8">
        <v>118</v>
      </c>
      <c r="B121" s="7" t="s">
        <v>33</v>
      </c>
      <c r="C121" s="8" t="s">
        <v>46</v>
      </c>
      <c r="D121" s="7" t="s">
        <v>951</v>
      </c>
      <c r="E121" s="7" t="s">
        <v>952</v>
      </c>
      <c r="F121" s="7" t="s">
        <v>953</v>
      </c>
      <c r="G121" s="7" t="s">
        <v>954</v>
      </c>
      <c r="H121">
        <v>100</v>
      </c>
      <c r="I121">
        <v>77</v>
      </c>
      <c r="J121">
        <v>5</v>
      </c>
      <c r="K121">
        <v>94</v>
      </c>
      <c r="L121" s="5">
        <f t="shared" si="5"/>
        <v>69</v>
      </c>
      <c r="M121">
        <v>80</v>
      </c>
      <c r="N121">
        <v>79</v>
      </c>
      <c r="O121" s="5">
        <f>'Hawk Haven'!M14</f>
        <v>76.364999999999995</v>
      </c>
      <c r="P121" s="5">
        <f>'Hawk Haven'!N14</f>
        <v>50.91</v>
      </c>
      <c r="Q121" s="11">
        <f>'Hawk Haven'!O14</f>
        <v>84.85</v>
      </c>
      <c r="R121" s="10">
        <f>'Hawk Haven'!P14</f>
        <v>0.15592171755842088</v>
      </c>
      <c r="S121" s="10">
        <f>'Hawk Haven'!Q14</f>
        <v>1.8098505</v>
      </c>
      <c r="T121" t="s">
        <v>148</v>
      </c>
      <c r="U121">
        <v>29</v>
      </c>
      <c r="V121">
        <v>93</v>
      </c>
      <c r="W121" s="49">
        <f t="shared" si="6"/>
        <v>47.824999999999989</v>
      </c>
      <c r="X121" t="str">
        <f t="shared" si="4"/>
        <v>Ha72</v>
      </c>
    </row>
    <row r="122" spans="1:24" x14ac:dyDescent="0.25">
      <c r="A122" s="8">
        <v>119</v>
      </c>
      <c r="B122" s="7" t="s">
        <v>33</v>
      </c>
      <c r="C122" s="8" t="s">
        <v>52</v>
      </c>
      <c r="D122" s="7" t="s">
        <v>955</v>
      </c>
      <c r="E122" s="7" t="s">
        <v>956</v>
      </c>
      <c r="F122" s="7" t="s">
        <v>957</v>
      </c>
      <c r="G122" s="7" t="s">
        <v>958</v>
      </c>
      <c r="H122">
        <v>83</v>
      </c>
      <c r="I122">
        <v>73</v>
      </c>
      <c r="J122">
        <v>3</v>
      </c>
      <c r="K122">
        <v>82</v>
      </c>
      <c r="L122" s="5">
        <f t="shared" si="5"/>
        <v>60.25</v>
      </c>
      <c r="M122">
        <v>86</v>
      </c>
      <c r="N122">
        <v>77</v>
      </c>
      <c r="O122" s="5">
        <f>'Hawk Haven'!M15</f>
        <v>77.05</v>
      </c>
      <c r="P122" s="5">
        <f>'Hawk Haven'!N15</f>
        <v>23.114999999999998</v>
      </c>
      <c r="Q122" s="11">
        <f>'Hawk Haven'!O15</f>
        <v>77.05</v>
      </c>
      <c r="R122" s="10">
        <f>'Hawk Haven'!P15</f>
        <v>0.20923606219309263</v>
      </c>
      <c r="S122" s="10">
        <f>'Hawk Haven'!Q15</f>
        <v>1.779855</v>
      </c>
      <c r="T122" t="s">
        <v>148</v>
      </c>
      <c r="U122">
        <v>21</v>
      </c>
      <c r="V122">
        <v>84</v>
      </c>
      <c r="W122" s="49">
        <f t="shared" si="6"/>
        <v>40.224999999999994</v>
      </c>
      <c r="X122" t="str">
        <f t="shared" si="4"/>
        <v>Ha72</v>
      </c>
    </row>
    <row r="123" spans="1:24" x14ac:dyDescent="0.25">
      <c r="A123" s="8">
        <v>120</v>
      </c>
      <c r="B123" s="7" t="s">
        <v>33</v>
      </c>
      <c r="C123" s="8" t="s">
        <v>59</v>
      </c>
      <c r="D123" s="7" t="s">
        <v>959</v>
      </c>
      <c r="E123" s="7" t="s">
        <v>960</v>
      </c>
      <c r="F123" s="7" t="s">
        <v>961</v>
      </c>
      <c r="G123" s="7" t="s">
        <v>962</v>
      </c>
      <c r="H123">
        <v>100</v>
      </c>
      <c r="I123">
        <v>77</v>
      </c>
      <c r="J123">
        <v>0</v>
      </c>
      <c r="K123">
        <v>79</v>
      </c>
      <c r="L123" s="5">
        <f t="shared" si="5"/>
        <v>64</v>
      </c>
      <c r="M123">
        <v>85</v>
      </c>
      <c r="N123">
        <v>77</v>
      </c>
      <c r="O123" s="5">
        <f>'Hawk Haven'!M16</f>
        <v>77.95</v>
      </c>
      <c r="P123" s="5">
        <f>'Hawk Haven'!N16</f>
        <v>23.385000000000002</v>
      </c>
      <c r="Q123" s="11">
        <f>'Hawk Haven'!O16</f>
        <v>77.95</v>
      </c>
      <c r="R123" s="10">
        <f>'Hawk Haven'!P16</f>
        <v>0.21168009147244091</v>
      </c>
      <c r="S123" s="10">
        <f>'Hawk Haven'!Q16</f>
        <v>1.8006450000000003</v>
      </c>
      <c r="T123" t="s">
        <v>148</v>
      </c>
      <c r="U123">
        <v>34</v>
      </c>
      <c r="V123">
        <v>79</v>
      </c>
      <c r="W123" s="49">
        <f t="shared" si="6"/>
        <v>36.875</v>
      </c>
      <c r="X123" t="str">
        <f t="shared" si="4"/>
        <v>Ha72</v>
      </c>
    </row>
    <row r="124" spans="1:24" x14ac:dyDescent="0.25">
      <c r="A124" s="8">
        <v>121</v>
      </c>
      <c r="B124" s="7" t="s">
        <v>33</v>
      </c>
      <c r="C124" s="8" t="s">
        <v>53</v>
      </c>
      <c r="D124" s="7" t="s">
        <v>963</v>
      </c>
      <c r="E124" s="7" t="s">
        <v>964</v>
      </c>
      <c r="F124" s="7" t="s">
        <v>965</v>
      </c>
      <c r="G124" s="7" t="s">
        <v>966</v>
      </c>
      <c r="H124">
        <v>100</v>
      </c>
      <c r="I124">
        <v>76</v>
      </c>
      <c r="J124">
        <v>18</v>
      </c>
      <c r="K124">
        <v>94</v>
      </c>
      <c r="L124" s="5">
        <f t="shared" si="5"/>
        <v>72</v>
      </c>
      <c r="M124">
        <v>83</v>
      </c>
      <c r="N124">
        <v>72</v>
      </c>
      <c r="O124" s="5">
        <f>'Hawk Haven'!M17</f>
        <v>89.6</v>
      </c>
      <c r="P124" s="5">
        <f>'Hawk Haven'!N17</f>
        <v>26.88</v>
      </c>
      <c r="Q124" s="11">
        <f>'Hawk Haven'!O17</f>
        <v>89.6</v>
      </c>
      <c r="R124" s="10">
        <f>'Hawk Haven'!P17</f>
        <v>0.24331669269956002</v>
      </c>
      <c r="S124" s="10">
        <f>'Hawk Haven'!Q17</f>
        <v>1.9353599999999997</v>
      </c>
      <c r="T124" t="s">
        <v>148</v>
      </c>
      <c r="U124">
        <v>28</v>
      </c>
      <c r="V124">
        <v>99</v>
      </c>
      <c r="W124" s="49">
        <f t="shared" si="6"/>
        <v>53.3</v>
      </c>
      <c r="X124" t="str">
        <f t="shared" si="4"/>
        <v>Ha72</v>
      </c>
    </row>
    <row r="125" spans="1:24" x14ac:dyDescent="0.25">
      <c r="A125" s="8">
        <v>122</v>
      </c>
      <c r="B125" s="7" t="s">
        <v>34</v>
      </c>
      <c r="C125" s="8" t="s">
        <v>11</v>
      </c>
      <c r="D125" s="7" t="s">
        <v>883</v>
      </c>
      <c r="E125" s="7" t="s">
        <v>884</v>
      </c>
      <c r="F125" s="7" t="s">
        <v>885</v>
      </c>
      <c r="G125" s="7" t="s">
        <v>886</v>
      </c>
      <c r="H125">
        <v>60</v>
      </c>
      <c r="I125">
        <v>43</v>
      </c>
      <c r="J125">
        <v>55</v>
      </c>
      <c r="K125">
        <v>61</v>
      </c>
      <c r="L125" s="5">
        <f t="shared" si="5"/>
        <v>54.75</v>
      </c>
      <c r="M125">
        <v>83</v>
      </c>
      <c r="N125">
        <v>26</v>
      </c>
      <c r="O125" s="5">
        <f>'Python Power'!M7</f>
        <v>0</v>
      </c>
      <c r="P125" s="5">
        <f>'Python Power'!N7</f>
        <v>53.699999999999996</v>
      </c>
      <c r="Q125" s="11">
        <f>'Python Power'!O7</f>
        <v>53.699999999999996</v>
      </c>
      <c r="R125" s="10">
        <f>'Python Power'!P7</f>
        <v>0</v>
      </c>
      <c r="S125" s="10">
        <f>'Python Power'!Q7</f>
        <v>0</v>
      </c>
      <c r="T125" t="s">
        <v>146</v>
      </c>
      <c r="U125">
        <v>34</v>
      </c>
      <c r="V125">
        <v>54</v>
      </c>
      <c r="W125" s="49">
        <f t="shared" si="6"/>
        <v>12.25</v>
      </c>
      <c r="X125" t="str">
        <f t="shared" si="4"/>
        <v>Py80</v>
      </c>
    </row>
    <row r="126" spans="1:24" x14ac:dyDescent="0.25">
      <c r="A126" s="8">
        <v>123</v>
      </c>
      <c r="B126" s="7" t="s">
        <v>34</v>
      </c>
      <c r="C126" s="8" t="s">
        <v>54</v>
      </c>
      <c r="D126" s="7" t="s">
        <v>887</v>
      </c>
      <c r="E126" s="7" t="s">
        <v>888</v>
      </c>
      <c r="F126" s="7" t="s">
        <v>889</v>
      </c>
      <c r="G126" s="7" t="s">
        <v>890</v>
      </c>
      <c r="H126">
        <v>76</v>
      </c>
      <c r="I126">
        <v>43</v>
      </c>
      <c r="J126">
        <v>44</v>
      </c>
      <c r="K126">
        <v>62</v>
      </c>
      <c r="L126" s="5">
        <f t="shared" si="5"/>
        <v>56.25</v>
      </c>
      <c r="M126">
        <v>84</v>
      </c>
      <c r="N126">
        <v>32</v>
      </c>
      <c r="O126" s="5">
        <f>'Python Power'!M8</f>
        <v>21.6</v>
      </c>
      <c r="P126" s="5">
        <f>'Python Power'!N8</f>
        <v>48.6</v>
      </c>
      <c r="Q126" s="11">
        <f>'Python Power'!O8</f>
        <v>54</v>
      </c>
      <c r="R126" s="10">
        <f>'Python Power'!P8</f>
        <v>3.8657201813725818E-2</v>
      </c>
      <c r="S126" s="10">
        <f>'Python Power'!Q8</f>
        <v>0.20736000000000004</v>
      </c>
      <c r="T126" t="s">
        <v>146</v>
      </c>
      <c r="U126">
        <v>25</v>
      </c>
      <c r="V126">
        <v>70</v>
      </c>
      <c r="W126" s="49">
        <f t="shared" si="6"/>
        <v>21.299999999999997</v>
      </c>
      <c r="X126" t="str">
        <f t="shared" si="4"/>
        <v>Py80</v>
      </c>
    </row>
    <row r="127" spans="1:24" x14ac:dyDescent="0.25">
      <c r="A127" s="8">
        <v>124</v>
      </c>
      <c r="B127" s="7" t="s">
        <v>34</v>
      </c>
      <c r="C127" s="8" t="s">
        <v>56</v>
      </c>
      <c r="D127" s="7" t="s">
        <v>891</v>
      </c>
      <c r="E127" s="7" t="s">
        <v>892</v>
      </c>
      <c r="F127" s="7" t="s">
        <v>893</v>
      </c>
      <c r="G127" s="7" t="s">
        <v>894</v>
      </c>
      <c r="H127">
        <v>52</v>
      </c>
      <c r="I127">
        <v>45</v>
      </c>
      <c r="J127">
        <v>51</v>
      </c>
      <c r="K127">
        <v>65</v>
      </c>
      <c r="L127" s="5">
        <f t="shared" si="5"/>
        <v>53.25</v>
      </c>
      <c r="M127">
        <v>90</v>
      </c>
      <c r="N127">
        <v>28</v>
      </c>
      <c r="O127" s="5">
        <f>'Python Power'!M9</f>
        <v>15.6975</v>
      </c>
      <c r="P127" s="5">
        <f>'Python Power'!N9</f>
        <v>52.325000000000003</v>
      </c>
      <c r="Q127" s="11">
        <f>'Python Power'!O9</f>
        <v>52.325000000000003</v>
      </c>
      <c r="R127" s="10">
        <f>'Python Power'!P9</f>
        <v>2.8093584512544491E-2</v>
      </c>
      <c r="S127" s="10">
        <f>'Python Power'!Q9</f>
        <v>0.131859</v>
      </c>
      <c r="T127" t="s">
        <v>146</v>
      </c>
      <c r="U127">
        <v>24</v>
      </c>
      <c r="V127">
        <v>74</v>
      </c>
      <c r="W127" s="49">
        <f t="shared" si="6"/>
        <v>22.5625</v>
      </c>
      <c r="X127" t="str">
        <f t="shared" si="4"/>
        <v>Py80</v>
      </c>
    </row>
    <row r="128" spans="1:24" x14ac:dyDescent="0.25">
      <c r="A128" s="8">
        <v>125</v>
      </c>
      <c r="B128" s="7" t="s">
        <v>34</v>
      </c>
      <c r="C128" s="8" t="s">
        <v>56</v>
      </c>
      <c r="D128" s="7" t="s">
        <v>895</v>
      </c>
      <c r="E128" s="7" t="s">
        <v>896</v>
      </c>
      <c r="F128" s="7" t="s">
        <v>897</v>
      </c>
      <c r="G128" s="7" t="s">
        <v>898</v>
      </c>
      <c r="H128">
        <v>57</v>
      </c>
      <c r="I128">
        <v>25</v>
      </c>
      <c r="J128">
        <v>65</v>
      </c>
      <c r="K128">
        <v>56</v>
      </c>
      <c r="L128" s="5">
        <f t="shared" si="5"/>
        <v>50.75</v>
      </c>
      <c r="M128">
        <v>89</v>
      </c>
      <c r="N128">
        <v>28</v>
      </c>
      <c r="O128" s="5">
        <f>'Python Power'!M10</f>
        <v>16.994999999999997</v>
      </c>
      <c r="P128" s="5">
        <f>'Python Power'!N10</f>
        <v>56.65</v>
      </c>
      <c r="Q128" s="11">
        <f>'Python Power'!O10</f>
        <v>56.65</v>
      </c>
      <c r="R128" s="10">
        <f>'Python Power'!P10</f>
        <v>3.0415701149271768E-2</v>
      </c>
      <c r="S128" s="10">
        <f>'Python Power'!Q10</f>
        <v>0.142758</v>
      </c>
      <c r="T128" t="s">
        <v>146</v>
      </c>
      <c r="U128">
        <v>22</v>
      </c>
      <c r="V128">
        <v>63</v>
      </c>
      <c r="W128" s="49">
        <f t="shared" si="6"/>
        <v>19.424999999999997</v>
      </c>
      <c r="X128" t="str">
        <f t="shared" si="4"/>
        <v>Py80</v>
      </c>
    </row>
    <row r="129" spans="1:24" x14ac:dyDescent="0.25">
      <c r="A129" s="8">
        <v>126</v>
      </c>
      <c r="B129" s="7" t="s">
        <v>34</v>
      </c>
      <c r="C129" s="8" t="s">
        <v>55</v>
      </c>
      <c r="D129" s="7" t="s">
        <v>899</v>
      </c>
      <c r="E129" s="7" t="s">
        <v>887</v>
      </c>
      <c r="F129" s="7" t="s">
        <v>900</v>
      </c>
      <c r="G129" s="7" t="s">
        <v>901</v>
      </c>
      <c r="H129">
        <v>63</v>
      </c>
      <c r="I129">
        <v>36</v>
      </c>
      <c r="J129">
        <v>57</v>
      </c>
      <c r="K129">
        <v>55</v>
      </c>
      <c r="L129" s="5">
        <f t="shared" si="5"/>
        <v>52.75</v>
      </c>
      <c r="M129">
        <v>81</v>
      </c>
      <c r="N129">
        <v>29</v>
      </c>
      <c r="O129" s="5">
        <f>'Python Power'!M11</f>
        <v>21.24</v>
      </c>
      <c r="P129" s="5">
        <f>'Python Power'!N11</f>
        <v>47.79</v>
      </c>
      <c r="Q129" s="11">
        <f>'Python Power'!O11</f>
        <v>53.099999999999994</v>
      </c>
      <c r="R129" s="10">
        <f>'Python Power'!P11</f>
        <v>3.8012915116830387E-2</v>
      </c>
      <c r="S129" s="10">
        <f>'Python Power'!Q11</f>
        <v>0.18478799999999998</v>
      </c>
      <c r="T129" t="s">
        <v>146</v>
      </c>
      <c r="U129">
        <v>27</v>
      </c>
      <c r="V129">
        <v>69</v>
      </c>
      <c r="W129" s="49">
        <f t="shared" si="6"/>
        <v>20.149999999999999</v>
      </c>
      <c r="X129" t="str">
        <f t="shared" si="4"/>
        <v>Py80</v>
      </c>
    </row>
    <row r="130" spans="1:24" x14ac:dyDescent="0.25">
      <c r="A130" s="8">
        <v>127</v>
      </c>
      <c r="B130" s="7" t="s">
        <v>34</v>
      </c>
      <c r="C130" s="8" t="s">
        <v>45</v>
      </c>
      <c r="D130" s="7" t="s">
        <v>884</v>
      </c>
      <c r="E130" s="7" t="s">
        <v>902</v>
      </c>
      <c r="F130" s="7" t="s">
        <v>903</v>
      </c>
      <c r="G130" s="7" t="s">
        <v>904</v>
      </c>
      <c r="H130">
        <v>68</v>
      </c>
      <c r="I130">
        <v>44</v>
      </c>
      <c r="J130">
        <v>40</v>
      </c>
      <c r="K130">
        <v>51</v>
      </c>
      <c r="L130" s="5">
        <f t="shared" si="5"/>
        <v>50.75</v>
      </c>
      <c r="M130">
        <v>84</v>
      </c>
      <c r="N130">
        <v>32</v>
      </c>
      <c r="O130" s="5">
        <f>'Python Power'!M12</f>
        <v>28.229999999999997</v>
      </c>
      <c r="P130" s="5">
        <f>'Python Power'!N12</f>
        <v>42.344999999999999</v>
      </c>
      <c r="Q130" s="11">
        <f>'Python Power'!O12</f>
        <v>47.05</v>
      </c>
      <c r="R130" s="10">
        <f>'Python Power'!P12</f>
        <v>7.5407186788383068E-2</v>
      </c>
      <c r="S130" s="10">
        <f>'Python Power'!Q12</f>
        <v>0.27100800000000003</v>
      </c>
      <c r="T130" t="s">
        <v>146</v>
      </c>
      <c r="U130">
        <v>32</v>
      </c>
      <c r="V130">
        <v>53</v>
      </c>
      <c r="W130" s="49">
        <f t="shared" si="6"/>
        <v>8.625</v>
      </c>
      <c r="X130" t="str">
        <f t="shared" si="4"/>
        <v>Py80</v>
      </c>
    </row>
    <row r="131" spans="1:24" x14ac:dyDescent="0.25">
      <c r="A131" s="8">
        <v>128</v>
      </c>
      <c r="B131" s="7" t="s">
        <v>34</v>
      </c>
      <c r="C131" s="8" t="s">
        <v>57</v>
      </c>
      <c r="D131" s="7" t="s">
        <v>905</v>
      </c>
      <c r="E131" s="7" t="s">
        <v>906</v>
      </c>
      <c r="F131" s="7" t="s">
        <v>907</v>
      </c>
      <c r="G131" s="7" t="s">
        <v>908</v>
      </c>
      <c r="H131">
        <v>75</v>
      </c>
      <c r="I131">
        <v>36</v>
      </c>
      <c r="J131">
        <v>52</v>
      </c>
      <c r="K131">
        <v>59</v>
      </c>
      <c r="L131" s="5">
        <f t="shared" si="5"/>
        <v>55.5</v>
      </c>
      <c r="M131">
        <v>80</v>
      </c>
      <c r="N131">
        <v>32</v>
      </c>
      <c r="O131" s="5">
        <f>'Python Power'!M13</f>
        <v>38.700000000000003</v>
      </c>
      <c r="P131" s="5">
        <f>'Python Power'!N13</f>
        <v>38.700000000000003</v>
      </c>
      <c r="Q131" s="11">
        <f>'Python Power'!O13</f>
        <v>51.6</v>
      </c>
      <c r="R131" s="10">
        <f>'Python Power'!P13</f>
        <v>0.1033743580839683</v>
      </c>
      <c r="S131" s="10">
        <f>'Python Power'!Q13</f>
        <v>0.37152000000000002</v>
      </c>
      <c r="T131" t="s">
        <v>146</v>
      </c>
      <c r="U131">
        <v>30</v>
      </c>
      <c r="V131">
        <v>55</v>
      </c>
      <c r="W131" s="49">
        <f t="shared" si="6"/>
        <v>12.100000000000001</v>
      </c>
      <c r="X131" t="str">
        <f t="shared" si="4"/>
        <v>Py80</v>
      </c>
    </row>
    <row r="132" spans="1:24" x14ac:dyDescent="0.25">
      <c r="A132" s="8">
        <v>129</v>
      </c>
      <c r="B132" s="7" t="s">
        <v>34</v>
      </c>
      <c r="C132" s="8" t="s">
        <v>46</v>
      </c>
      <c r="D132" s="7" t="s">
        <v>892</v>
      </c>
      <c r="E132" s="7" t="s">
        <v>909</v>
      </c>
      <c r="F132" s="7" t="s">
        <v>910</v>
      </c>
      <c r="G132" s="7" t="s">
        <v>911</v>
      </c>
      <c r="H132">
        <v>58</v>
      </c>
      <c r="I132">
        <v>61</v>
      </c>
      <c r="J132">
        <v>43</v>
      </c>
      <c r="K132">
        <v>63</v>
      </c>
      <c r="L132" s="5">
        <f t="shared" si="5"/>
        <v>56.25</v>
      </c>
      <c r="M132">
        <v>86</v>
      </c>
      <c r="N132">
        <v>25</v>
      </c>
      <c r="O132" s="5">
        <f>'Python Power'!M14</f>
        <v>53.505000000000003</v>
      </c>
      <c r="P132" s="5">
        <f>'Python Power'!N14</f>
        <v>35.67</v>
      </c>
      <c r="Q132" s="11">
        <f>'Python Power'!O14</f>
        <v>59.45</v>
      </c>
      <c r="R132" s="10">
        <f>'Python Power'!P14</f>
        <v>0.14292106018818407</v>
      </c>
      <c r="S132" s="10">
        <f>'Python Power'!Q14</f>
        <v>0.40128750000000002</v>
      </c>
      <c r="T132" t="s">
        <v>146</v>
      </c>
      <c r="U132">
        <v>24</v>
      </c>
      <c r="V132">
        <v>67</v>
      </c>
      <c r="W132" s="49">
        <f t="shared" si="6"/>
        <v>22.625</v>
      </c>
      <c r="X132" t="str">
        <f t="shared" si="4"/>
        <v>Py80</v>
      </c>
    </row>
    <row r="133" spans="1:24" x14ac:dyDescent="0.25">
      <c r="A133" s="8">
        <v>130</v>
      </c>
      <c r="B133" s="7" t="s">
        <v>34</v>
      </c>
      <c r="C133" s="8" t="s">
        <v>52</v>
      </c>
      <c r="D133" s="7" t="s">
        <v>912</v>
      </c>
      <c r="E133" s="7" t="s">
        <v>895</v>
      </c>
      <c r="F133" s="7" t="s">
        <v>913</v>
      </c>
      <c r="G133" s="7" t="s">
        <v>914</v>
      </c>
      <c r="H133">
        <v>56</v>
      </c>
      <c r="I133">
        <v>48</v>
      </c>
      <c r="J133">
        <v>61</v>
      </c>
      <c r="K133">
        <v>56</v>
      </c>
      <c r="L133" s="5">
        <f t="shared" si="5"/>
        <v>55.25</v>
      </c>
      <c r="M133">
        <v>88</v>
      </c>
      <c r="N133">
        <v>30</v>
      </c>
      <c r="O133" s="5">
        <f>'Python Power'!M15</f>
        <v>55.05</v>
      </c>
      <c r="P133" s="5">
        <f>'Python Power'!N15</f>
        <v>16.514999999999997</v>
      </c>
      <c r="Q133" s="11">
        <f>'Python Power'!O15</f>
        <v>55.05</v>
      </c>
      <c r="R133" s="10">
        <f>'Python Power'!P15</f>
        <v>0.1955738679238983</v>
      </c>
      <c r="S133" s="10">
        <f>'Python Power'!Q15</f>
        <v>0.49544999999999995</v>
      </c>
      <c r="T133" t="s">
        <v>146</v>
      </c>
      <c r="U133">
        <v>26</v>
      </c>
      <c r="V133">
        <v>69</v>
      </c>
      <c r="W133" s="49">
        <f t="shared" si="6"/>
        <v>21.225000000000001</v>
      </c>
      <c r="X133" t="str">
        <f t="shared" ref="X133:X196" si="7">_xlfn.CONCAT(LEFT(B133,2),CODE(B133))</f>
        <v>Py80</v>
      </c>
    </row>
    <row r="134" spans="1:24" x14ac:dyDescent="0.25">
      <c r="A134" s="8">
        <v>131</v>
      </c>
      <c r="B134" s="7" t="s">
        <v>34</v>
      </c>
      <c r="C134" s="8" t="s">
        <v>59</v>
      </c>
      <c r="D134" s="7" t="s">
        <v>915</v>
      </c>
      <c r="E134" s="7" t="s">
        <v>916</v>
      </c>
      <c r="F134" s="7" t="s">
        <v>917</v>
      </c>
      <c r="G134" s="7" t="s">
        <v>918</v>
      </c>
      <c r="H134">
        <v>62</v>
      </c>
      <c r="I134">
        <v>51</v>
      </c>
      <c r="J134">
        <v>52</v>
      </c>
      <c r="K134">
        <v>73</v>
      </c>
      <c r="L134" s="5">
        <f t="shared" si="5"/>
        <v>59.5</v>
      </c>
      <c r="M134">
        <v>88</v>
      </c>
      <c r="N134">
        <v>28</v>
      </c>
      <c r="O134" s="5">
        <f>'Python Power'!M16</f>
        <v>61.550000000000004</v>
      </c>
      <c r="P134" s="5">
        <f>'Python Power'!N16</f>
        <v>18.465</v>
      </c>
      <c r="Q134" s="11">
        <f>'Python Power'!O16</f>
        <v>61.550000000000004</v>
      </c>
      <c r="R134" s="10">
        <f>'Python Power'!P16</f>
        <v>0.21866615024007161</v>
      </c>
      <c r="S134" s="10">
        <f>'Python Power'!Q16</f>
        <v>0.51702000000000004</v>
      </c>
      <c r="T134" t="s">
        <v>146</v>
      </c>
      <c r="U134">
        <v>29</v>
      </c>
      <c r="V134">
        <v>62</v>
      </c>
      <c r="W134" s="49">
        <f t="shared" si="6"/>
        <v>20.674999999999997</v>
      </c>
      <c r="X134" t="str">
        <f t="shared" si="7"/>
        <v>Py80</v>
      </c>
    </row>
    <row r="135" spans="1:24" x14ac:dyDescent="0.25">
      <c r="A135" s="8">
        <v>132</v>
      </c>
      <c r="B135" s="7" t="s">
        <v>34</v>
      </c>
      <c r="C135" s="8" t="s">
        <v>53</v>
      </c>
      <c r="D135" s="7" t="s">
        <v>919</v>
      </c>
      <c r="E135" s="7" t="s">
        <v>920</v>
      </c>
      <c r="F135" s="7" t="s">
        <v>921</v>
      </c>
      <c r="G135" s="7" t="s">
        <v>922</v>
      </c>
      <c r="H135">
        <v>63</v>
      </c>
      <c r="I135">
        <v>39</v>
      </c>
      <c r="J135">
        <v>39</v>
      </c>
      <c r="K135">
        <v>71</v>
      </c>
      <c r="L135" s="5">
        <f t="shared" si="5"/>
        <v>53</v>
      </c>
      <c r="M135">
        <v>81</v>
      </c>
      <c r="N135">
        <v>26</v>
      </c>
      <c r="O135" s="5">
        <f>'Python Power'!M17</f>
        <v>61.8</v>
      </c>
      <c r="P135" s="5">
        <f>'Python Power'!N17</f>
        <v>18.54</v>
      </c>
      <c r="Q135" s="11">
        <f>'Python Power'!O17</f>
        <v>61.8</v>
      </c>
      <c r="R135" s="10">
        <f>'Python Power'!P17</f>
        <v>0.21955431494453981</v>
      </c>
      <c r="S135" s="10">
        <f>'Python Power'!Q17</f>
        <v>0.48204000000000002</v>
      </c>
      <c r="T135" t="s">
        <v>146</v>
      </c>
      <c r="U135">
        <v>24</v>
      </c>
      <c r="V135">
        <v>63</v>
      </c>
      <c r="W135" s="49">
        <f t="shared" si="6"/>
        <v>21.799999999999997</v>
      </c>
      <c r="X135" t="str">
        <f t="shared" si="7"/>
        <v>Py80</v>
      </c>
    </row>
    <row r="136" spans="1:24" x14ac:dyDescent="0.25">
      <c r="A136" s="8">
        <v>133</v>
      </c>
      <c r="B136" s="7" t="s">
        <v>35</v>
      </c>
      <c r="C136" s="8" t="s">
        <v>11</v>
      </c>
      <c r="D136" s="7" t="s">
        <v>839</v>
      </c>
      <c r="E136" s="7" t="s">
        <v>840</v>
      </c>
      <c r="F136" s="7" t="s">
        <v>841</v>
      </c>
      <c r="G136" s="7" t="s">
        <v>842</v>
      </c>
      <c r="H136">
        <v>60</v>
      </c>
      <c r="I136">
        <v>96</v>
      </c>
      <c r="J136">
        <v>43</v>
      </c>
      <c r="K136">
        <v>51</v>
      </c>
      <c r="L136" s="5">
        <f t="shared" ref="L136:L199" si="8">AVERAGE(H136:K136)</f>
        <v>62.5</v>
      </c>
      <c r="M136">
        <v>77</v>
      </c>
      <c r="N136">
        <v>95</v>
      </c>
      <c r="O136" s="5">
        <f>'Dolphin Dribblers'!M7</f>
        <v>0</v>
      </c>
      <c r="P136" s="5">
        <f>'Dolphin Dribblers'!N7</f>
        <v>69.55</v>
      </c>
      <c r="Q136" s="11">
        <f>'Dolphin Dribblers'!O7</f>
        <v>69.55</v>
      </c>
      <c r="R136" s="10">
        <f>'Dolphin Dribblers'!P7</f>
        <v>0</v>
      </c>
      <c r="S136" s="10">
        <f>'Dolphin Dribblers'!Q7</f>
        <v>0</v>
      </c>
      <c r="T136" t="s">
        <v>158</v>
      </c>
      <c r="U136">
        <v>21</v>
      </c>
      <c r="V136">
        <v>93</v>
      </c>
      <c r="W136" s="49">
        <f t="shared" si="6"/>
        <v>40.974999999999994</v>
      </c>
      <c r="X136" t="str">
        <f t="shared" si="7"/>
        <v>Do68</v>
      </c>
    </row>
    <row r="137" spans="1:24" x14ac:dyDescent="0.25">
      <c r="A137" s="8">
        <v>134</v>
      </c>
      <c r="B137" s="7" t="s">
        <v>35</v>
      </c>
      <c r="C137" s="8" t="s">
        <v>54</v>
      </c>
      <c r="D137" s="7" t="s">
        <v>843</v>
      </c>
      <c r="E137" s="7" t="s">
        <v>844</v>
      </c>
      <c r="F137" s="7" t="s">
        <v>845</v>
      </c>
      <c r="G137" s="7" t="s">
        <v>846</v>
      </c>
      <c r="H137">
        <v>78</v>
      </c>
      <c r="I137">
        <v>100</v>
      </c>
      <c r="J137">
        <v>34</v>
      </c>
      <c r="K137">
        <v>87</v>
      </c>
      <c r="L137" s="5">
        <f t="shared" si="8"/>
        <v>74.75</v>
      </c>
      <c r="M137">
        <v>84</v>
      </c>
      <c r="N137">
        <v>95</v>
      </c>
      <c r="O137" s="5">
        <f>'Dolphin Dribblers'!M8</f>
        <v>27.879999999999995</v>
      </c>
      <c r="P137" s="5">
        <f>'Dolphin Dribblers'!N8</f>
        <v>62.72999999999999</v>
      </c>
      <c r="Q137" s="11">
        <f>'Dolphin Dribblers'!O8</f>
        <v>69.699999999999989</v>
      </c>
      <c r="R137" s="10">
        <f>'Dolphin Dribblers'!P8</f>
        <v>4.3430577594875633E-2</v>
      </c>
      <c r="S137" s="10">
        <f>'Dolphin Dribblers'!Q8</f>
        <v>0.79457999999999984</v>
      </c>
      <c r="T137" t="s">
        <v>158</v>
      </c>
      <c r="U137">
        <v>19</v>
      </c>
      <c r="V137">
        <v>87</v>
      </c>
      <c r="W137" s="49">
        <f t="shared" si="6"/>
        <v>38.25</v>
      </c>
      <c r="X137" t="str">
        <f t="shared" si="7"/>
        <v>Do68</v>
      </c>
    </row>
    <row r="138" spans="1:24" x14ac:dyDescent="0.25">
      <c r="A138" s="8">
        <v>135</v>
      </c>
      <c r="B138" s="7" t="s">
        <v>35</v>
      </c>
      <c r="C138" s="8" t="s">
        <v>56</v>
      </c>
      <c r="D138" s="7" t="s">
        <v>847</v>
      </c>
      <c r="E138" s="7" t="s">
        <v>848</v>
      </c>
      <c r="F138" s="7" t="s">
        <v>849</v>
      </c>
      <c r="G138" s="7" t="s">
        <v>850</v>
      </c>
      <c r="H138">
        <v>43</v>
      </c>
      <c r="I138">
        <v>83</v>
      </c>
      <c r="J138">
        <v>14</v>
      </c>
      <c r="K138">
        <v>77</v>
      </c>
      <c r="L138" s="5">
        <f t="shared" si="8"/>
        <v>54.25</v>
      </c>
      <c r="M138">
        <v>78</v>
      </c>
      <c r="N138">
        <v>91</v>
      </c>
      <c r="O138" s="5">
        <f>'Dolphin Dribblers'!M9</f>
        <v>11.227499999999999</v>
      </c>
      <c r="P138" s="5">
        <f>'Dolphin Dribblers'!N9</f>
        <v>37.424999999999997</v>
      </c>
      <c r="Q138" s="11">
        <f>'Dolphin Dribblers'!O9</f>
        <v>37.424999999999997</v>
      </c>
      <c r="R138" s="10">
        <f>'Dolphin Dribblers'!P9</f>
        <v>1.7489842537534658E-2</v>
      </c>
      <c r="S138" s="10">
        <f>'Dolphin Dribblers'!Q9</f>
        <v>0.30651074999999994</v>
      </c>
      <c r="T138" t="s">
        <v>158</v>
      </c>
      <c r="U138">
        <v>29</v>
      </c>
      <c r="V138">
        <v>44</v>
      </c>
      <c r="W138" s="49" t="str">
        <f t="shared" si="6"/>
        <v>0</v>
      </c>
      <c r="X138" t="str">
        <f t="shared" si="7"/>
        <v>Do68</v>
      </c>
    </row>
    <row r="139" spans="1:24" x14ac:dyDescent="0.25">
      <c r="A139" s="8">
        <v>136</v>
      </c>
      <c r="B139" s="7" t="s">
        <v>35</v>
      </c>
      <c r="C139" s="8" t="s">
        <v>56</v>
      </c>
      <c r="D139" s="7" t="s">
        <v>851</v>
      </c>
      <c r="E139" s="7" t="s">
        <v>852</v>
      </c>
      <c r="F139" s="7" t="s">
        <v>853</v>
      </c>
      <c r="G139" s="7" t="s">
        <v>854</v>
      </c>
      <c r="H139">
        <v>49</v>
      </c>
      <c r="I139">
        <v>100</v>
      </c>
      <c r="J139">
        <v>18</v>
      </c>
      <c r="K139">
        <v>69</v>
      </c>
      <c r="L139" s="5">
        <f t="shared" si="8"/>
        <v>59</v>
      </c>
      <c r="M139">
        <v>84</v>
      </c>
      <c r="N139">
        <v>100</v>
      </c>
      <c r="O139" s="5">
        <f>'Dolphin Dribblers'!M10</f>
        <v>12.547500000000001</v>
      </c>
      <c r="P139" s="5">
        <f>'Dolphin Dribblers'!N10</f>
        <v>41.825000000000003</v>
      </c>
      <c r="Q139" s="11">
        <f>'Dolphin Dribblers'!O10</f>
        <v>41.825000000000003</v>
      </c>
      <c r="R139" s="10">
        <f>'Dolphin Dribblers'!P10</f>
        <v>1.9546096570003665E-2</v>
      </c>
      <c r="S139" s="10">
        <f>'Dolphin Dribblers'!Q10</f>
        <v>0.37642500000000001</v>
      </c>
      <c r="T139" t="s">
        <v>158</v>
      </c>
      <c r="U139">
        <v>34</v>
      </c>
      <c r="V139">
        <v>43</v>
      </c>
      <c r="W139" s="49">
        <f t="shared" si="6"/>
        <v>0.8125</v>
      </c>
      <c r="X139" t="str">
        <f t="shared" si="7"/>
        <v>Do68</v>
      </c>
    </row>
    <row r="140" spans="1:24" x14ac:dyDescent="0.25">
      <c r="A140" s="8">
        <v>137</v>
      </c>
      <c r="B140" s="7" t="s">
        <v>35</v>
      </c>
      <c r="C140" s="8" t="s">
        <v>55</v>
      </c>
      <c r="D140" s="7" t="s">
        <v>855</v>
      </c>
      <c r="E140" s="7" t="s">
        <v>856</v>
      </c>
      <c r="F140" s="7" t="s">
        <v>857</v>
      </c>
      <c r="G140" s="7" t="s">
        <v>858</v>
      </c>
      <c r="H140">
        <v>62</v>
      </c>
      <c r="I140">
        <v>100</v>
      </c>
      <c r="J140">
        <v>2</v>
      </c>
      <c r="K140">
        <v>73</v>
      </c>
      <c r="L140" s="5">
        <f t="shared" si="8"/>
        <v>59.25</v>
      </c>
      <c r="M140">
        <v>83</v>
      </c>
      <c r="N140">
        <v>96</v>
      </c>
      <c r="O140" s="5">
        <f>'Dolphin Dribblers'!M11</f>
        <v>20.759999999999998</v>
      </c>
      <c r="P140" s="5">
        <f>'Dolphin Dribblers'!N11</f>
        <v>46.709999999999994</v>
      </c>
      <c r="Q140" s="11">
        <f>'Dolphin Dribblers'!O11</f>
        <v>51.899999999999991</v>
      </c>
      <c r="R140" s="10">
        <f>'Dolphin Dribblers'!P11</f>
        <v>3.2339267965194339E-2</v>
      </c>
      <c r="S140" s="10">
        <f>'Dolphin Dribblers'!Q11</f>
        <v>0.59788799999999998</v>
      </c>
      <c r="T140" t="s">
        <v>158</v>
      </c>
      <c r="U140">
        <v>24</v>
      </c>
      <c r="V140">
        <v>73</v>
      </c>
      <c r="W140" s="49">
        <f t="shared" si="6"/>
        <v>21.849999999999994</v>
      </c>
      <c r="X140" t="str">
        <f t="shared" si="7"/>
        <v>Do68</v>
      </c>
    </row>
    <row r="141" spans="1:24" x14ac:dyDescent="0.25">
      <c r="A141" s="8">
        <v>138</v>
      </c>
      <c r="B141" s="7" t="s">
        <v>35</v>
      </c>
      <c r="C141" s="8" t="s">
        <v>45</v>
      </c>
      <c r="D141" s="7" t="s">
        <v>859</v>
      </c>
      <c r="E141" s="7" t="s">
        <v>860</v>
      </c>
      <c r="F141" s="7" t="s">
        <v>861</v>
      </c>
      <c r="G141" s="7" t="s">
        <v>862</v>
      </c>
      <c r="H141">
        <v>48</v>
      </c>
      <c r="I141">
        <v>100</v>
      </c>
      <c r="J141">
        <v>22</v>
      </c>
      <c r="K141">
        <v>73</v>
      </c>
      <c r="L141" s="5">
        <f t="shared" si="8"/>
        <v>60.75</v>
      </c>
      <c r="M141">
        <v>80</v>
      </c>
      <c r="N141">
        <v>97</v>
      </c>
      <c r="O141" s="5">
        <f>'Dolphin Dribblers'!M12</f>
        <v>34.17</v>
      </c>
      <c r="P141" s="5">
        <f>'Dolphin Dribblers'!N12</f>
        <v>51.255000000000003</v>
      </c>
      <c r="Q141" s="11">
        <f>'Dolphin Dribblers'!O12</f>
        <v>56.95</v>
      </c>
      <c r="R141" s="10">
        <f>'Dolphin Dribblers'!P12</f>
        <v>7.9446178527211531E-2</v>
      </c>
      <c r="S141" s="10">
        <f>'Dolphin Dribblers'!Q12</f>
        <v>0.99434699999999998</v>
      </c>
      <c r="T141" t="s">
        <v>158</v>
      </c>
      <c r="U141">
        <v>18</v>
      </c>
      <c r="V141">
        <v>72</v>
      </c>
      <c r="W141" s="49">
        <f t="shared" si="6"/>
        <v>24.474999999999994</v>
      </c>
      <c r="X141" t="str">
        <f t="shared" si="7"/>
        <v>Do68</v>
      </c>
    </row>
    <row r="142" spans="1:24" x14ac:dyDescent="0.25">
      <c r="A142" s="8">
        <v>139</v>
      </c>
      <c r="B142" s="7" t="s">
        <v>35</v>
      </c>
      <c r="C142" s="8" t="s">
        <v>57</v>
      </c>
      <c r="D142" s="7" t="s">
        <v>863</v>
      </c>
      <c r="E142" s="7" t="s">
        <v>864</v>
      </c>
      <c r="F142" s="7" t="s">
        <v>865</v>
      </c>
      <c r="G142" s="7" t="s">
        <v>866</v>
      </c>
      <c r="H142">
        <v>64</v>
      </c>
      <c r="I142">
        <v>93</v>
      </c>
      <c r="J142">
        <v>28</v>
      </c>
      <c r="K142">
        <v>74</v>
      </c>
      <c r="L142" s="5">
        <f t="shared" si="8"/>
        <v>64.75</v>
      </c>
      <c r="M142">
        <v>75</v>
      </c>
      <c r="N142">
        <v>92</v>
      </c>
      <c r="O142" s="5">
        <f>'Dolphin Dribblers'!M13</f>
        <v>54.862500000000004</v>
      </c>
      <c r="P142" s="5">
        <f>'Dolphin Dribblers'!N13</f>
        <v>54.862500000000004</v>
      </c>
      <c r="Q142" s="11">
        <f>'Dolphin Dribblers'!O13</f>
        <v>73.150000000000006</v>
      </c>
      <c r="R142" s="10">
        <f>'Dolphin Dribblers'!P13</f>
        <v>0.1275568033201388</v>
      </c>
      <c r="S142" s="10">
        <f>'Dolphin Dribblers'!Q13</f>
        <v>1.514205</v>
      </c>
      <c r="T142" t="s">
        <v>158</v>
      </c>
      <c r="U142">
        <v>32</v>
      </c>
      <c r="V142">
        <v>78</v>
      </c>
      <c r="W142" s="49">
        <f t="shared" si="6"/>
        <v>34.175000000000011</v>
      </c>
      <c r="X142" t="str">
        <f t="shared" si="7"/>
        <v>Do68</v>
      </c>
    </row>
    <row r="143" spans="1:24" x14ac:dyDescent="0.25">
      <c r="A143" s="8">
        <v>140</v>
      </c>
      <c r="B143" s="7" t="s">
        <v>35</v>
      </c>
      <c r="C143" s="8" t="s">
        <v>46</v>
      </c>
      <c r="D143" s="7" t="s">
        <v>867</v>
      </c>
      <c r="E143" s="7" t="s">
        <v>868</v>
      </c>
      <c r="F143" s="7" t="s">
        <v>869</v>
      </c>
      <c r="G143" s="7" t="s">
        <v>870</v>
      </c>
      <c r="H143">
        <v>94</v>
      </c>
      <c r="I143">
        <v>100</v>
      </c>
      <c r="J143">
        <v>31</v>
      </c>
      <c r="K143">
        <v>55</v>
      </c>
      <c r="L143" s="5">
        <f t="shared" si="8"/>
        <v>70</v>
      </c>
      <c r="M143">
        <v>84</v>
      </c>
      <c r="N143">
        <v>96</v>
      </c>
      <c r="O143" s="5">
        <f>'Dolphin Dribblers'!M14</f>
        <v>76.905000000000001</v>
      </c>
      <c r="P143" s="5">
        <f>'Dolphin Dribblers'!N14</f>
        <v>51.27</v>
      </c>
      <c r="Q143" s="11">
        <f>'Dolphin Dribblers'!O14</f>
        <v>85.45</v>
      </c>
      <c r="R143" s="10">
        <f>'Dolphin Dribblers'!P14</f>
        <v>0.17880621479763545</v>
      </c>
      <c r="S143" s="10">
        <f>'Dolphin Dribblers'!Q14</f>
        <v>2.2148639999999999</v>
      </c>
      <c r="T143" t="s">
        <v>158</v>
      </c>
      <c r="U143">
        <v>28</v>
      </c>
      <c r="V143">
        <v>99</v>
      </c>
      <c r="W143" s="49">
        <f t="shared" si="6"/>
        <v>51.224999999999994</v>
      </c>
      <c r="X143" t="str">
        <f t="shared" si="7"/>
        <v>Do68</v>
      </c>
    </row>
    <row r="144" spans="1:24" x14ac:dyDescent="0.25">
      <c r="A144" s="8">
        <v>141</v>
      </c>
      <c r="B144" s="7" t="s">
        <v>35</v>
      </c>
      <c r="C144" s="8" t="s">
        <v>52</v>
      </c>
      <c r="D144" s="7" t="s">
        <v>871</v>
      </c>
      <c r="E144" s="7" t="s">
        <v>872</v>
      </c>
      <c r="F144" s="7" t="s">
        <v>873</v>
      </c>
      <c r="G144" s="7" t="s">
        <v>874</v>
      </c>
      <c r="H144">
        <v>41</v>
      </c>
      <c r="I144">
        <v>98</v>
      </c>
      <c r="J144">
        <v>29</v>
      </c>
      <c r="K144">
        <v>57</v>
      </c>
      <c r="L144" s="5">
        <f t="shared" si="8"/>
        <v>56.25</v>
      </c>
      <c r="M144">
        <v>82</v>
      </c>
      <c r="N144">
        <v>98</v>
      </c>
      <c r="O144" s="5">
        <f>'Dolphin Dribblers'!M15</f>
        <v>56.15</v>
      </c>
      <c r="P144" s="5">
        <f>'Dolphin Dribblers'!N15</f>
        <v>16.844999999999999</v>
      </c>
      <c r="Q144" s="11">
        <f>'Dolphin Dribblers'!O15</f>
        <v>56.15</v>
      </c>
      <c r="R144" s="10">
        <f>'Dolphin Dribblers'!P15</f>
        <v>0.1736318668224435</v>
      </c>
      <c r="S144" s="10">
        <f>'Dolphin Dribblers'!Q15</f>
        <v>1.6508100000000001</v>
      </c>
      <c r="T144" t="s">
        <v>158</v>
      </c>
      <c r="U144">
        <v>19</v>
      </c>
      <c r="V144">
        <v>74</v>
      </c>
      <c r="W144" s="49">
        <f t="shared" si="6"/>
        <v>24.974999999999994</v>
      </c>
      <c r="X144" t="str">
        <f t="shared" si="7"/>
        <v>Do68</v>
      </c>
    </row>
    <row r="145" spans="1:24" x14ac:dyDescent="0.25">
      <c r="A145" s="8">
        <v>142</v>
      </c>
      <c r="B145" s="7" t="s">
        <v>35</v>
      </c>
      <c r="C145" s="8" t="s">
        <v>59</v>
      </c>
      <c r="D145" s="7" t="s">
        <v>875</v>
      </c>
      <c r="E145" s="7" t="s">
        <v>876</v>
      </c>
      <c r="F145" s="7" t="s">
        <v>877</v>
      </c>
      <c r="G145" s="7" t="s">
        <v>878</v>
      </c>
      <c r="H145">
        <v>64</v>
      </c>
      <c r="I145">
        <v>100</v>
      </c>
      <c r="J145">
        <v>10</v>
      </c>
      <c r="K145">
        <v>48</v>
      </c>
      <c r="L145" s="5">
        <f t="shared" si="8"/>
        <v>55.5</v>
      </c>
      <c r="M145">
        <v>76</v>
      </c>
      <c r="N145">
        <v>93</v>
      </c>
      <c r="O145" s="5">
        <f>'Dolphin Dribblers'!M16</f>
        <v>62.8</v>
      </c>
      <c r="P145" s="5">
        <f>'Dolphin Dribblers'!N16</f>
        <v>18.84</v>
      </c>
      <c r="Q145" s="11">
        <f>'Dolphin Dribblers'!O16</f>
        <v>62.8</v>
      </c>
      <c r="R145" s="10">
        <f>'Dolphin Dribblers'!P16</f>
        <v>0.19419556966072041</v>
      </c>
      <c r="S145" s="10">
        <f>'Dolphin Dribblers'!Q16</f>
        <v>1.7521200000000001</v>
      </c>
      <c r="T145" t="s">
        <v>158</v>
      </c>
      <c r="U145">
        <v>30</v>
      </c>
      <c r="V145">
        <v>70</v>
      </c>
      <c r="W145" s="49">
        <f t="shared" si="6"/>
        <v>25.199999999999989</v>
      </c>
      <c r="X145" t="str">
        <f t="shared" si="7"/>
        <v>Do68</v>
      </c>
    </row>
    <row r="146" spans="1:24" x14ac:dyDescent="0.25">
      <c r="A146" s="8">
        <v>143</v>
      </c>
      <c r="B146" s="7" t="s">
        <v>35</v>
      </c>
      <c r="C146" s="8" t="s">
        <v>53</v>
      </c>
      <c r="D146" s="7" t="s">
        <v>879</v>
      </c>
      <c r="E146" s="7" t="s">
        <v>880</v>
      </c>
      <c r="F146" s="7" t="s">
        <v>881</v>
      </c>
      <c r="G146" s="7" t="s">
        <v>882</v>
      </c>
      <c r="H146">
        <v>60</v>
      </c>
      <c r="I146">
        <v>100</v>
      </c>
      <c r="J146">
        <v>25</v>
      </c>
      <c r="K146">
        <v>79</v>
      </c>
      <c r="L146" s="5">
        <f t="shared" si="8"/>
        <v>66</v>
      </c>
      <c r="M146">
        <v>80</v>
      </c>
      <c r="N146">
        <v>93</v>
      </c>
      <c r="O146" s="5">
        <f>'Dolphin Dribblers'!M17</f>
        <v>72.800000000000011</v>
      </c>
      <c r="P146" s="5">
        <f>'Dolphin Dribblers'!N17</f>
        <v>21.840000000000003</v>
      </c>
      <c r="Q146" s="11">
        <f>'Dolphin Dribblers'!O17</f>
        <v>72.800000000000011</v>
      </c>
      <c r="R146" s="10">
        <f>'Dolphin Dribblers'!P17</f>
        <v>0.22511843107166318</v>
      </c>
      <c r="S146" s="10">
        <f>'Dolphin Dribblers'!Q17</f>
        <v>2.0311200000000005</v>
      </c>
      <c r="T146" t="s">
        <v>158</v>
      </c>
      <c r="U146">
        <v>24</v>
      </c>
      <c r="V146">
        <v>86</v>
      </c>
      <c r="W146" s="49">
        <f t="shared" ref="W146:W209" si="9">IF((Q146*0.5)+((V146*0.5)-((U146-18)*0.1))-40&lt;0,"0",(Q146*0.5)+((V146*0.5)-((U146-18)*0.1))-40)</f>
        <v>38.800000000000011</v>
      </c>
      <c r="X146" t="str">
        <f t="shared" si="7"/>
        <v>Do68</v>
      </c>
    </row>
    <row r="147" spans="1:24" x14ac:dyDescent="0.25">
      <c r="A147" s="8">
        <v>144</v>
      </c>
      <c r="B147" s="7" t="s">
        <v>36</v>
      </c>
      <c r="C147" s="8" t="s">
        <v>11</v>
      </c>
      <c r="D147" s="7" t="s">
        <v>947</v>
      </c>
      <c r="E147" s="7" t="s">
        <v>1387</v>
      </c>
      <c r="F147" s="7" t="s">
        <v>1388</v>
      </c>
      <c r="G147" s="7" t="s">
        <v>1389</v>
      </c>
      <c r="H147">
        <v>71</v>
      </c>
      <c r="I147">
        <v>73</v>
      </c>
      <c r="J147">
        <v>91</v>
      </c>
      <c r="K147">
        <v>79</v>
      </c>
      <c r="L147" s="5">
        <f t="shared" si="8"/>
        <v>78.5</v>
      </c>
      <c r="M147">
        <v>45</v>
      </c>
      <c r="N147">
        <v>65</v>
      </c>
      <c r="O147" s="5">
        <f>'Jaguar Juggernauts'!M7</f>
        <v>0</v>
      </c>
      <c r="P147" s="5">
        <f>'Jaguar Juggernauts'!N7</f>
        <v>74.900000000000006</v>
      </c>
      <c r="Q147" s="11">
        <f>'Jaguar Juggernauts'!O7</f>
        <v>74.900000000000006</v>
      </c>
      <c r="R147" s="10">
        <f>'Jaguar Juggernauts'!P7</f>
        <v>0</v>
      </c>
      <c r="S147" s="10">
        <f>'Jaguar Juggernauts'!Q7</f>
        <v>0</v>
      </c>
      <c r="T147" t="s">
        <v>150</v>
      </c>
      <c r="U147">
        <v>29</v>
      </c>
      <c r="V147">
        <v>82</v>
      </c>
      <c r="W147" s="49">
        <f t="shared" si="9"/>
        <v>37.349999999999994</v>
      </c>
      <c r="X147" t="str">
        <f t="shared" si="7"/>
        <v>Ja74</v>
      </c>
    </row>
    <row r="148" spans="1:24" x14ac:dyDescent="0.25">
      <c r="A148" s="8">
        <v>145</v>
      </c>
      <c r="B148" s="7" t="s">
        <v>36</v>
      </c>
      <c r="C148" s="8" t="s">
        <v>54</v>
      </c>
      <c r="D148" s="7" t="s">
        <v>951</v>
      </c>
      <c r="E148" s="7" t="s">
        <v>1394</v>
      </c>
      <c r="F148" s="7" t="s">
        <v>1395</v>
      </c>
      <c r="G148" s="7" t="s">
        <v>954</v>
      </c>
      <c r="H148">
        <v>83</v>
      </c>
      <c r="I148">
        <v>73</v>
      </c>
      <c r="J148">
        <v>72</v>
      </c>
      <c r="K148">
        <v>79</v>
      </c>
      <c r="L148" s="5">
        <f t="shared" si="8"/>
        <v>76.75</v>
      </c>
      <c r="M148">
        <v>46</v>
      </c>
      <c r="N148">
        <v>64</v>
      </c>
      <c r="O148" s="5">
        <f>'Jaguar Juggernauts'!M8</f>
        <v>30.380000000000003</v>
      </c>
      <c r="P148" s="5">
        <f>'Jaguar Juggernauts'!N8</f>
        <v>68.355000000000004</v>
      </c>
      <c r="Q148" s="11">
        <f>'Jaguar Juggernauts'!O8</f>
        <v>75.95</v>
      </c>
      <c r="R148" s="10">
        <f>'Jaguar Juggernauts'!P8</f>
        <v>4.1896116994452864E-2</v>
      </c>
      <c r="S148" s="10">
        <f>'Jaguar Juggernauts'!Q8</f>
        <v>0.58329600000000004</v>
      </c>
      <c r="T148" t="s">
        <v>150</v>
      </c>
      <c r="U148">
        <v>18</v>
      </c>
      <c r="V148">
        <v>78</v>
      </c>
      <c r="W148" s="49">
        <f t="shared" si="9"/>
        <v>36.974999999999994</v>
      </c>
      <c r="X148" t="str">
        <f t="shared" si="7"/>
        <v>Ja74</v>
      </c>
    </row>
    <row r="149" spans="1:24" x14ac:dyDescent="0.25">
      <c r="A149" s="8">
        <v>146</v>
      </c>
      <c r="B149" s="7" t="s">
        <v>36</v>
      </c>
      <c r="C149" s="8" t="s">
        <v>56</v>
      </c>
      <c r="D149" s="7" t="s">
        <v>1418</v>
      </c>
      <c r="E149" s="7" t="s">
        <v>1211</v>
      </c>
      <c r="F149" s="7" t="s">
        <v>1212</v>
      </c>
      <c r="G149" s="7" t="s">
        <v>1419</v>
      </c>
      <c r="H149">
        <v>50</v>
      </c>
      <c r="I149">
        <v>63</v>
      </c>
      <c r="J149">
        <v>66</v>
      </c>
      <c r="K149">
        <v>56</v>
      </c>
      <c r="L149" s="5">
        <f t="shared" si="8"/>
        <v>58.75</v>
      </c>
      <c r="M149">
        <v>48</v>
      </c>
      <c r="N149">
        <v>55</v>
      </c>
      <c r="O149" s="5">
        <f>'Jaguar Juggernauts'!M9</f>
        <v>18.614999999999995</v>
      </c>
      <c r="P149" s="5">
        <f>'Jaguar Juggernauts'!N9</f>
        <v>62.04999999999999</v>
      </c>
      <c r="Q149" s="11">
        <f>'Jaguar Juggernauts'!O9</f>
        <v>62.04999999999999</v>
      </c>
      <c r="R149" s="10">
        <f>'Jaguar Juggernauts'!P9</f>
        <v>2.5671369909537185E-2</v>
      </c>
      <c r="S149" s="10">
        <f>'Jaguar Juggernauts'!Q9</f>
        <v>0.30714749999999996</v>
      </c>
      <c r="T149" t="s">
        <v>150</v>
      </c>
      <c r="U149">
        <v>21</v>
      </c>
      <c r="V149">
        <v>65</v>
      </c>
      <c r="W149" s="49">
        <f t="shared" si="9"/>
        <v>23.224999999999994</v>
      </c>
      <c r="X149" t="str">
        <f t="shared" si="7"/>
        <v>Ja74</v>
      </c>
    </row>
    <row r="150" spans="1:24" x14ac:dyDescent="0.25">
      <c r="A150" s="8">
        <v>147</v>
      </c>
      <c r="B150" s="7" t="s">
        <v>36</v>
      </c>
      <c r="C150" s="8" t="s">
        <v>56</v>
      </c>
      <c r="D150" s="7" t="s">
        <v>959</v>
      </c>
      <c r="E150" s="7" t="s">
        <v>1379</v>
      </c>
      <c r="F150" s="7" t="s">
        <v>1380</v>
      </c>
      <c r="G150" s="7" t="s">
        <v>962</v>
      </c>
      <c r="H150">
        <v>61</v>
      </c>
      <c r="I150">
        <v>78</v>
      </c>
      <c r="J150">
        <v>85</v>
      </c>
      <c r="K150">
        <v>72</v>
      </c>
      <c r="L150" s="5">
        <f t="shared" si="8"/>
        <v>74</v>
      </c>
      <c r="M150">
        <v>53</v>
      </c>
      <c r="N150">
        <v>65</v>
      </c>
      <c r="O150" s="5">
        <f>'Jaguar Juggernauts'!M10</f>
        <v>23.699999999999996</v>
      </c>
      <c r="P150" s="5">
        <f>'Jaguar Juggernauts'!N10</f>
        <v>78.999999999999986</v>
      </c>
      <c r="Q150" s="11">
        <f>'Jaguar Juggernauts'!O10</f>
        <v>78.999999999999986</v>
      </c>
      <c r="R150" s="10">
        <f>'Jaguar Juggernauts'!P10</f>
        <v>3.268393590416499E-2</v>
      </c>
      <c r="S150" s="10">
        <f>'Jaguar Juggernauts'!Q10</f>
        <v>0.46214999999999995</v>
      </c>
      <c r="T150" t="s">
        <v>150</v>
      </c>
      <c r="U150">
        <v>31</v>
      </c>
      <c r="V150">
        <v>83</v>
      </c>
      <c r="W150" s="49">
        <f t="shared" si="9"/>
        <v>39.699999999999989</v>
      </c>
      <c r="X150" t="str">
        <f t="shared" si="7"/>
        <v>Ja74</v>
      </c>
    </row>
    <row r="151" spans="1:24" x14ac:dyDescent="0.25">
      <c r="A151" s="8">
        <v>148</v>
      </c>
      <c r="B151" s="7" t="s">
        <v>36</v>
      </c>
      <c r="C151" s="8" t="s">
        <v>55</v>
      </c>
      <c r="D151" s="7" t="s">
        <v>955</v>
      </c>
      <c r="E151" s="7" t="s">
        <v>1374</v>
      </c>
      <c r="F151" s="7" t="s">
        <v>1375</v>
      </c>
      <c r="G151" s="7" t="s">
        <v>629</v>
      </c>
      <c r="H151">
        <v>51</v>
      </c>
      <c r="I151">
        <v>66</v>
      </c>
      <c r="J151">
        <v>78</v>
      </c>
      <c r="K151">
        <v>86</v>
      </c>
      <c r="L151" s="5">
        <f t="shared" si="8"/>
        <v>70.25</v>
      </c>
      <c r="M151">
        <v>46</v>
      </c>
      <c r="N151">
        <v>60</v>
      </c>
      <c r="O151" s="5">
        <f>'Jaguar Juggernauts'!M11</f>
        <v>29.580000000000002</v>
      </c>
      <c r="P151" s="5">
        <f>'Jaguar Juggernauts'!N11</f>
        <v>66.555000000000007</v>
      </c>
      <c r="Q151" s="11">
        <f>'Jaguar Juggernauts'!O11</f>
        <v>73.95</v>
      </c>
      <c r="R151" s="10">
        <f>'Jaguar Juggernauts'!P11</f>
        <v>4.0792861774059101E-2</v>
      </c>
      <c r="S151" s="10">
        <f>'Jaguar Juggernauts'!Q11</f>
        <v>0.53244000000000002</v>
      </c>
      <c r="T151" t="s">
        <v>150</v>
      </c>
      <c r="U151">
        <v>18</v>
      </c>
      <c r="V151">
        <v>96</v>
      </c>
      <c r="W151" s="49">
        <f t="shared" si="9"/>
        <v>44.974999999999994</v>
      </c>
      <c r="X151" t="str">
        <f t="shared" si="7"/>
        <v>Ja74</v>
      </c>
    </row>
    <row r="152" spans="1:24" x14ac:dyDescent="0.25">
      <c r="A152" s="8">
        <v>149</v>
      </c>
      <c r="B152" s="7" t="s">
        <v>36</v>
      </c>
      <c r="C152" s="8" t="s">
        <v>45</v>
      </c>
      <c r="D152" s="7" t="s">
        <v>939</v>
      </c>
      <c r="E152" s="7" t="s">
        <v>1376</v>
      </c>
      <c r="F152" s="7" t="s">
        <v>1377</v>
      </c>
      <c r="G152" s="7" t="s">
        <v>1378</v>
      </c>
      <c r="H152">
        <v>65</v>
      </c>
      <c r="I152">
        <v>69</v>
      </c>
      <c r="J152">
        <v>87</v>
      </c>
      <c r="K152">
        <v>94</v>
      </c>
      <c r="L152" s="5">
        <f t="shared" si="8"/>
        <v>78.75</v>
      </c>
      <c r="M152">
        <v>54</v>
      </c>
      <c r="N152">
        <v>64</v>
      </c>
      <c r="O152" s="5">
        <f>'Jaguar Juggernauts'!M12</f>
        <v>47.609999999999992</v>
      </c>
      <c r="P152" s="5">
        <f>'Jaguar Juggernauts'!N12</f>
        <v>71.414999999999992</v>
      </c>
      <c r="Q152" s="11">
        <f>'Jaguar Juggernauts'!O12</f>
        <v>79.349999999999994</v>
      </c>
      <c r="R152" s="10">
        <f>'Jaguar Juggernauts'!P12</f>
        <v>9.799623328907961E-2</v>
      </c>
      <c r="S152" s="10">
        <f>'Jaguar Juggernauts'!Q12</f>
        <v>0.91411199999999992</v>
      </c>
      <c r="T152" t="s">
        <v>150</v>
      </c>
      <c r="U152">
        <v>26</v>
      </c>
      <c r="V152">
        <v>88</v>
      </c>
      <c r="W152" s="49">
        <f t="shared" si="9"/>
        <v>42.875</v>
      </c>
      <c r="X152" t="str">
        <f t="shared" si="7"/>
        <v>Ja74</v>
      </c>
    </row>
    <row r="153" spans="1:24" x14ac:dyDescent="0.25">
      <c r="A153" s="8">
        <v>150</v>
      </c>
      <c r="B153" s="7" t="s">
        <v>36</v>
      </c>
      <c r="C153" s="8" t="s">
        <v>57</v>
      </c>
      <c r="D153" s="7" t="s">
        <v>1396</v>
      </c>
      <c r="E153" s="7" t="s">
        <v>1397</v>
      </c>
      <c r="F153" s="7" t="s">
        <v>1398</v>
      </c>
      <c r="G153" s="7" t="s">
        <v>1399</v>
      </c>
      <c r="H153">
        <v>60</v>
      </c>
      <c r="I153">
        <v>83</v>
      </c>
      <c r="J153">
        <v>86</v>
      </c>
      <c r="K153">
        <v>73</v>
      </c>
      <c r="L153" s="5">
        <f t="shared" si="8"/>
        <v>75.5</v>
      </c>
      <c r="M153">
        <v>51</v>
      </c>
      <c r="N153">
        <v>61</v>
      </c>
      <c r="O153" s="5">
        <f>'Jaguar Juggernauts'!M13</f>
        <v>57.150000000000006</v>
      </c>
      <c r="P153" s="5">
        <f>'Jaguar Juggernauts'!N13</f>
        <v>57.150000000000006</v>
      </c>
      <c r="Q153" s="11">
        <f>'Jaguar Juggernauts'!O13</f>
        <v>76.2</v>
      </c>
      <c r="R153" s="10">
        <f>'Jaguar Juggernauts'!P13</f>
        <v>0.11763252956250581</v>
      </c>
      <c r="S153" s="10">
        <f>'Jaguar Juggernauts'!Q13</f>
        <v>1.0458449999999999</v>
      </c>
      <c r="T153" t="s">
        <v>150</v>
      </c>
      <c r="U153">
        <v>32</v>
      </c>
      <c r="V153">
        <v>80</v>
      </c>
      <c r="W153" s="49">
        <f t="shared" si="9"/>
        <v>36.700000000000003</v>
      </c>
      <c r="X153" t="str">
        <f t="shared" si="7"/>
        <v>Ja74</v>
      </c>
    </row>
    <row r="154" spans="1:24" x14ac:dyDescent="0.25">
      <c r="A154" s="8">
        <v>151</v>
      </c>
      <c r="B154" s="7" t="s">
        <v>36</v>
      </c>
      <c r="C154" s="8" t="s">
        <v>46</v>
      </c>
      <c r="D154" s="7" t="s">
        <v>1219</v>
      </c>
      <c r="E154" s="7" t="s">
        <v>1220</v>
      </c>
      <c r="F154" s="7" t="s">
        <v>1221</v>
      </c>
      <c r="G154" s="7" t="s">
        <v>1413</v>
      </c>
      <c r="H154">
        <v>52</v>
      </c>
      <c r="I154">
        <v>61</v>
      </c>
      <c r="J154">
        <v>86</v>
      </c>
      <c r="K154">
        <v>78</v>
      </c>
      <c r="L154" s="5">
        <f t="shared" si="8"/>
        <v>69.25</v>
      </c>
      <c r="M154">
        <v>55</v>
      </c>
      <c r="N154">
        <v>64</v>
      </c>
      <c r="O154" s="5">
        <f>'Jaguar Juggernauts'!M14</f>
        <v>56.25</v>
      </c>
      <c r="P154" s="5">
        <f>'Jaguar Juggernauts'!N14</f>
        <v>37.5</v>
      </c>
      <c r="Q154" s="11">
        <f>'Jaguar Juggernauts'!O14</f>
        <v>62.5</v>
      </c>
      <c r="R154" s="10">
        <f>'Jaguar Juggernauts'!P14</f>
        <v>0.1157800487819939</v>
      </c>
      <c r="S154" s="10">
        <f>'Jaguar Juggernauts'!Q14</f>
        <v>1.08</v>
      </c>
      <c r="T154" t="s">
        <v>150</v>
      </c>
      <c r="U154">
        <v>19</v>
      </c>
      <c r="V154">
        <v>69</v>
      </c>
      <c r="W154" s="49">
        <f t="shared" si="9"/>
        <v>25.650000000000006</v>
      </c>
      <c r="X154" t="str">
        <f t="shared" si="7"/>
        <v>Ja74</v>
      </c>
    </row>
    <row r="155" spans="1:24" x14ac:dyDescent="0.25">
      <c r="A155" s="8">
        <v>152</v>
      </c>
      <c r="B155" s="7" t="s">
        <v>36</v>
      </c>
      <c r="C155" s="8" t="s">
        <v>52</v>
      </c>
      <c r="D155" s="7" t="s">
        <v>1385</v>
      </c>
      <c r="E155" s="7" t="s">
        <v>924</v>
      </c>
      <c r="F155" s="7" t="s">
        <v>925</v>
      </c>
      <c r="G155" s="7" t="s">
        <v>1386</v>
      </c>
      <c r="H155">
        <v>69</v>
      </c>
      <c r="I155">
        <v>79</v>
      </c>
      <c r="J155">
        <v>69</v>
      </c>
      <c r="K155">
        <v>82</v>
      </c>
      <c r="L155" s="5">
        <f t="shared" si="8"/>
        <v>74.75</v>
      </c>
      <c r="M155">
        <v>55</v>
      </c>
      <c r="N155">
        <v>55</v>
      </c>
      <c r="O155" s="5">
        <f>'Jaguar Juggernauts'!M15</f>
        <v>76.349999999999994</v>
      </c>
      <c r="P155" s="5">
        <f>'Jaguar Juggernauts'!N15</f>
        <v>22.904999999999998</v>
      </c>
      <c r="Q155" s="11">
        <f>'Jaguar Juggernauts'!O15</f>
        <v>76.349999999999994</v>
      </c>
      <c r="R155" s="10">
        <f>'Jaguar Juggernauts'!P15</f>
        <v>0.20901231899719042</v>
      </c>
      <c r="S155" s="10">
        <f>'Jaguar Juggernauts'!Q15</f>
        <v>1.2597749999999999</v>
      </c>
      <c r="T155" t="s">
        <v>150</v>
      </c>
      <c r="U155">
        <v>18</v>
      </c>
      <c r="V155">
        <v>79</v>
      </c>
      <c r="W155" s="49">
        <f t="shared" si="9"/>
        <v>37.674999999999997</v>
      </c>
      <c r="X155" t="str">
        <f t="shared" si="7"/>
        <v>Ja74</v>
      </c>
    </row>
    <row r="156" spans="1:24" x14ac:dyDescent="0.25">
      <c r="A156" s="8">
        <v>153</v>
      </c>
      <c r="B156" s="7" t="s">
        <v>36</v>
      </c>
      <c r="C156" s="8" t="s">
        <v>59</v>
      </c>
      <c r="D156" s="7" t="s">
        <v>1372</v>
      </c>
      <c r="E156" s="7" t="s">
        <v>1229</v>
      </c>
      <c r="F156" s="7" t="s">
        <v>1230</v>
      </c>
      <c r="G156" s="7" t="s">
        <v>1373</v>
      </c>
      <c r="H156">
        <v>53</v>
      </c>
      <c r="I156">
        <v>90</v>
      </c>
      <c r="J156">
        <v>97</v>
      </c>
      <c r="K156">
        <v>98</v>
      </c>
      <c r="L156" s="5">
        <f t="shared" si="8"/>
        <v>84.5</v>
      </c>
      <c r="M156">
        <v>52</v>
      </c>
      <c r="N156">
        <v>63</v>
      </c>
      <c r="O156" s="5">
        <f>'Jaguar Juggernauts'!M16</f>
        <v>80.150000000000006</v>
      </c>
      <c r="P156" s="5">
        <f>'Jaguar Juggernauts'!N16</f>
        <v>24.045000000000002</v>
      </c>
      <c r="Q156" s="11">
        <f>'Jaguar Juggernauts'!O16</f>
        <v>80.150000000000006</v>
      </c>
      <c r="R156" s="10">
        <f>'Jaguar Juggernauts'!P16</f>
        <v>0.21941502773575394</v>
      </c>
      <c r="S156" s="10">
        <f>'Jaguar Juggernauts'!Q16</f>
        <v>1.5148350000000002</v>
      </c>
      <c r="T156" t="s">
        <v>150</v>
      </c>
      <c r="U156">
        <v>27</v>
      </c>
      <c r="V156">
        <v>92</v>
      </c>
      <c r="W156" s="49">
        <f t="shared" si="9"/>
        <v>45.175000000000011</v>
      </c>
      <c r="X156" t="str">
        <f t="shared" si="7"/>
        <v>Ja74</v>
      </c>
    </row>
    <row r="157" spans="1:24" x14ac:dyDescent="0.25">
      <c r="A157" s="8">
        <v>154</v>
      </c>
      <c r="B157" s="7" t="s">
        <v>36</v>
      </c>
      <c r="C157" s="8" t="s">
        <v>53</v>
      </c>
      <c r="D157" s="7" t="s">
        <v>963</v>
      </c>
      <c r="E157" s="7" t="s">
        <v>964</v>
      </c>
      <c r="F157" s="7" t="s">
        <v>965</v>
      </c>
      <c r="G157" s="7" t="s">
        <v>1412</v>
      </c>
      <c r="H157">
        <v>54</v>
      </c>
      <c r="I157">
        <v>65</v>
      </c>
      <c r="J157">
        <v>82</v>
      </c>
      <c r="K157">
        <v>74</v>
      </c>
      <c r="L157" s="5">
        <f t="shared" si="8"/>
        <v>68.75</v>
      </c>
      <c r="M157">
        <v>50</v>
      </c>
      <c r="N157">
        <v>64</v>
      </c>
      <c r="O157" s="5">
        <f>'Jaguar Juggernauts'!M17</f>
        <v>66.050000000000011</v>
      </c>
      <c r="P157" s="5">
        <f>'Jaguar Juggernauts'!N17</f>
        <v>19.815000000000001</v>
      </c>
      <c r="Q157" s="11">
        <f>'Jaguar Juggernauts'!O17</f>
        <v>66.050000000000011</v>
      </c>
      <c r="R157" s="10">
        <f>'Jaguar Juggernauts'!P17</f>
        <v>0.18081550320582096</v>
      </c>
      <c r="S157" s="10">
        <f>'Jaguar Juggernauts'!Q17</f>
        <v>1.2681600000000002</v>
      </c>
      <c r="T157" t="s">
        <v>150</v>
      </c>
      <c r="U157">
        <v>28</v>
      </c>
      <c r="V157">
        <v>70</v>
      </c>
      <c r="W157" s="49">
        <f t="shared" si="9"/>
        <v>27.025000000000006</v>
      </c>
      <c r="X157" t="str">
        <f t="shared" si="7"/>
        <v>Ja74</v>
      </c>
    </row>
    <row r="158" spans="1:24" x14ac:dyDescent="0.25">
      <c r="A158" s="8">
        <v>155</v>
      </c>
      <c r="B158" s="7" t="s">
        <v>37</v>
      </c>
      <c r="C158" s="8" t="s">
        <v>11</v>
      </c>
      <c r="D158" s="7" t="s">
        <v>795</v>
      </c>
      <c r="E158" s="7" t="s">
        <v>796</v>
      </c>
      <c r="F158" s="7" t="s">
        <v>797</v>
      </c>
      <c r="G158" s="7" t="s">
        <v>798</v>
      </c>
      <c r="H158">
        <v>43</v>
      </c>
      <c r="I158">
        <v>100</v>
      </c>
      <c r="J158">
        <v>100</v>
      </c>
      <c r="K158">
        <v>4</v>
      </c>
      <c r="L158" s="5">
        <f t="shared" si="8"/>
        <v>61.75</v>
      </c>
      <c r="M158">
        <v>68</v>
      </c>
      <c r="N158">
        <v>86</v>
      </c>
      <c r="O158" s="5">
        <f>'Elephant Elites'!M7</f>
        <v>0</v>
      </c>
      <c r="P158" s="5">
        <f>'Elephant Elites'!N7</f>
        <v>62.800000000000004</v>
      </c>
      <c r="Q158" s="11">
        <f>'Elephant Elites'!O7</f>
        <v>62.800000000000004</v>
      </c>
      <c r="R158" s="10">
        <f>'Elephant Elites'!P7</f>
        <v>0</v>
      </c>
      <c r="S158" s="10">
        <f>'Elephant Elites'!Q7</f>
        <v>0</v>
      </c>
      <c r="T158" t="s">
        <v>151</v>
      </c>
      <c r="U158">
        <v>22</v>
      </c>
      <c r="V158">
        <v>66</v>
      </c>
      <c r="W158" s="49">
        <f t="shared" si="9"/>
        <v>24</v>
      </c>
      <c r="X158" t="str">
        <f t="shared" si="7"/>
        <v>El69</v>
      </c>
    </row>
    <row r="159" spans="1:24" x14ac:dyDescent="0.25">
      <c r="A159" s="8">
        <v>156</v>
      </c>
      <c r="B159" s="7" t="s">
        <v>37</v>
      </c>
      <c r="C159" s="8" t="s">
        <v>54</v>
      </c>
      <c r="D159" s="7" t="s">
        <v>799</v>
      </c>
      <c r="E159" s="7" t="s">
        <v>800</v>
      </c>
      <c r="F159" s="7" t="s">
        <v>801</v>
      </c>
      <c r="G159" s="7" t="s">
        <v>802</v>
      </c>
      <c r="H159">
        <v>14</v>
      </c>
      <c r="I159">
        <v>90</v>
      </c>
      <c r="J159">
        <v>84</v>
      </c>
      <c r="K159">
        <v>4</v>
      </c>
      <c r="L159" s="5">
        <f t="shared" si="8"/>
        <v>48</v>
      </c>
      <c r="M159">
        <v>70</v>
      </c>
      <c r="N159">
        <v>89</v>
      </c>
      <c r="O159" s="5">
        <f>'Elephant Elites'!M8</f>
        <v>20.28</v>
      </c>
      <c r="P159" s="5">
        <f>'Elephant Elites'!N8</f>
        <v>45.63</v>
      </c>
      <c r="Q159" s="11">
        <f>'Elephant Elites'!O8</f>
        <v>50.7</v>
      </c>
      <c r="R159" s="10">
        <f>'Elephant Elites'!P8</f>
        <v>4.0367201426024964E-2</v>
      </c>
      <c r="S159" s="10">
        <f>'Elephant Elites'!Q8</f>
        <v>0.54147600000000007</v>
      </c>
      <c r="T159" t="s">
        <v>151</v>
      </c>
      <c r="U159">
        <v>35</v>
      </c>
      <c r="V159">
        <v>51</v>
      </c>
      <c r="W159" s="49">
        <f t="shared" si="9"/>
        <v>9.1500000000000057</v>
      </c>
      <c r="X159" t="str">
        <f t="shared" si="7"/>
        <v>El69</v>
      </c>
    </row>
    <row r="160" spans="1:24" x14ac:dyDescent="0.25">
      <c r="A160" s="8">
        <v>157</v>
      </c>
      <c r="B160" s="7" t="s">
        <v>37</v>
      </c>
      <c r="C160" s="8" t="s">
        <v>56</v>
      </c>
      <c r="D160" s="7" t="s">
        <v>803</v>
      </c>
      <c r="E160" s="7" t="s">
        <v>804</v>
      </c>
      <c r="F160" s="7" t="s">
        <v>805</v>
      </c>
      <c r="G160" s="7" t="s">
        <v>806</v>
      </c>
      <c r="H160">
        <v>33</v>
      </c>
      <c r="I160">
        <v>93</v>
      </c>
      <c r="J160">
        <v>88</v>
      </c>
      <c r="K160">
        <v>11</v>
      </c>
      <c r="L160" s="5">
        <f t="shared" si="8"/>
        <v>56.25</v>
      </c>
      <c r="M160">
        <v>75</v>
      </c>
      <c r="N160">
        <v>90</v>
      </c>
      <c r="O160" s="5">
        <f>'Elephant Elites'!M9</f>
        <v>21.0975</v>
      </c>
      <c r="P160" s="5">
        <f>'Elephant Elites'!N9</f>
        <v>70.325000000000003</v>
      </c>
      <c r="Q160" s="11">
        <f>'Elephant Elites'!O9</f>
        <v>70.325000000000003</v>
      </c>
      <c r="R160" s="10">
        <f>'Elephant Elites'!P9</f>
        <v>4.1994429590017833E-2</v>
      </c>
      <c r="S160" s="10">
        <f>'Elephant Elites'!Q9</f>
        <v>0.56963249999999999</v>
      </c>
      <c r="T160" t="s">
        <v>151</v>
      </c>
      <c r="U160">
        <v>18</v>
      </c>
      <c r="V160">
        <v>71</v>
      </c>
      <c r="W160" s="49">
        <f t="shared" si="9"/>
        <v>30.662499999999994</v>
      </c>
      <c r="X160" t="str">
        <f t="shared" si="7"/>
        <v>El69</v>
      </c>
    </row>
    <row r="161" spans="1:24" x14ac:dyDescent="0.25">
      <c r="A161" s="8">
        <v>158</v>
      </c>
      <c r="B161" s="7" t="s">
        <v>37</v>
      </c>
      <c r="C161" s="8" t="s">
        <v>56</v>
      </c>
      <c r="D161" s="7" t="s">
        <v>807</v>
      </c>
      <c r="E161" s="7" t="s">
        <v>808</v>
      </c>
      <c r="F161" s="7" t="s">
        <v>809</v>
      </c>
      <c r="G161" s="7" t="s">
        <v>810</v>
      </c>
      <c r="H161">
        <v>22</v>
      </c>
      <c r="I161">
        <v>100</v>
      </c>
      <c r="J161">
        <v>100</v>
      </c>
      <c r="K161">
        <v>9</v>
      </c>
      <c r="L161" s="5">
        <f t="shared" si="8"/>
        <v>57.75</v>
      </c>
      <c r="M161">
        <v>71</v>
      </c>
      <c r="N161">
        <v>95</v>
      </c>
      <c r="O161" s="5">
        <f>'Elephant Elites'!M10</f>
        <v>22.979999999999997</v>
      </c>
      <c r="P161" s="5">
        <f>'Elephant Elites'!N10</f>
        <v>76.599999999999994</v>
      </c>
      <c r="Q161" s="11">
        <f>'Elephant Elites'!O10</f>
        <v>76.599999999999994</v>
      </c>
      <c r="R161" s="10">
        <f>'Elephant Elites'!P10</f>
        <v>4.5741532976827093E-2</v>
      </c>
      <c r="S161" s="10">
        <f>'Elephant Elites'!Q10</f>
        <v>0.6549299999999999</v>
      </c>
      <c r="T161" t="s">
        <v>151</v>
      </c>
      <c r="U161">
        <v>24</v>
      </c>
      <c r="V161">
        <v>93</v>
      </c>
      <c r="W161" s="49">
        <f t="shared" si="9"/>
        <v>44.199999999999989</v>
      </c>
      <c r="X161" t="str">
        <f t="shared" si="7"/>
        <v>El69</v>
      </c>
    </row>
    <row r="162" spans="1:24" x14ac:dyDescent="0.25">
      <c r="A162" s="8">
        <v>159</v>
      </c>
      <c r="B162" s="7" t="s">
        <v>37</v>
      </c>
      <c r="C162" s="8" t="s">
        <v>55</v>
      </c>
      <c r="D162" s="7" t="s">
        <v>811</v>
      </c>
      <c r="E162" s="7" t="s">
        <v>812</v>
      </c>
      <c r="F162" s="7" t="s">
        <v>813</v>
      </c>
      <c r="G162" s="7" t="s">
        <v>814</v>
      </c>
      <c r="H162">
        <v>25</v>
      </c>
      <c r="I162">
        <v>89</v>
      </c>
      <c r="J162">
        <v>98</v>
      </c>
      <c r="K162">
        <v>9</v>
      </c>
      <c r="L162" s="5">
        <f t="shared" si="8"/>
        <v>55.25</v>
      </c>
      <c r="M162">
        <v>67</v>
      </c>
      <c r="N162">
        <v>86</v>
      </c>
      <c r="O162" s="5">
        <f>'Elephant Elites'!M11</f>
        <v>23.42</v>
      </c>
      <c r="P162" s="5">
        <f>'Elephant Elites'!N11</f>
        <v>52.695</v>
      </c>
      <c r="Q162" s="11">
        <f>'Elephant Elites'!O11</f>
        <v>58.55</v>
      </c>
      <c r="R162" s="10">
        <f>'Elephant Elites'!P11</f>
        <v>4.6617349970291155E-2</v>
      </c>
      <c r="S162" s="10">
        <f>'Elephant Elites'!Q11</f>
        <v>0.604236</v>
      </c>
      <c r="T162" t="s">
        <v>151</v>
      </c>
      <c r="U162">
        <v>20</v>
      </c>
      <c r="V162">
        <v>64</v>
      </c>
      <c r="W162" s="49">
        <f t="shared" si="9"/>
        <v>21.075000000000003</v>
      </c>
      <c r="X162" t="str">
        <f t="shared" si="7"/>
        <v>El69</v>
      </c>
    </row>
    <row r="163" spans="1:24" x14ac:dyDescent="0.25">
      <c r="A163" s="8">
        <v>160</v>
      </c>
      <c r="B163" s="7" t="s">
        <v>37</v>
      </c>
      <c r="C163" s="8" t="s">
        <v>45</v>
      </c>
      <c r="D163" s="7" t="s">
        <v>815</v>
      </c>
      <c r="E163" s="7" t="s">
        <v>816</v>
      </c>
      <c r="F163" s="7" t="s">
        <v>817</v>
      </c>
      <c r="G163" s="7" t="s">
        <v>818</v>
      </c>
      <c r="H163">
        <v>37</v>
      </c>
      <c r="I163">
        <v>98</v>
      </c>
      <c r="J163">
        <v>96</v>
      </c>
      <c r="K163">
        <v>0</v>
      </c>
      <c r="L163" s="5">
        <f t="shared" si="8"/>
        <v>57.75</v>
      </c>
      <c r="M163">
        <v>75</v>
      </c>
      <c r="N163">
        <v>93</v>
      </c>
      <c r="O163" s="5">
        <f>'Elephant Elites'!M12</f>
        <v>44.01</v>
      </c>
      <c r="P163" s="5">
        <f>'Elephant Elites'!N12</f>
        <v>66.015000000000001</v>
      </c>
      <c r="Q163" s="11">
        <f>'Elephant Elites'!O12</f>
        <v>73.349999999999994</v>
      </c>
      <c r="R163" s="10">
        <f>'Elephant Elites'!P12</f>
        <v>0.1307486631016043</v>
      </c>
      <c r="S163" s="10">
        <f>'Elephant Elites'!Q12</f>
        <v>1.2278790000000002</v>
      </c>
      <c r="T163" t="s">
        <v>151</v>
      </c>
      <c r="U163">
        <v>35</v>
      </c>
      <c r="V163">
        <v>74</v>
      </c>
      <c r="W163" s="49">
        <f t="shared" si="9"/>
        <v>31.974999999999994</v>
      </c>
      <c r="X163" t="str">
        <f t="shared" si="7"/>
        <v>El69</v>
      </c>
    </row>
    <row r="164" spans="1:24" x14ac:dyDescent="0.25">
      <c r="A164" s="8">
        <v>161</v>
      </c>
      <c r="B164" s="7" t="s">
        <v>37</v>
      </c>
      <c r="C164" s="8" t="s">
        <v>57</v>
      </c>
      <c r="D164" s="7" t="s">
        <v>819</v>
      </c>
      <c r="E164" s="7" t="s">
        <v>820</v>
      </c>
      <c r="F164" s="7" t="s">
        <v>821</v>
      </c>
      <c r="G164" s="7" t="s">
        <v>822</v>
      </c>
      <c r="H164">
        <v>11</v>
      </c>
      <c r="I164">
        <v>100</v>
      </c>
      <c r="J164">
        <v>99</v>
      </c>
      <c r="K164">
        <v>17</v>
      </c>
      <c r="L164" s="5">
        <f t="shared" si="8"/>
        <v>56.75</v>
      </c>
      <c r="M164">
        <v>69</v>
      </c>
      <c r="N164">
        <v>92</v>
      </c>
      <c r="O164" s="5">
        <f>'Elephant Elites'!M13</f>
        <v>48.862500000000004</v>
      </c>
      <c r="P164" s="5">
        <f>'Elephant Elites'!N13</f>
        <v>48.862500000000004</v>
      </c>
      <c r="Q164" s="11">
        <f>'Elephant Elites'!O13</f>
        <v>65.150000000000006</v>
      </c>
      <c r="R164" s="10">
        <f>'Elephant Elites'!P13</f>
        <v>0.14516488413547241</v>
      </c>
      <c r="S164" s="10">
        <f>'Elephant Elites'!Q13</f>
        <v>1.3486050000000003</v>
      </c>
      <c r="T164" t="s">
        <v>151</v>
      </c>
      <c r="U164">
        <v>32</v>
      </c>
      <c r="V164">
        <v>71</v>
      </c>
      <c r="W164" s="49">
        <f t="shared" si="9"/>
        <v>26.675000000000011</v>
      </c>
      <c r="X164" t="str">
        <f t="shared" si="7"/>
        <v>El69</v>
      </c>
    </row>
    <row r="165" spans="1:24" x14ac:dyDescent="0.25">
      <c r="A165" s="8">
        <v>162</v>
      </c>
      <c r="B165" s="7" t="s">
        <v>37</v>
      </c>
      <c r="C165" s="8" t="s">
        <v>46</v>
      </c>
      <c r="D165" s="7" t="s">
        <v>823</v>
      </c>
      <c r="E165" s="7" t="s">
        <v>824</v>
      </c>
      <c r="F165" s="7" t="s">
        <v>825</v>
      </c>
      <c r="G165" s="7" t="s">
        <v>826</v>
      </c>
      <c r="H165">
        <v>26</v>
      </c>
      <c r="I165">
        <v>90</v>
      </c>
      <c r="J165">
        <v>100</v>
      </c>
      <c r="K165">
        <v>7</v>
      </c>
      <c r="L165" s="5">
        <f t="shared" si="8"/>
        <v>55.75</v>
      </c>
      <c r="M165">
        <v>68</v>
      </c>
      <c r="N165">
        <v>90</v>
      </c>
      <c r="O165" s="5">
        <f>'Elephant Elites'!M14</f>
        <v>46.35</v>
      </c>
      <c r="P165" s="5">
        <f>'Elephant Elites'!N14</f>
        <v>30.9</v>
      </c>
      <c r="Q165" s="11">
        <f>'Elephant Elites'!O14</f>
        <v>51.5</v>
      </c>
      <c r="R165" s="10">
        <f>'Elephant Elites'!P14</f>
        <v>0.13770053475935831</v>
      </c>
      <c r="S165" s="10">
        <f>'Elephant Elites'!Q14</f>
        <v>1.2514500000000002</v>
      </c>
      <c r="T165" t="s">
        <v>151</v>
      </c>
      <c r="U165">
        <v>33</v>
      </c>
      <c r="V165">
        <v>54</v>
      </c>
      <c r="W165" s="49">
        <f t="shared" si="9"/>
        <v>11.25</v>
      </c>
      <c r="X165" t="str">
        <f t="shared" si="7"/>
        <v>El69</v>
      </c>
    </row>
    <row r="166" spans="1:24" x14ac:dyDescent="0.25">
      <c r="A166" s="8">
        <v>163</v>
      </c>
      <c r="B166" s="7" t="s">
        <v>37</v>
      </c>
      <c r="C166" s="8" t="s">
        <v>52</v>
      </c>
      <c r="D166" s="7" t="s">
        <v>827</v>
      </c>
      <c r="E166" s="7" t="s">
        <v>828</v>
      </c>
      <c r="F166" s="7" t="s">
        <v>829</v>
      </c>
      <c r="G166" s="7" t="s">
        <v>830</v>
      </c>
      <c r="H166">
        <v>22</v>
      </c>
      <c r="I166">
        <v>95</v>
      </c>
      <c r="J166">
        <v>100</v>
      </c>
      <c r="K166">
        <v>16</v>
      </c>
      <c r="L166" s="5">
        <f t="shared" si="8"/>
        <v>58.25</v>
      </c>
      <c r="M166">
        <v>68</v>
      </c>
      <c r="N166">
        <v>91</v>
      </c>
      <c r="O166" s="5">
        <f>'Elephant Elites'!M15</f>
        <v>34.15</v>
      </c>
      <c r="P166" s="5">
        <f>'Elephant Elites'!N15</f>
        <v>10.244999999999999</v>
      </c>
      <c r="Q166" s="11">
        <f>'Elephant Elites'!O15</f>
        <v>34.15</v>
      </c>
      <c r="R166" s="10">
        <f>'Elephant Elites'!P15</f>
        <v>0.13493612596553775</v>
      </c>
      <c r="S166" s="10">
        <f>'Elephant Elites'!Q15</f>
        <v>0.93229499999999987</v>
      </c>
      <c r="T166" t="s">
        <v>151</v>
      </c>
      <c r="U166">
        <v>28</v>
      </c>
      <c r="V166">
        <v>38</v>
      </c>
      <c r="W166" s="49" t="str">
        <f t="shared" si="9"/>
        <v>0</v>
      </c>
      <c r="X166" t="str">
        <f t="shared" si="7"/>
        <v>El69</v>
      </c>
    </row>
    <row r="167" spans="1:24" x14ac:dyDescent="0.25">
      <c r="A167" s="8">
        <v>164</v>
      </c>
      <c r="B167" s="7" t="s">
        <v>37</v>
      </c>
      <c r="C167" s="8" t="s">
        <v>59</v>
      </c>
      <c r="D167" s="7" t="s">
        <v>831</v>
      </c>
      <c r="E167" s="7" t="s">
        <v>832</v>
      </c>
      <c r="F167" s="7" t="s">
        <v>833</v>
      </c>
      <c r="G167" s="7" t="s">
        <v>834</v>
      </c>
      <c r="H167">
        <v>33</v>
      </c>
      <c r="I167">
        <v>97</v>
      </c>
      <c r="J167">
        <v>100</v>
      </c>
      <c r="K167">
        <v>15</v>
      </c>
      <c r="L167" s="5">
        <f t="shared" si="8"/>
        <v>61.25</v>
      </c>
      <c r="M167">
        <v>74</v>
      </c>
      <c r="N167">
        <v>91</v>
      </c>
      <c r="O167" s="5">
        <f>'Elephant Elites'!M16</f>
        <v>50.3</v>
      </c>
      <c r="P167" s="5">
        <f>'Elephant Elites'!N16</f>
        <v>15.089999999999998</v>
      </c>
      <c r="Q167" s="11">
        <f>'Elephant Elites'!O16</f>
        <v>50.3</v>
      </c>
      <c r="R167" s="10">
        <f>'Elephant Elites'!P16</f>
        <v>0.19874925727866904</v>
      </c>
      <c r="S167" s="10">
        <f>'Elephant Elites'!Q16</f>
        <v>1.3731900000000001</v>
      </c>
      <c r="T167" t="s">
        <v>151</v>
      </c>
      <c r="U167">
        <v>18</v>
      </c>
      <c r="V167">
        <v>68</v>
      </c>
      <c r="W167" s="49">
        <f t="shared" si="9"/>
        <v>19.149999999999999</v>
      </c>
      <c r="X167" t="str">
        <f t="shared" si="7"/>
        <v>El69</v>
      </c>
    </row>
    <row r="168" spans="1:24" x14ac:dyDescent="0.25">
      <c r="A168" s="8">
        <v>165</v>
      </c>
      <c r="B168" s="7" t="s">
        <v>37</v>
      </c>
      <c r="C168" s="8" t="s">
        <v>53</v>
      </c>
      <c r="D168" s="7" t="s">
        <v>835</v>
      </c>
      <c r="E168" s="7" t="s">
        <v>836</v>
      </c>
      <c r="F168" s="7" t="s">
        <v>837</v>
      </c>
      <c r="G168" s="7" t="s">
        <v>838</v>
      </c>
      <c r="H168">
        <v>7</v>
      </c>
      <c r="I168">
        <v>100</v>
      </c>
      <c r="J168">
        <v>100</v>
      </c>
      <c r="K168">
        <v>6</v>
      </c>
      <c r="L168" s="5">
        <f t="shared" si="8"/>
        <v>53.25</v>
      </c>
      <c r="M168">
        <v>74</v>
      </c>
      <c r="N168">
        <v>85</v>
      </c>
      <c r="O168" s="5">
        <f>'Elephant Elites'!M17</f>
        <v>25.15</v>
      </c>
      <c r="P168" s="5">
        <f>'Elephant Elites'!N17</f>
        <v>7.544999999999999</v>
      </c>
      <c r="Q168" s="11">
        <f>'Elephant Elites'!O17</f>
        <v>25.15</v>
      </c>
      <c r="R168" s="10">
        <f>'Elephant Elites'!P17</f>
        <v>9.9374628639334522E-2</v>
      </c>
      <c r="S168" s="10">
        <f>'Elephant Elites'!Q17</f>
        <v>0.64132499999999992</v>
      </c>
      <c r="T168" t="s">
        <v>151</v>
      </c>
      <c r="U168">
        <v>33</v>
      </c>
      <c r="V168">
        <v>26</v>
      </c>
      <c r="W168" s="49" t="str">
        <f t="shared" si="9"/>
        <v>0</v>
      </c>
      <c r="X168" t="str">
        <f t="shared" si="7"/>
        <v>El69</v>
      </c>
    </row>
    <row r="169" spans="1:24" x14ac:dyDescent="0.25">
      <c r="A169" s="8">
        <v>166</v>
      </c>
      <c r="B169" s="7" t="s">
        <v>38</v>
      </c>
      <c r="C169" s="8" t="s">
        <v>11</v>
      </c>
      <c r="D169" s="7" t="s">
        <v>753</v>
      </c>
      <c r="E169" s="7" t="s">
        <v>754</v>
      </c>
      <c r="F169" s="7" t="s">
        <v>755</v>
      </c>
      <c r="G169" s="7" t="s">
        <v>756</v>
      </c>
      <c r="H169">
        <v>94</v>
      </c>
      <c r="I169">
        <v>50</v>
      </c>
      <c r="J169">
        <v>43</v>
      </c>
      <c r="K169">
        <v>100</v>
      </c>
      <c r="L169" s="5">
        <f t="shared" si="8"/>
        <v>71.75</v>
      </c>
      <c r="M169">
        <v>25</v>
      </c>
      <c r="N169">
        <v>81</v>
      </c>
      <c r="O169" s="5">
        <f>'Cheetah Chasers'!M7</f>
        <v>0</v>
      </c>
      <c r="P169" s="5">
        <f>'Cheetah Chasers'!N7</f>
        <v>74.400000000000006</v>
      </c>
      <c r="Q169" s="11">
        <f>'Cheetah Chasers'!O7</f>
        <v>74.400000000000006</v>
      </c>
      <c r="R169" s="10">
        <f>'Cheetah Chasers'!P7</f>
        <v>0</v>
      </c>
      <c r="S169" s="10">
        <f>'Cheetah Chasers'!Q7</f>
        <v>0</v>
      </c>
      <c r="T169" t="s">
        <v>152</v>
      </c>
      <c r="U169">
        <v>22</v>
      </c>
      <c r="V169">
        <v>88</v>
      </c>
      <c r="W169" s="49">
        <f t="shared" si="9"/>
        <v>40.800000000000011</v>
      </c>
      <c r="X169" t="str">
        <f t="shared" si="7"/>
        <v>Ch67</v>
      </c>
    </row>
    <row r="170" spans="1:24" x14ac:dyDescent="0.25">
      <c r="A170" s="8">
        <v>167</v>
      </c>
      <c r="B170" s="7" t="s">
        <v>38</v>
      </c>
      <c r="C170" s="8" t="s">
        <v>54</v>
      </c>
      <c r="D170" s="7" t="s">
        <v>757</v>
      </c>
      <c r="E170" s="7" t="s">
        <v>758</v>
      </c>
      <c r="F170" s="7" t="s">
        <v>759</v>
      </c>
      <c r="G170" s="7" t="s">
        <v>760</v>
      </c>
      <c r="H170">
        <v>92</v>
      </c>
      <c r="I170">
        <v>49</v>
      </c>
      <c r="J170">
        <v>14</v>
      </c>
      <c r="K170">
        <v>100</v>
      </c>
      <c r="L170" s="5">
        <f t="shared" si="8"/>
        <v>63.75</v>
      </c>
      <c r="M170">
        <v>35</v>
      </c>
      <c r="N170">
        <v>86</v>
      </c>
      <c r="O170" s="5">
        <f>'Cheetah Chasers'!M8</f>
        <v>23.400000000000002</v>
      </c>
      <c r="P170" s="5">
        <f>'Cheetah Chasers'!N8</f>
        <v>52.65</v>
      </c>
      <c r="Q170" s="11">
        <f>'Cheetah Chasers'!O8</f>
        <v>58.5</v>
      </c>
      <c r="R170" s="10">
        <f>'Cheetah Chasers'!P8</f>
        <v>3.2937320770176158E-2</v>
      </c>
      <c r="S170" s="10">
        <f>'Cheetah Chasers'!Q8</f>
        <v>0.60372000000000003</v>
      </c>
      <c r="T170" t="s">
        <v>152</v>
      </c>
      <c r="U170">
        <v>19</v>
      </c>
      <c r="V170">
        <v>67</v>
      </c>
      <c r="W170" s="49">
        <f t="shared" si="9"/>
        <v>22.65</v>
      </c>
      <c r="X170" t="str">
        <f t="shared" si="7"/>
        <v>Ch67</v>
      </c>
    </row>
    <row r="171" spans="1:24" x14ac:dyDescent="0.25">
      <c r="A171" s="8">
        <v>168</v>
      </c>
      <c r="B171" s="7" t="s">
        <v>38</v>
      </c>
      <c r="C171" s="8" t="s">
        <v>56</v>
      </c>
      <c r="D171" s="7" t="s">
        <v>761</v>
      </c>
      <c r="E171" s="7" t="s">
        <v>762</v>
      </c>
      <c r="F171" s="7" t="s">
        <v>763</v>
      </c>
      <c r="G171" s="7" t="s">
        <v>764</v>
      </c>
      <c r="H171">
        <v>84</v>
      </c>
      <c r="I171">
        <v>38</v>
      </c>
      <c r="J171">
        <v>35</v>
      </c>
      <c r="K171">
        <v>100</v>
      </c>
      <c r="L171" s="5">
        <f t="shared" si="8"/>
        <v>64.25</v>
      </c>
      <c r="M171">
        <v>29</v>
      </c>
      <c r="N171">
        <v>82</v>
      </c>
      <c r="O171" s="5">
        <f>'Cheetah Chasers'!M9</f>
        <v>15.397500000000001</v>
      </c>
      <c r="P171" s="5">
        <f>'Cheetah Chasers'!N9</f>
        <v>51.325000000000003</v>
      </c>
      <c r="Q171" s="11">
        <f>'Cheetah Chasers'!O9</f>
        <v>51.325000000000003</v>
      </c>
      <c r="R171" s="10">
        <f>'Cheetah Chasers'!P9</f>
        <v>2.1673179340119121E-2</v>
      </c>
      <c r="S171" s="10">
        <f>'Cheetah Chasers'!Q9</f>
        <v>0.37877850000000002</v>
      </c>
      <c r="T171" t="s">
        <v>152</v>
      </c>
      <c r="U171">
        <v>33</v>
      </c>
      <c r="V171">
        <v>52</v>
      </c>
      <c r="W171" s="49">
        <f t="shared" si="9"/>
        <v>10.162500000000001</v>
      </c>
      <c r="X171" t="str">
        <f t="shared" si="7"/>
        <v>Ch67</v>
      </c>
    </row>
    <row r="172" spans="1:24" x14ac:dyDescent="0.25">
      <c r="A172" s="8">
        <v>169</v>
      </c>
      <c r="B172" s="7" t="s">
        <v>38</v>
      </c>
      <c r="C172" s="8" t="s">
        <v>56</v>
      </c>
      <c r="D172" s="7" t="s">
        <v>765</v>
      </c>
      <c r="E172" s="7" t="s">
        <v>766</v>
      </c>
      <c r="F172" s="7" t="s">
        <v>767</v>
      </c>
      <c r="G172" s="7" t="s">
        <v>756</v>
      </c>
      <c r="H172">
        <v>100</v>
      </c>
      <c r="I172">
        <v>26</v>
      </c>
      <c r="J172">
        <v>12</v>
      </c>
      <c r="K172">
        <v>100</v>
      </c>
      <c r="L172" s="5">
        <f t="shared" si="8"/>
        <v>59.5</v>
      </c>
      <c r="M172">
        <v>27</v>
      </c>
      <c r="N172">
        <v>81</v>
      </c>
      <c r="O172" s="5">
        <f>'Cheetah Chasers'!M10</f>
        <v>11.489999999999998</v>
      </c>
      <c r="P172" s="5">
        <f>'Cheetah Chasers'!N10</f>
        <v>38.299999999999997</v>
      </c>
      <c r="Q172" s="11">
        <f>'Cheetah Chasers'!O10</f>
        <v>38.299999999999997</v>
      </c>
      <c r="R172" s="10">
        <f>'Cheetah Chasers'!P10</f>
        <v>1.6173069044842909E-2</v>
      </c>
      <c r="S172" s="10">
        <f>'Cheetah Chasers'!Q10</f>
        <v>0.27920699999999998</v>
      </c>
      <c r="T172" t="s">
        <v>152</v>
      </c>
      <c r="U172">
        <v>35</v>
      </c>
      <c r="V172">
        <v>39</v>
      </c>
      <c r="W172" s="49" t="str">
        <f t="shared" si="9"/>
        <v>0</v>
      </c>
      <c r="X172" t="str">
        <f t="shared" si="7"/>
        <v>Ch67</v>
      </c>
    </row>
    <row r="173" spans="1:24" x14ac:dyDescent="0.25">
      <c r="A173" s="8">
        <v>170</v>
      </c>
      <c r="B173" s="7" t="s">
        <v>38</v>
      </c>
      <c r="C173" s="8" t="s">
        <v>55</v>
      </c>
      <c r="D173" s="7" t="s">
        <v>768</v>
      </c>
      <c r="E173" s="7" t="s">
        <v>769</v>
      </c>
      <c r="F173" s="7" t="s">
        <v>770</v>
      </c>
      <c r="G173" s="7" t="s">
        <v>771</v>
      </c>
      <c r="H173">
        <v>97</v>
      </c>
      <c r="I173">
        <v>52</v>
      </c>
      <c r="J173">
        <v>21</v>
      </c>
      <c r="K173">
        <v>97</v>
      </c>
      <c r="L173" s="5">
        <f t="shared" si="8"/>
        <v>66.75</v>
      </c>
      <c r="M173">
        <v>29</v>
      </c>
      <c r="N173">
        <v>88</v>
      </c>
      <c r="O173" s="5">
        <f>'Cheetah Chasers'!M11</f>
        <v>24.56</v>
      </c>
      <c r="P173" s="5">
        <f>'Cheetah Chasers'!N11</f>
        <v>55.259999999999991</v>
      </c>
      <c r="Q173" s="11">
        <f>'Cheetah Chasers'!O11</f>
        <v>61.399999999999991</v>
      </c>
      <c r="R173" s="10">
        <f>'Cheetah Chasers'!P11</f>
        <v>3.4570111030578055E-2</v>
      </c>
      <c r="S173" s="10">
        <f>'Cheetah Chasers'!Q11</f>
        <v>0.64838399999999996</v>
      </c>
      <c r="T173" t="s">
        <v>152</v>
      </c>
      <c r="U173">
        <v>25</v>
      </c>
      <c r="V173">
        <v>65</v>
      </c>
      <c r="W173" s="49">
        <f t="shared" si="9"/>
        <v>22.5</v>
      </c>
      <c r="X173" t="str">
        <f t="shared" si="7"/>
        <v>Ch67</v>
      </c>
    </row>
    <row r="174" spans="1:24" x14ac:dyDescent="0.25">
      <c r="A174" s="8">
        <v>171</v>
      </c>
      <c r="B174" s="7" t="s">
        <v>38</v>
      </c>
      <c r="C174" s="8" t="s">
        <v>45</v>
      </c>
      <c r="D174" s="7" t="s">
        <v>757</v>
      </c>
      <c r="E174" s="7" t="s">
        <v>1475</v>
      </c>
      <c r="F174" s="7" t="s">
        <v>1476</v>
      </c>
      <c r="G174" s="7" t="s">
        <v>1477</v>
      </c>
      <c r="H174">
        <v>92</v>
      </c>
      <c r="I174">
        <v>88</v>
      </c>
      <c r="J174">
        <v>69</v>
      </c>
      <c r="K174">
        <v>89</v>
      </c>
      <c r="L174" s="5">
        <f t="shared" si="8"/>
        <v>84.5</v>
      </c>
      <c r="M174">
        <v>95</v>
      </c>
      <c r="N174">
        <v>57</v>
      </c>
      <c r="O174" s="5">
        <f>'Cheetah Chasers'!M12</f>
        <v>48.689999999999991</v>
      </c>
      <c r="P174" s="5">
        <f>'Cheetah Chasers'!N12</f>
        <v>73.034999999999997</v>
      </c>
      <c r="Q174" s="11">
        <f>'Cheetah Chasers'!O12</f>
        <v>81.149999999999991</v>
      </c>
      <c r="R174" s="10">
        <f>'Cheetah Chasers'!P12</f>
        <v>0.10229099045158035</v>
      </c>
      <c r="S174" s="10">
        <f>'Cheetah Chasers'!Q12</f>
        <v>0.83259899999999976</v>
      </c>
      <c r="T174" t="s">
        <v>144</v>
      </c>
      <c r="U174">
        <v>18</v>
      </c>
      <c r="V174">
        <v>117</v>
      </c>
      <c r="W174" s="49">
        <f t="shared" si="9"/>
        <v>59.074999999999989</v>
      </c>
      <c r="X174" t="str">
        <f t="shared" si="7"/>
        <v>Ch67</v>
      </c>
    </row>
    <row r="175" spans="1:24" x14ac:dyDescent="0.25">
      <c r="A175" s="8">
        <v>172</v>
      </c>
      <c r="B175" s="7" t="s">
        <v>38</v>
      </c>
      <c r="C175" s="8" t="s">
        <v>57</v>
      </c>
      <c r="D175" s="7" t="s">
        <v>776</v>
      </c>
      <c r="E175" s="7" t="s">
        <v>777</v>
      </c>
      <c r="F175" s="7" t="s">
        <v>778</v>
      </c>
      <c r="G175" s="7" t="s">
        <v>779</v>
      </c>
      <c r="H175">
        <v>95</v>
      </c>
      <c r="I175">
        <v>43</v>
      </c>
      <c r="J175">
        <v>17</v>
      </c>
      <c r="K175">
        <v>100</v>
      </c>
      <c r="L175" s="5">
        <f t="shared" si="8"/>
        <v>63.75</v>
      </c>
      <c r="M175">
        <v>33</v>
      </c>
      <c r="N175">
        <v>87</v>
      </c>
      <c r="O175" s="5">
        <f>'Cheetah Chasers'!M13</f>
        <v>45.487499999999997</v>
      </c>
      <c r="P175" s="5">
        <f>'Cheetah Chasers'!N13</f>
        <v>45.487499999999997</v>
      </c>
      <c r="Q175" s="11">
        <f>'Cheetah Chasers'!O13</f>
        <v>60.65</v>
      </c>
      <c r="R175" s="10">
        <f>'Cheetah Chasers'!P13</f>
        <v>9.5562978602716411E-2</v>
      </c>
      <c r="S175" s="10">
        <f>'Cheetah Chasers'!Q13</f>
        <v>1.18722375</v>
      </c>
      <c r="T175" t="s">
        <v>152</v>
      </c>
      <c r="U175">
        <v>32</v>
      </c>
      <c r="V175">
        <v>64</v>
      </c>
      <c r="W175" s="49">
        <f t="shared" si="9"/>
        <v>20.924999999999997</v>
      </c>
      <c r="X175" t="str">
        <f t="shared" si="7"/>
        <v>Ch67</v>
      </c>
    </row>
    <row r="176" spans="1:24" x14ac:dyDescent="0.25">
      <c r="A176" s="8">
        <v>173</v>
      </c>
      <c r="B176" s="7" t="s">
        <v>38</v>
      </c>
      <c r="C176" s="8" t="s">
        <v>46</v>
      </c>
      <c r="D176" s="7" t="s">
        <v>780</v>
      </c>
      <c r="E176" s="7" t="s">
        <v>781</v>
      </c>
      <c r="F176" s="7" t="s">
        <v>782</v>
      </c>
      <c r="G176" s="7" t="s">
        <v>783</v>
      </c>
      <c r="H176">
        <v>94</v>
      </c>
      <c r="I176">
        <v>45</v>
      </c>
      <c r="J176">
        <v>28</v>
      </c>
      <c r="K176">
        <v>95</v>
      </c>
      <c r="L176" s="5">
        <f t="shared" si="8"/>
        <v>65.5</v>
      </c>
      <c r="M176">
        <v>33</v>
      </c>
      <c r="N176">
        <v>90</v>
      </c>
      <c r="O176" s="5">
        <f>'Cheetah Chasers'!M14</f>
        <v>64.17</v>
      </c>
      <c r="P176" s="5">
        <f>'Cheetah Chasers'!N14</f>
        <v>42.779999999999994</v>
      </c>
      <c r="Q176" s="11">
        <f>'Cheetah Chasers'!O14</f>
        <v>71.3</v>
      </c>
      <c r="R176" s="10">
        <f>'Cheetah Chasers'!P14</f>
        <v>0.13481234046576121</v>
      </c>
      <c r="S176" s="10">
        <f>'Cheetah Chasers'!Q14</f>
        <v>1.7325900000000003</v>
      </c>
      <c r="T176" t="s">
        <v>152</v>
      </c>
      <c r="U176">
        <v>23</v>
      </c>
      <c r="V176">
        <v>77</v>
      </c>
      <c r="W176" s="49">
        <f t="shared" si="9"/>
        <v>33.650000000000006</v>
      </c>
      <c r="X176" t="str">
        <f t="shared" si="7"/>
        <v>Ch67</v>
      </c>
    </row>
    <row r="177" spans="1:24" x14ac:dyDescent="0.25">
      <c r="A177" s="8">
        <v>174</v>
      </c>
      <c r="B177" s="7" t="s">
        <v>38</v>
      </c>
      <c r="C177" s="8" t="s">
        <v>52</v>
      </c>
      <c r="D177" s="7" t="s">
        <v>784</v>
      </c>
      <c r="E177" s="7" t="s">
        <v>785</v>
      </c>
      <c r="F177" s="7" t="s">
        <v>786</v>
      </c>
      <c r="G177" s="7" t="s">
        <v>787</v>
      </c>
      <c r="H177">
        <v>100</v>
      </c>
      <c r="I177">
        <v>42</v>
      </c>
      <c r="J177">
        <v>18</v>
      </c>
      <c r="K177">
        <v>100</v>
      </c>
      <c r="L177" s="5">
        <f t="shared" si="8"/>
        <v>65</v>
      </c>
      <c r="M177">
        <v>31</v>
      </c>
      <c r="N177">
        <v>84</v>
      </c>
      <c r="O177" s="5">
        <f>'Cheetah Chasers'!M15</f>
        <v>87.199999999999989</v>
      </c>
      <c r="P177" s="5">
        <f>'Cheetah Chasers'!N15</f>
        <v>26.159999999999997</v>
      </c>
      <c r="Q177" s="11">
        <f>'Cheetah Chasers'!O15</f>
        <v>87.199999999999989</v>
      </c>
      <c r="R177" s="10">
        <f>'Cheetah Chasers'!P15</f>
        <v>0.24364961816825806</v>
      </c>
      <c r="S177" s="10">
        <f>'Cheetah Chasers'!Q15</f>
        <v>2.1974399999999998</v>
      </c>
      <c r="T177" t="s">
        <v>152</v>
      </c>
      <c r="U177">
        <v>20</v>
      </c>
      <c r="V177">
        <v>92</v>
      </c>
      <c r="W177" s="49">
        <f t="shared" si="9"/>
        <v>49.399999999999991</v>
      </c>
      <c r="X177" t="str">
        <f t="shared" si="7"/>
        <v>Ch67</v>
      </c>
    </row>
    <row r="178" spans="1:24" x14ac:dyDescent="0.25">
      <c r="A178" s="8">
        <v>175</v>
      </c>
      <c r="B178" s="7" t="s">
        <v>38</v>
      </c>
      <c r="C178" s="8" t="s">
        <v>59</v>
      </c>
      <c r="D178" s="7" t="s">
        <v>788</v>
      </c>
      <c r="E178" s="7" t="s">
        <v>789</v>
      </c>
      <c r="F178" s="7" t="s">
        <v>790</v>
      </c>
      <c r="G178" s="7" t="s">
        <v>756</v>
      </c>
      <c r="H178">
        <v>100</v>
      </c>
      <c r="I178">
        <v>41</v>
      </c>
      <c r="J178">
        <v>4</v>
      </c>
      <c r="K178">
        <v>87</v>
      </c>
      <c r="L178" s="5">
        <f t="shared" si="8"/>
        <v>58</v>
      </c>
      <c r="M178">
        <v>27</v>
      </c>
      <c r="N178">
        <v>89</v>
      </c>
      <c r="O178" s="5">
        <f>'Cheetah Chasers'!M16</f>
        <v>71.75</v>
      </c>
      <c r="P178" s="5">
        <f>'Cheetah Chasers'!N16</f>
        <v>21.524999999999999</v>
      </c>
      <c r="Q178" s="11">
        <f>'Cheetah Chasers'!O16</f>
        <v>71.75</v>
      </c>
      <c r="R178" s="10">
        <f>'Cheetah Chasers'!P16</f>
        <v>0.20048004705931785</v>
      </c>
      <c r="S178" s="10">
        <f>'Cheetah Chasers'!Q16</f>
        <v>1.9157250000000001</v>
      </c>
      <c r="T178" t="s">
        <v>152</v>
      </c>
      <c r="U178">
        <v>19</v>
      </c>
      <c r="V178">
        <v>90</v>
      </c>
      <c r="W178" s="49">
        <f t="shared" si="9"/>
        <v>40.775000000000006</v>
      </c>
      <c r="X178" t="str">
        <f t="shared" si="7"/>
        <v>Ch67</v>
      </c>
    </row>
    <row r="179" spans="1:24" x14ac:dyDescent="0.25">
      <c r="A179" s="8">
        <v>176</v>
      </c>
      <c r="B179" s="7" t="s">
        <v>38</v>
      </c>
      <c r="C179" s="8" t="s">
        <v>53</v>
      </c>
      <c r="D179" s="7" t="s">
        <v>791</v>
      </c>
      <c r="E179" s="7" t="s">
        <v>792</v>
      </c>
      <c r="F179" s="7" t="s">
        <v>793</v>
      </c>
      <c r="G179" s="7" t="s">
        <v>794</v>
      </c>
      <c r="H179">
        <v>100</v>
      </c>
      <c r="I179">
        <v>46</v>
      </c>
      <c r="J179">
        <v>29</v>
      </c>
      <c r="K179">
        <v>90</v>
      </c>
      <c r="L179" s="5">
        <f t="shared" si="8"/>
        <v>66.25</v>
      </c>
      <c r="M179">
        <v>35</v>
      </c>
      <c r="N179">
        <v>90</v>
      </c>
      <c r="O179" s="5">
        <f>'Cheetah Chasers'!M17</f>
        <v>83.85</v>
      </c>
      <c r="P179" s="5">
        <f>'Cheetah Chasers'!N17</f>
        <v>25.154999999999998</v>
      </c>
      <c r="Q179" s="11">
        <f>'Cheetah Chasers'!O17</f>
        <v>83.85</v>
      </c>
      <c r="R179" s="10">
        <f>'Cheetah Chasers'!P17</f>
        <v>0.23428922572716102</v>
      </c>
      <c r="S179" s="10">
        <f>'Cheetah Chasers'!Q17</f>
        <v>2.2639499999999999</v>
      </c>
      <c r="T179" t="s">
        <v>152</v>
      </c>
      <c r="U179">
        <v>28</v>
      </c>
      <c r="V179">
        <v>86</v>
      </c>
      <c r="W179" s="49">
        <f t="shared" si="9"/>
        <v>43.924999999999997</v>
      </c>
      <c r="X179" t="str">
        <f t="shared" si="7"/>
        <v>Ch67</v>
      </c>
    </row>
    <row r="180" spans="1:24" x14ac:dyDescent="0.25">
      <c r="A180" s="8">
        <v>177</v>
      </c>
      <c r="B180" s="7" t="s">
        <v>39</v>
      </c>
      <c r="C180" s="8" t="s">
        <v>11</v>
      </c>
      <c r="D180" s="7" t="s">
        <v>710</v>
      </c>
      <c r="E180" s="7" t="s">
        <v>711</v>
      </c>
      <c r="F180" s="7" t="s">
        <v>712</v>
      </c>
      <c r="G180" s="7" t="s">
        <v>713</v>
      </c>
      <c r="H180">
        <v>74</v>
      </c>
      <c r="I180">
        <v>80</v>
      </c>
      <c r="J180">
        <v>13</v>
      </c>
      <c r="K180">
        <v>59</v>
      </c>
      <c r="L180" s="5">
        <f t="shared" si="8"/>
        <v>56.5</v>
      </c>
      <c r="M180">
        <v>97</v>
      </c>
      <c r="N180">
        <v>103</v>
      </c>
      <c r="O180" s="5">
        <f>'Raven Raiders'!M7</f>
        <v>0</v>
      </c>
      <c r="P180" s="5">
        <f>'Raven Raiders'!N7</f>
        <v>67.75</v>
      </c>
      <c r="Q180" s="11">
        <f>'Raven Raiders'!O7</f>
        <v>67.75</v>
      </c>
      <c r="R180" s="10">
        <f>'Raven Raiders'!P7</f>
        <v>0</v>
      </c>
      <c r="S180" s="10">
        <f>'Raven Raiders'!Q7</f>
        <v>0</v>
      </c>
      <c r="T180" t="s">
        <v>153</v>
      </c>
      <c r="U180">
        <v>30</v>
      </c>
      <c r="V180">
        <v>73</v>
      </c>
      <c r="W180" s="49">
        <f t="shared" si="9"/>
        <v>29.174999999999997</v>
      </c>
      <c r="X180" t="str">
        <f t="shared" si="7"/>
        <v>Ra82</v>
      </c>
    </row>
    <row r="181" spans="1:24" x14ac:dyDescent="0.25">
      <c r="A181" s="8">
        <v>178</v>
      </c>
      <c r="B181" s="7" t="s">
        <v>39</v>
      </c>
      <c r="C181" s="8" t="s">
        <v>54</v>
      </c>
      <c r="D181" s="7" t="s">
        <v>714</v>
      </c>
      <c r="E181" s="7" t="s">
        <v>715</v>
      </c>
      <c r="F181" s="7" t="s">
        <v>716</v>
      </c>
      <c r="G181" s="7" t="s">
        <v>717</v>
      </c>
      <c r="H181">
        <v>82</v>
      </c>
      <c r="I181">
        <v>87</v>
      </c>
      <c r="J181">
        <v>23</v>
      </c>
      <c r="K181">
        <v>73</v>
      </c>
      <c r="L181" s="5">
        <f t="shared" si="8"/>
        <v>66.25</v>
      </c>
      <c r="M181">
        <v>95</v>
      </c>
      <c r="N181">
        <v>100</v>
      </c>
      <c r="O181" s="5">
        <f>'Raven Raiders'!M8</f>
        <v>23.86</v>
      </c>
      <c r="P181" s="5">
        <f>'Raven Raiders'!N8</f>
        <v>53.685000000000002</v>
      </c>
      <c r="Q181" s="11">
        <f>'Raven Raiders'!O8</f>
        <v>59.65</v>
      </c>
      <c r="R181" s="10">
        <f>'Raven Raiders'!P8</f>
        <v>3.8054000011902143E-2</v>
      </c>
      <c r="S181" s="10">
        <f>'Raven Raiders'!Q8</f>
        <v>0.71579999999999999</v>
      </c>
      <c r="T181" t="s">
        <v>153</v>
      </c>
      <c r="U181">
        <v>21</v>
      </c>
      <c r="V181">
        <v>80</v>
      </c>
      <c r="W181" s="49">
        <f t="shared" si="9"/>
        <v>29.525000000000006</v>
      </c>
      <c r="X181" t="str">
        <f t="shared" si="7"/>
        <v>Ra82</v>
      </c>
    </row>
    <row r="182" spans="1:24" x14ac:dyDescent="0.25">
      <c r="A182" s="8">
        <v>179</v>
      </c>
      <c r="B182" s="7" t="s">
        <v>39</v>
      </c>
      <c r="C182" s="8" t="s">
        <v>56</v>
      </c>
      <c r="D182" s="7" t="s">
        <v>718</v>
      </c>
      <c r="E182" s="7" t="s">
        <v>719</v>
      </c>
      <c r="F182" s="7" t="s">
        <v>720</v>
      </c>
      <c r="G182" s="7" t="s">
        <v>721</v>
      </c>
      <c r="H182">
        <v>73</v>
      </c>
      <c r="I182">
        <v>73</v>
      </c>
      <c r="J182">
        <v>0</v>
      </c>
      <c r="K182">
        <v>69</v>
      </c>
      <c r="L182" s="5">
        <f t="shared" si="8"/>
        <v>53.75</v>
      </c>
      <c r="M182">
        <v>96</v>
      </c>
      <c r="N182">
        <v>97</v>
      </c>
      <c r="O182" s="5">
        <f>'Raven Raiders'!M9</f>
        <v>9.1274999999999995</v>
      </c>
      <c r="P182" s="5">
        <f>'Raven Raiders'!N9</f>
        <v>30.424999999999997</v>
      </c>
      <c r="Q182" s="11">
        <f>'Raven Raiders'!O9</f>
        <v>30.424999999999997</v>
      </c>
      <c r="R182" s="10">
        <f>'Raven Raiders'!P9</f>
        <v>1.4557329635734988E-2</v>
      </c>
      <c r="S182" s="10">
        <f>'Raven Raiders'!Q9</f>
        <v>0.26561024999999999</v>
      </c>
      <c r="T182" t="s">
        <v>153</v>
      </c>
      <c r="U182">
        <v>24</v>
      </c>
      <c r="V182">
        <v>44</v>
      </c>
      <c r="W182" s="49" t="str">
        <f t="shared" si="9"/>
        <v>0</v>
      </c>
      <c r="X182" t="str">
        <f t="shared" si="7"/>
        <v>Ra82</v>
      </c>
    </row>
    <row r="183" spans="1:24" x14ac:dyDescent="0.25">
      <c r="A183" s="8">
        <v>180</v>
      </c>
      <c r="B183" s="7" t="s">
        <v>39</v>
      </c>
      <c r="C183" s="8" t="s">
        <v>56</v>
      </c>
      <c r="D183" s="7" t="s">
        <v>722</v>
      </c>
      <c r="E183" s="7" t="s">
        <v>723</v>
      </c>
      <c r="F183" s="7" t="s">
        <v>724</v>
      </c>
      <c r="G183" s="7" t="s">
        <v>725</v>
      </c>
      <c r="H183">
        <v>83</v>
      </c>
      <c r="I183">
        <v>71</v>
      </c>
      <c r="J183">
        <v>11</v>
      </c>
      <c r="K183">
        <v>75</v>
      </c>
      <c r="L183" s="5">
        <f t="shared" si="8"/>
        <v>60</v>
      </c>
      <c r="M183">
        <v>98</v>
      </c>
      <c r="N183">
        <v>101</v>
      </c>
      <c r="O183" s="5">
        <f>'Raven Raiders'!M10</f>
        <v>11.579999999999998</v>
      </c>
      <c r="P183" s="5">
        <f>'Raven Raiders'!N10</f>
        <v>38.599999999999994</v>
      </c>
      <c r="Q183" s="11">
        <f>'Raven Raiders'!O10</f>
        <v>38.599999999999994</v>
      </c>
      <c r="R183" s="10">
        <f>'Raven Raiders'!P10</f>
        <v>1.8468789611811684E-2</v>
      </c>
      <c r="S183" s="10">
        <f>'Raven Raiders'!Q10</f>
        <v>0.35087399999999996</v>
      </c>
      <c r="T183" t="s">
        <v>153</v>
      </c>
      <c r="U183">
        <v>21</v>
      </c>
      <c r="V183">
        <v>55</v>
      </c>
      <c r="W183" s="49">
        <f t="shared" si="9"/>
        <v>6.5</v>
      </c>
      <c r="X183" t="str">
        <f t="shared" si="7"/>
        <v>Ra82</v>
      </c>
    </row>
    <row r="184" spans="1:24" x14ac:dyDescent="0.25">
      <c r="A184" s="8">
        <v>181</v>
      </c>
      <c r="B184" s="7" t="s">
        <v>39</v>
      </c>
      <c r="C184" s="8" t="s">
        <v>55</v>
      </c>
      <c r="D184" s="7" t="s">
        <v>726</v>
      </c>
      <c r="E184" s="7" t="s">
        <v>727</v>
      </c>
      <c r="F184" s="7" t="s">
        <v>728</v>
      </c>
      <c r="G184" s="7" t="s">
        <v>729</v>
      </c>
      <c r="H184">
        <v>93</v>
      </c>
      <c r="I184">
        <v>81</v>
      </c>
      <c r="J184">
        <v>25</v>
      </c>
      <c r="K184">
        <v>74</v>
      </c>
      <c r="L184" s="5">
        <f t="shared" si="8"/>
        <v>68.25</v>
      </c>
      <c r="M184">
        <v>91</v>
      </c>
      <c r="N184">
        <v>102</v>
      </c>
      <c r="O184" s="5">
        <f>'Raven Raiders'!M11</f>
        <v>24.439999999999998</v>
      </c>
      <c r="P184" s="5">
        <f>'Raven Raiders'!N11</f>
        <v>54.989999999999995</v>
      </c>
      <c r="Q184" s="11">
        <f>'Raven Raiders'!O11</f>
        <v>61.099999999999994</v>
      </c>
      <c r="R184" s="10">
        <f>'Raven Raiders'!P11</f>
        <v>3.8979034379333123E-2</v>
      </c>
      <c r="S184" s="10">
        <f>'Raven Raiders'!Q11</f>
        <v>0.74786399999999997</v>
      </c>
      <c r="T184" t="s">
        <v>153</v>
      </c>
      <c r="U184">
        <v>31</v>
      </c>
      <c r="V184">
        <v>66</v>
      </c>
      <c r="W184" s="49">
        <f t="shared" si="9"/>
        <v>22.25</v>
      </c>
      <c r="X184" t="str">
        <f t="shared" si="7"/>
        <v>Ra82</v>
      </c>
    </row>
    <row r="185" spans="1:24" x14ac:dyDescent="0.25">
      <c r="A185" s="8">
        <v>182</v>
      </c>
      <c r="B185" s="7" t="s">
        <v>39</v>
      </c>
      <c r="C185" s="8" t="s">
        <v>45</v>
      </c>
      <c r="D185" s="7" t="s">
        <v>730</v>
      </c>
      <c r="E185" s="7" t="s">
        <v>731</v>
      </c>
      <c r="F185" s="7" t="s">
        <v>732</v>
      </c>
      <c r="G185" s="7" t="s">
        <v>733</v>
      </c>
      <c r="H185">
        <v>72</v>
      </c>
      <c r="I185">
        <v>66</v>
      </c>
      <c r="J185">
        <v>20</v>
      </c>
      <c r="K185">
        <v>78</v>
      </c>
      <c r="L185" s="5">
        <f t="shared" si="8"/>
        <v>59</v>
      </c>
      <c r="M185">
        <v>98</v>
      </c>
      <c r="N185">
        <v>102</v>
      </c>
      <c r="O185" s="5">
        <f>'Raven Raiders'!M12</f>
        <v>30.179999999999996</v>
      </c>
      <c r="P185" s="5">
        <f>'Raven Raiders'!N12</f>
        <v>45.269999999999996</v>
      </c>
      <c r="Q185" s="11">
        <f>'Raven Raiders'!O12</f>
        <v>50.3</v>
      </c>
      <c r="R185" s="10">
        <f>'Raven Raiders'!P12</f>
        <v>7.1841320661520963E-2</v>
      </c>
      <c r="S185" s="10">
        <f>'Raven Raiders'!Q12</f>
        <v>0.92350799999999977</v>
      </c>
      <c r="T185" t="s">
        <v>153</v>
      </c>
      <c r="U185">
        <v>20</v>
      </c>
      <c r="V185">
        <v>61</v>
      </c>
      <c r="W185" s="49">
        <f t="shared" si="9"/>
        <v>15.450000000000003</v>
      </c>
      <c r="X185" t="str">
        <f t="shared" si="7"/>
        <v>Ra82</v>
      </c>
    </row>
    <row r="186" spans="1:24" x14ac:dyDescent="0.25">
      <c r="A186" s="8">
        <v>183</v>
      </c>
      <c r="B186" s="7" t="s">
        <v>39</v>
      </c>
      <c r="C186" s="8" t="s">
        <v>57</v>
      </c>
      <c r="D186" s="7" t="s">
        <v>734</v>
      </c>
      <c r="E186" s="7" t="s">
        <v>735</v>
      </c>
      <c r="F186" s="7" t="s">
        <v>736</v>
      </c>
      <c r="G186" s="7" t="s">
        <v>737</v>
      </c>
      <c r="H186">
        <v>90</v>
      </c>
      <c r="I186">
        <v>89</v>
      </c>
      <c r="J186">
        <v>18</v>
      </c>
      <c r="K186">
        <v>67</v>
      </c>
      <c r="L186" s="5">
        <f t="shared" si="8"/>
        <v>66</v>
      </c>
      <c r="M186">
        <v>92</v>
      </c>
      <c r="N186">
        <v>96</v>
      </c>
      <c r="O186" s="5">
        <f>'Raven Raiders'!M13</f>
        <v>56.474999999999994</v>
      </c>
      <c r="P186" s="5">
        <f>'Raven Raiders'!N13</f>
        <v>56.474999999999994</v>
      </c>
      <c r="Q186" s="11">
        <f>'Raven Raiders'!O13</f>
        <v>75.3</v>
      </c>
      <c r="R186" s="10">
        <f>'Raven Raiders'!P13</f>
        <v>0.13443467807685211</v>
      </c>
      <c r="S186" s="10">
        <f>'Raven Raiders'!Q13</f>
        <v>1.6264799999999999</v>
      </c>
      <c r="T186" t="s">
        <v>153</v>
      </c>
      <c r="U186">
        <v>27</v>
      </c>
      <c r="V186">
        <v>80</v>
      </c>
      <c r="W186" s="49">
        <f t="shared" si="9"/>
        <v>36.75</v>
      </c>
      <c r="X186" t="str">
        <f t="shared" si="7"/>
        <v>Ra82</v>
      </c>
    </row>
    <row r="187" spans="1:24" x14ac:dyDescent="0.25">
      <c r="A187" s="8">
        <v>184</v>
      </c>
      <c r="B187" s="7" t="s">
        <v>39</v>
      </c>
      <c r="C187" s="8" t="s">
        <v>46</v>
      </c>
      <c r="D187" s="7" t="s">
        <v>738</v>
      </c>
      <c r="E187" s="7" t="s">
        <v>739</v>
      </c>
      <c r="F187" s="7" t="s">
        <v>740</v>
      </c>
      <c r="G187" s="7" t="s">
        <v>741</v>
      </c>
      <c r="H187">
        <v>68</v>
      </c>
      <c r="I187">
        <v>78</v>
      </c>
      <c r="J187">
        <v>0</v>
      </c>
      <c r="K187">
        <v>51</v>
      </c>
      <c r="L187" s="5">
        <f t="shared" si="8"/>
        <v>49.25</v>
      </c>
      <c r="M187">
        <v>96</v>
      </c>
      <c r="N187">
        <v>95</v>
      </c>
      <c r="O187" s="5">
        <f>'Raven Raiders'!M14</f>
        <v>58.680000000000007</v>
      </c>
      <c r="P187" s="5">
        <f>'Raven Raiders'!N14</f>
        <v>39.119999999999997</v>
      </c>
      <c r="Q187" s="11">
        <f>'Raven Raiders'!O14</f>
        <v>65.2</v>
      </c>
      <c r="R187" s="10">
        <f>'Raven Raiders'!P14</f>
        <v>0.13968352208144638</v>
      </c>
      <c r="S187" s="10">
        <f>'Raven Raiders'!Q14</f>
        <v>1.6723800000000002</v>
      </c>
      <c r="T187" t="s">
        <v>153</v>
      </c>
      <c r="U187">
        <v>28</v>
      </c>
      <c r="V187">
        <v>71</v>
      </c>
      <c r="W187" s="49">
        <f t="shared" si="9"/>
        <v>27.099999999999994</v>
      </c>
      <c r="X187" t="str">
        <f t="shared" si="7"/>
        <v>Ra82</v>
      </c>
    </row>
    <row r="188" spans="1:24" x14ac:dyDescent="0.25">
      <c r="A188" s="8">
        <v>185</v>
      </c>
      <c r="B188" s="7" t="s">
        <v>39</v>
      </c>
      <c r="C188" s="8" t="s">
        <v>52</v>
      </c>
      <c r="D188" s="7" t="s">
        <v>742</v>
      </c>
      <c r="E188" s="7" t="s">
        <v>743</v>
      </c>
      <c r="F188" s="7" t="s">
        <v>744</v>
      </c>
      <c r="G188" s="7" t="s">
        <v>745</v>
      </c>
      <c r="H188">
        <v>74</v>
      </c>
      <c r="I188">
        <v>82</v>
      </c>
      <c r="J188">
        <v>12</v>
      </c>
      <c r="K188">
        <v>58</v>
      </c>
      <c r="L188" s="5">
        <f t="shared" si="8"/>
        <v>56.5</v>
      </c>
      <c r="M188">
        <v>96</v>
      </c>
      <c r="N188">
        <v>102</v>
      </c>
      <c r="O188" s="5">
        <f>'Raven Raiders'!M15</f>
        <v>64.900000000000006</v>
      </c>
      <c r="P188" s="5">
        <f>'Raven Raiders'!N15</f>
        <v>19.470000000000002</v>
      </c>
      <c r="Q188" s="11">
        <f>'Raven Raiders'!O15</f>
        <v>64.900000000000006</v>
      </c>
      <c r="R188" s="10">
        <f>'Raven Raiders'!P15</f>
        <v>0.20547141403381403</v>
      </c>
      <c r="S188" s="10">
        <f>'Raven Raiders'!Q15</f>
        <v>1.98594</v>
      </c>
      <c r="T188" t="s">
        <v>153</v>
      </c>
      <c r="U188">
        <v>19</v>
      </c>
      <c r="V188">
        <v>95</v>
      </c>
      <c r="W188" s="49">
        <f t="shared" si="9"/>
        <v>39.849999999999994</v>
      </c>
      <c r="X188" t="str">
        <f t="shared" si="7"/>
        <v>Ra82</v>
      </c>
    </row>
    <row r="189" spans="1:24" x14ac:dyDescent="0.25">
      <c r="A189" s="8">
        <v>186</v>
      </c>
      <c r="B189" s="7" t="s">
        <v>39</v>
      </c>
      <c r="C189" s="8" t="s">
        <v>59</v>
      </c>
      <c r="D189" s="7" t="s">
        <v>746</v>
      </c>
      <c r="E189" s="7" t="s">
        <v>747</v>
      </c>
      <c r="F189" s="7" t="s">
        <v>748</v>
      </c>
      <c r="G189" s="7" t="s">
        <v>749</v>
      </c>
      <c r="H189">
        <v>63</v>
      </c>
      <c r="I189">
        <v>74</v>
      </c>
      <c r="J189">
        <v>19</v>
      </c>
      <c r="K189">
        <v>81</v>
      </c>
      <c r="L189" s="5">
        <f t="shared" si="8"/>
        <v>59.25</v>
      </c>
      <c r="M189">
        <v>99</v>
      </c>
      <c r="N189">
        <v>95</v>
      </c>
      <c r="O189" s="5">
        <f>'Raven Raiders'!M16</f>
        <v>66.75</v>
      </c>
      <c r="P189" s="5">
        <f>'Raven Raiders'!N16</f>
        <v>20.024999999999999</v>
      </c>
      <c r="Q189" s="11">
        <f>'Raven Raiders'!O16</f>
        <v>66.75</v>
      </c>
      <c r="R189" s="10">
        <f>'Raven Raiders'!P16</f>
        <v>0.21132845742306758</v>
      </c>
      <c r="S189" s="10">
        <f>'Raven Raiders'!Q16</f>
        <v>1.9023749999999997</v>
      </c>
      <c r="T189" t="s">
        <v>153</v>
      </c>
      <c r="U189">
        <v>18</v>
      </c>
      <c r="V189">
        <v>75</v>
      </c>
      <c r="W189" s="49">
        <f t="shared" si="9"/>
        <v>30.875</v>
      </c>
      <c r="X189" t="str">
        <f t="shared" si="7"/>
        <v>Ra82</v>
      </c>
    </row>
    <row r="190" spans="1:24" x14ac:dyDescent="0.25">
      <c r="A190" s="8">
        <v>187</v>
      </c>
      <c r="B190" s="7" t="s">
        <v>39</v>
      </c>
      <c r="C190" s="8" t="s">
        <v>53</v>
      </c>
      <c r="D190" s="7" t="s">
        <v>750</v>
      </c>
      <c r="E190" s="7" t="s">
        <v>711</v>
      </c>
      <c r="F190" s="7" t="s">
        <v>751</v>
      </c>
      <c r="G190" s="7" t="s">
        <v>752</v>
      </c>
      <c r="H190">
        <v>75</v>
      </c>
      <c r="I190">
        <v>100</v>
      </c>
      <c r="J190">
        <v>18</v>
      </c>
      <c r="K190">
        <v>71</v>
      </c>
      <c r="L190" s="5">
        <f t="shared" si="8"/>
        <v>66</v>
      </c>
      <c r="M190">
        <v>94</v>
      </c>
      <c r="N190">
        <v>103</v>
      </c>
      <c r="O190" s="5">
        <f>'Raven Raiders'!M17</f>
        <v>74.099999999999994</v>
      </c>
      <c r="P190" s="5">
        <f>'Raven Raiders'!N17</f>
        <v>22.229999999999997</v>
      </c>
      <c r="Q190" s="11">
        <f>'Raven Raiders'!O17</f>
        <v>74.099999999999994</v>
      </c>
      <c r="R190" s="10">
        <f>'Raven Raiders'!P17</f>
        <v>0.23459833251010195</v>
      </c>
      <c r="S190" s="10">
        <f>'Raven Raiders'!Q17</f>
        <v>2.2896899999999998</v>
      </c>
      <c r="T190" t="s">
        <v>153</v>
      </c>
      <c r="U190">
        <v>35</v>
      </c>
      <c r="V190">
        <v>75</v>
      </c>
      <c r="W190" s="49">
        <f t="shared" si="9"/>
        <v>32.849999999999994</v>
      </c>
      <c r="X190" t="str">
        <f t="shared" si="7"/>
        <v>Ra82</v>
      </c>
    </row>
    <row r="191" spans="1:24" x14ac:dyDescent="0.25">
      <c r="A191" s="8">
        <v>188</v>
      </c>
      <c r="B191" s="7" t="s">
        <v>40</v>
      </c>
      <c r="C191" s="8" t="s">
        <v>11</v>
      </c>
      <c r="D191" s="7" t="s">
        <v>1436</v>
      </c>
      <c r="E191" s="7" t="s">
        <v>1437</v>
      </c>
      <c r="F191" s="7" t="s">
        <v>1438</v>
      </c>
      <c r="G191" s="7" t="s">
        <v>1415</v>
      </c>
      <c r="H191">
        <v>32</v>
      </c>
      <c r="I191">
        <v>64</v>
      </c>
      <c r="J191">
        <v>83</v>
      </c>
      <c r="K191">
        <v>57</v>
      </c>
      <c r="L191" s="5">
        <f t="shared" si="8"/>
        <v>59</v>
      </c>
      <c r="M191">
        <v>54</v>
      </c>
      <c r="N191">
        <v>80</v>
      </c>
      <c r="O191" s="5">
        <f>'Stallion Strikers'!M7</f>
        <v>0</v>
      </c>
      <c r="P191" s="5">
        <f>'Stallion Strikers'!N7</f>
        <v>52.05</v>
      </c>
      <c r="Q191" s="11">
        <f>'Stallion Strikers'!O7</f>
        <v>52.05</v>
      </c>
      <c r="R191" s="10">
        <f>'Stallion Strikers'!P7</f>
        <v>0</v>
      </c>
      <c r="S191" s="10">
        <f>'Stallion Strikers'!Q7</f>
        <v>0</v>
      </c>
      <c r="T191" t="s">
        <v>154</v>
      </c>
      <c r="U191">
        <v>25</v>
      </c>
      <c r="V191">
        <v>58</v>
      </c>
      <c r="W191" s="49">
        <f t="shared" si="9"/>
        <v>14.325000000000003</v>
      </c>
      <c r="X191" t="str">
        <f t="shared" si="7"/>
        <v>St83</v>
      </c>
    </row>
    <row r="192" spans="1:24" x14ac:dyDescent="0.25">
      <c r="A192" s="8">
        <v>189</v>
      </c>
      <c r="B192" s="7" t="s">
        <v>40</v>
      </c>
      <c r="C192" s="8" t="s">
        <v>54</v>
      </c>
      <c r="D192" s="7" t="s">
        <v>1400</v>
      </c>
      <c r="E192" s="7" t="s">
        <v>1401</v>
      </c>
      <c r="F192" s="7" t="s">
        <v>1402</v>
      </c>
      <c r="G192" s="7" t="s">
        <v>1403</v>
      </c>
      <c r="H192">
        <v>29</v>
      </c>
      <c r="I192">
        <v>71</v>
      </c>
      <c r="J192">
        <v>68</v>
      </c>
      <c r="K192">
        <v>79</v>
      </c>
      <c r="L192" s="5">
        <f t="shared" si="8"/>
        <v>61.75</v>
      </c>
      <c r="M192">
        <v>50</v>
      </c>
      <c r="N192">
        <v>89</v>
      </c>
      <c r="O192" s="5">
        <f>'Stallion Strikers'!M8</f>
        <v>26.42</v>
      </c>
      <c r="P192" s="5">
        <f>'Stallion Strikers'!N8</f>
        <v>59.445</v>
      </c>
      <c r="Q192" s="11">
        <f>'Stallion Strikers'!O8</f>
        <v>66.05</v>
      </c>
      <c r="R192" s="10">
        <f>'Stallion Strikers'!P8</f>
        <v>4.3181782144403595E-2</v>
      </c>
      <c r="S192" s="10">
        <f>'Stallion Strikers'!Q8</f>
        <v>0.70541399999999999</v>
      </c>
      <c r="T192" t="s">
        <v>154</v>
      </c>
      <c r="U192">
        <v>25</v>
      </c>
      <c r="V192">
        <v>81</v>
      </c>
      <c r="W192" s="49">
        <f t="shared" si="9"/>
        <v>32.824999999999989</v>
      </c>
      <c r="X192" t="str">
        <f t="shared" si="7"/>
        <v>St83</v>
      </c>
    </row>
    <row r="193" spans="1:24" x14ac:dyDescent="0.25">
      <c r="A193" s="8">
        <v>190</v>
      </c>
      <c r="B193" s="7" t="s">
        <v>40</v>
      </c>
      <c r="C193" s="8" t="s">
        <v>56</v>
      </c>
      <c r="D193" s="7" t="s">
        <v>1381</v>
      </c>
      <c r="E193" s="7" t="s">
        <v>1382</v>
      </c>
      <c r="F193" s="7" t="s">
        <v>1383</v>
      </c>
      <c r="G193" s="7" t="s">
        <v>1384</v>
      </c>
      <c r="H193">
        <v>50</v>
      </c>
      <c r="I193">
        <v>79</v>
      </c>
      <c r="J193">
        <v>80</v>
      </c>
      <c r="K193">
        <v>74</v>
      </c>
      <c r="L193" s="5">
        <f t="shared" si="8"/>
        <v>70.75</v>
      </c>
      <c r="M193">
        <v>55</v>
      </c>
      <c r="N193">
        <v>80</v>
      </c>
      <c r="O193" s="5">
        <f>'Stallion Strikers'!M9</f>
        <v>22.559999999999995</v>
      </c>
      <c r="P193" s="5">
        <f>'Stallion Strikers'!N9</f>
        <v>75.199999999999989</v>
      </c>
      <c r="Q193" s="11">
        <f>'Stallion Strikers'!O9</f>
        <v>75.199999999999989</v>
      </c>
      <c r="R193" s="10">
        <f>'Stallion Strikers'!P9</f>
        <v>3.6872861664562634E-2</v>
      </c>
      <c r="S193" s="10">
        <f>'Stallion Strikers'!Q9</f>
        <v>0.54143999999999992</v>
      </c>
      <c r="T193" t="s">
        <v>154</v>
      </c>
      <c r="U193">
        <v>28</v>
      </c>
      <c r="V193">
        <v>84</v>
      </c>
      <c r="W193" s="49">
        <f t="shared" si="9"/>
        <v>38.599999999999994</v>
      </c>
      <c r="X193" t="str">
        <f t="shared" si="7"/>
        <v>St83</v>
      </c>
    </row>
    <row r="194" spans="1:24" x14ac:dyDescent="0.25">
      <c r="A194" s="8">
        <v>191</v>
      </c>
      <c r="B194" s="7" t="s">
        <v>40</v>
      </c>
      <c r="C194" s="8" t="s">
        <v>56</v>
      </c>
      <c r="D194" s="7" t="s">
        <v>1414</v>
      </c>
      <c r="E194" s="7" t="s">
        <v>1415</v>
      </c>
      <c r="F194" s="7" t="s">
        <v>1416</v>
      </c>
      <c r="G194" s="7" t="s">
        <v>1417</v>
      </c>
      <c r="H194">
        <v>46</v>
      </c>
      <c r="I194">
        <v>44</v>
      </c>
      <c r="J194">
        <v>75</v>
      </c>
      <c r="K194">
        <v>71</v>
      </c>
      <c r="L194" s="5">
        <f t="shared" si="8"/>
        <v>59</v>
      </c>
      <c r="M194">
        <v>59</v>
      </c>
      <c r="N194">
        <v>83</v>
      </c>
      <c r="O194" s="5">
        <f>'Stallion Strikers'!M10</f>
        <v>19.837499999999999</v>
      </c>
      <c r="P194" s="5">
        <f>'Stallion Strikers'!N10</f>
        <v>66.125</v>
      </c>
      <c r="Q194" s="11">
        <f>'Stallion Strikers'!O10</f>
        <v>66.125</v>
      </c>
      <c r="R194" s="10">
        <f>'Stallion Strikers'!P10</f>
        <v>3.2423111403845808E-2</v>
      </c>
      <c r="S194" s="10">
        <f>'Stallion Strikers'!Q10</f>
        <v>0.49395374999999997</v>
      </c>
      <c r="T194" t="s">
        <v>154</v>
      </c>
      <c r="U194">
        <v>33</v>
      </c>
      <c r="V194">
        <v>67</v>
      </c>
      <c r="W194" s="49">
        <f t="shared" si="9"/>
        <v>25.0625</v>
      </c>
      <c r="X194" t="str">
        <f t="shared" si="7"/>
        <v>St83</v>
      </c>
    </row>
    <row r="195" spans="1:24" x14ac:dyDescent="0.25">
      <c r="A195" s="8">
        <v>192</v>
      </c>
      <c r="B195" s="7" t="s">
        <v>40</v>
      </c>
      <c r="C195" s="8" t="s">
        <v>55</v>
      </c>
      <c r="D195" s="7" t="s">
        <v>1390</v>
      </c>
      <c r="E195" s="7" t="s">
        <v>1391</v>
      </c>
      <c r="F195" s="7" t="s">
        <v>1392</v>
      </c>
      <c r="G195" s="7" t="s">
        <v>1393</v>
      </c>
      <c r="H195">
        <v>52</v>
      </c>
      <c r="I195">
        <v>68</v>
      </c>
      <c r="J195">
        <v>90</v>
      </c>
      <c r="K195">
        <v>64</v>
      </c>
      <c r="L195" s="5">
        <f t="shared" si="8"/>
        <v>68.5</v>
      </c>
      <c r="M195">
        <v>57</v>
      </c>
      <c r="N195">
        <v>80</v>
      </c>
      <c r="O195" s="5">
        <f>'Stallion Strikers'!M11</f>
        <v>28.84</v>
      </c>
      <c r="P195" s="5">
        <f>'Stallion Strikers'!N11</f>
        <v>64.89</v>
      </c>
      <c r="Q195" s="11">
        <f>'Stallion Strikers'!O11</f>
        <v>72.099999999999994</v>
      </c>
      <c r="R195" s="10">
        <f>'Stallion Strikers'!P11</f>
        <v>4.7137115709485221E-2</v>
      </c>
      <c r="S195" s="10">
        <f>'Stallion Strikers'!Q11</f>
        <v>0.69216</v>
      </c>
      <c r="T195" t="s">
        <v>154</v>
      </c>
      <c r="U195">
        <v>28</v>
      </c>
      <c r="V195">
        <v>84</v>
      </c>
      <c r="W195" s="49">
        <f t="shared" si="9"/>
        <v>37.049999999999997</v>
      </c>
      <c r="X195" t="str">
        <f t="shared" si="7"/>
        <v>St83</v>
      </c>
    </row>
    <row r="196" spans="1:24" x14ac:dyDescent="0.25">
      <c r="A196" s="8">
        <v>193</v>
      </c>
      <c r="B196" s="7" t="s">
        <v>40</v>
      </c>
      <c r="C196" s="8" t="s">
        <v>45</v>
      </c>
      <c r="D196" s="7" t="s">
        <v>1408</v>
      </c>
      <c r="E196" s="7" t="s">
        <v>1409</v>
      </c>
      <c r="F196" s="7" t="s">
        <v>1410</v>
      </c>
      <c r="G196" s="7" t="s">
        <v>1411</v>
      </c>
      <c r="H196">
        <v>53</v>
      </c>
      <c r="I196">
        <v>69</v>
      </c>
      <c r="J196">
        <v>63</v>
      </c>
      <c r="K196">
        <v>70</v>
      </c>
      <c r="L196" s="5">
        <f t="shared" si="8"/>
        <v>63.75</v>
      </c>
      <c r="M196">
        <v>50</v>
      </c>
      <c r="N196">
        <v>88</v>
      </c>
      <c r="O196" s="5">
        <f>'Stallion Strikers'!M12</f>
        <v>38.609999999999992</v>
      </c>
      <c r="P196" s="5">
        <f>'Stallion Strikers'!N12</f>
        <v>57.914999999999999</v>
      </c>
      <c r="Q196" s="11">
        <f>'Stallion Strikers'!O12</f>
        <v>64.349999999999994</v>
      </c>
      <c r="R196" s="10">
        <f>'Stallion Strikers'!P12</f>
        <v>9.4187386794006248E-2</v>
      </c>
      <c r="S196" s="10">
        <f>'Stallion Strikers'!Q12</f>
        <v>1.019304</v>
      </c>
      <c r="T196" t="s">
        <v>154</v>
      </c>
      <c r="U196">
        <v>29</v>
      </c>
      <c r="V196">
        <v>73</v>
      </c>
      <c r="W196" s="49">
        <f t="shared" si="9"/>
        <v>27.574999999999989</v>
      </c>
      <c r="X196" t="str">
        <f t="shared" si="7"/>
        <v>St83</v>
      </c>
    </row>
    <row r="197" spans="1:24" x14ac:dyDescent="0.25">
      <c r="A197" s="8">
        <v>194</v>
      </c>
      <c r="B197" s="7" t="s">
        <v>40</v>
      </c>
      <c r="C197" s="8" t="s">
        <v>57</v>
      </c>
      <c r="D197" s="7" t="s">
        <v>1432</v>
      </c>
      <c r="E197" s="7" t="s">
        <v>1433</v>
      </c>
      <c r="F197" s="7" t="s">
        <v>1434</v>
      </c>
      <c r="G197" s="7" t="s">
        <v>1435</v>
      </c>
      <c r="H197">
        <v>38</v>
      </c>
      <c r="I197">
        <v>51</v>
      </c>
      <c r="J197">
        <v>77</v>
      </c>
      <c r="K197">
        <v>66</v>
      </c>
      <c r="L197" s="5">
        <f t="shared" si="8"/>
        <v>58</v>
      </c>
      <c r="M197">
        <v>57</v>
      </c>
      <c r="N197">
        <v>86</v>
      </c>
      <c r="O197" s="5">
        <f>'Stallion Strikers'!M13</f>
        <v>40.424999999999997</v>
      </c>
      <c r="P197" s="5">
        <f>'Stallion Strikers'!N13</f>
        <v>40.424999999999997</v>
      </c>
      <c r="Q197" s="11">
        <f>'Stallion Strikers'!O13</f>
        <v>53.9</v>
      </c>
      <c r="R197" s="10">
        <f>'Stallion Strikers'!P13</f>
        <v>9.8614998993724501E-2</v>
      </c>
      <c r="S197" s="10">
        <f>'Stallion Strikers'!Q13</f>
        <v>1.0429649999999999</v>
      </c>
      <c r="T197" t="s">
        <v>154</v>
      </c>
      <c r="U197">
        <v>28</v>
      </c>
      <c r="V197">
        <v>62</v>
      </c>
      <c r="W197" s="49">
        <f t="shared" si="9"/>
        <v>16.950000000000003</v>
      </c>
      <c r="X197" t="str">
        <f t="shared" ref="X197:X223" si="10">_xlfn.CONCAT(LEFT(B197,2),CODE(B197))</f>
        <v>St83</v>
      </c>
    </row>
    <row r="198" spans="1:24" x14ac:dyDescent="0.25">
      <c r="A198" s="8">
        <v>195</v>
      </c>
      <c r="B198" s="7" t="s">
        <v>40</v>
      </c>
      <c r="C198" s="8" t="s">
        <v>46</v>
      </c>
      <c r="D198" s="7" t="s">
        <v>1428</v>
      </c>
      <c r="E198" s="7" t="s">
        <v>1429</v>
      </c>
      <c r="F198" s="7" t="s">
        <v>1430</v>
      </c>
      <c r="G198" s="7" t="s">
        <v>1431</v>
      </c>
      <c r="H198">
        <v>51</v>
      </c>
      <c r="I198">
        <v>52</v>
      </c>
      <c r="J198">
        <v>74</v>
      </c>
      <c r="K198">
        <v>64</v>
      </c>
      <c r="L198" s="5">
        <f t="shared" si="8"/>
        <v>60.25</v>
      </c>
      <c r="M198">
        <v>58</v>
      </c>
      <c r="N198">
        <v>82</v>
      </c>
      <c r="O198" s="5">
        <f>'Stallion Strikers'!M14</f>
        <v>49.635000000000005</v>
      </c>
      <c r="P198" s="5">
        <f>'Stallion Strikers'!N14</f>
        <v>33.090000000000003</v>
      </c>
      <c r="Q198" s="11">
        <f>'Stallion Strikers'!O14</f>
        <v>55.150000000000006</v>
      </c>
      <c r="R198" s="10">
        <f>'Stallion Strikers'!P14</f>
        <v>0.12108238651956751</v>
      </c>
      <c r="S198" s="10">
        <f>'Stallion Strikers'!Q14</f>
        <v>1.2210209999999999</v>
      </c>
      <c r="T198" t="s">
        <v>154</v>
      </c>
      <c r="U198">
        <v>20</v>
      </c>
      <c r="V198">
        <v>60</v>
      </c>
      <c r="W198" s="49">
        <f t="shared" si="9"/>
        <v>17.375</v>
      </c>
      <c r="X198" t="str">
        <f t="shared" si="10"/>
        <v>St83</v>
      </c>
    </row>
    <row r="199" spans="1:24" x14ac:dyDescent="0.25">
      <c r="A199" s="8">
        <v>196</v>
      </c>
      <c r="B199" s="7" t="s">
        <v>40</v>
      </c>
      <c r="C199" s="8" t="s">
        <v>52</v>
      </c>
      <c r="D199" s="7" t="s">
        <v>1404</v>
      </c>
      <c r="E199" s="7" t="s">
        <v>1405</v>
      </c>
      <c r="F199" s="7" t="s">
        <v>1406</v>
      </c>
      <c r="G199" s="7" t="s">
        <v>1407</v>
      </c>
      <c r="H199">
        <v>48</v>
      </c>
      <c r="I199">
        <v>59</v>
      </c>
      <c r="J199">
        <v>73</v>
      </c>
      <c r="K199">
        <v>76</v>
      </c>
      <c r="L199" s="5">
        <f t="shared" si="8"/>
        <v>64</v>
      </c>
      <c r="M199">
        <v>55</v>
      </c>
      <c r="N199">
        <v>83</v>
      </c>
      <c r="O199" s="5">
        <f>'Stallion Strikers'!M15</f>
        <v>63.5</v>
      </c>
      <c r="P199" s="5">
        <f>'Stallion Strikers'!N15</f>
        <v>19.05</v>
      </c>
      <c r="Q199" s="11">
        <f>'Stallion Strikers'!O15</f>
        <v>63.5</v>
      </c>
      <c r="R199" s="10">
        <f>'Stallion Strikers'!P15</f>
        <v>0.20602423599295</v>
      </c>
      <c r="S199" s="10">
        <f>'Stallion Strikers'!Q15</f>
        <v>1.5811500000000001</v>
      </c>
      <c r="T199" t="s">
        <v>154</v>
      </c>
      <c r="U199">
        <v>25</v>
      </c>
      <c r="V199">
        <v>75</v>
      </c>
      <c r="W199" s="49">
        <f t="shared" si="9"/>
        <v>28.549999999999997</v>
      </c>
      <c r="X199" t="str">
        <f t="shared" si="10"/>
        <v>St83</v>
      </c>
    </row>
    <row r="200" spans="1:24" x14ac:dyDescent="0.25">
      <c r="A200" s="8">
        <v>197</v>
      </c>
      <c r="B200" s="7" t="s">
        <v>40</v>
      </c>
      <c r="C200" s="8" t="s">
        <v>59</v>
      </c>
      <c r="D200" s="7" t="s">
        <v>1424</v>
      </c>
      <c r="E200" s="7" t="s">
        <v>1425</v>
      </c>
      <c r="F200" s="7" t="s">
        <v>1426</v>
      </c>
      <c r="G200" s="7" t="s">
        <v>1427</v>
      </c>
      <c r="H200">
        <v>42</v>
      </c>
      <c r="I200">
        <v>70</v>
      </c>
      <c r="J200">
        <v>70</v>
      </c>
      <c r="K200">
        <v>69</v>
      </c>
      <c r="L200" s="5">
        <f t="shared" ref="L200:L223" si="11">AVERAGE(H200:K200)</f>
        <v>62.75</v>
      </c>
      <c r="M200">
        <v>51</v>
      </c>
      <c r="N200">
        <v>87</v>
      </c>
      <c r="O200" s="5">
        <f>'Stallion Strikers'!M16</f>
        <v>59.900000000000006</v>
      </c>
      <c r="P200" s="5">
        <f>'Stallion Strikers'!N16</f>
        <v>17.970000000000002</v>
      </c>
      <c r="Q200" s="11">
        <f>'Stallion Strikers'!O16</f>
        <v>59.900000000000006</v>
      </c>
      <c r="R200" s="10">
        <f>'Stallion Strikers'!P16</f>
        <v>0.19434412182642055</v>
      </c>
      <c r="S200" s="10">
        <f>'Stallion Strikers'!Q16</f>
        <v>1.5633900000000003</v>
      </c>
      <c r="T200" t="s">
        <v>154</v>
      </c>
      <c r="U200">
        <v>34</v>
      </c>
      <c r="V200">
        <v>61</v>
      </c>
      <c r="W200" s="49">
        <f t="shared" si="9"/>
        <v>18.850000000000001</v>
      </c>
      <c r="X200" t="str">
        <f t="shared" si="10"/>
        <v>St83</v>
      </c>
    </row>
    <row r="201" spans="1:24" x14ac:dyDescent="0.25">
      <c r="A201" s="8">
        <v>198</v>
      </c>
      <c r="B201" s="7" t="s">
        <v>40</v>
      </c>
      <c r="C201" s="8" t="s">
        <v>53</v>
      </c>
      <c r="D201" s="7" t="s">
        <v>1420</v>
      </c>
      <c r="E201" s="7" t="s">
        <v>1421</v>
      </c>
      <c r="F201" s="7" t="s">
        <v>1422</v>
      </c>
      <c r="G201" s="7" t="s">
        <v>1423</v>
      </c>
      <c r="H201">
        <v>45</v>
      </c>
      <c r="I201">
        <v>80</v>
      </c>
      <c r="J201">
        <v>55</v>
      </c>
      <c r="K201">
        <v>66</v>
      </c>
      <c r="L201" s="5">
        <f t="shared" si="11"/>
        <v>61.5</v>
      </c>
      <c r="M201">
        <v>56</v>
      </c>
      <c r="N201">
        <v>85</v>
      </c>
      <c r="O201" s="5">
        <f>'Stallion Strikers'!M17</f>
        <v>60.2</v>
      </c>
      <c r="P201" s="5">
        <f>'Stallion Strikers'!N17</f>
        <v>18.059999999999999</v>
      </c>
      <c r="Q201" s="11">
        <f>'Stallion Strikers'!O17</f>
        <v>60.2</v>
      </c>
      <c r="R201" s="10">
        <f>'Stallion Strikers'!P17</f>
        <v>0.19531746467363134</v>
      </c>
      <c r="S201" s="10">
        <f>'Stallion Strikers'!Q17</f>
        <v>1.5350999999999999</v>
      </c>
      <c r="T201" t="s">
        <v>154</v>
      </c>
      <c r="U201">
        <v>30</v>
      </c>
      <c r="V201">
        <v>65</v>
      </c>
      <c r="W201" s="49">
        <f t="shared" si="9"/>
        <v>21.400000000000006</v>
      </c>
      <c r="X201" t="str">
        <f t="shared" si="10"/>
        <v>St83</v>
      </c>
    </row>
    <row r="202" spans="1:24" x14ac:dyDescent="0.25">
      <c r="A202" s="8">
        <v>199</v>
      </c>
      <c r="B202" s="7" t="s">
        <v>41</v>
      </c>
      <c r="C202" s="8" t="s">
        <v>11</v>
      </c>
      <c r="D202" s="7" t="s">
        <v>666</v>
      </c>
      <c r="E202" s="7" t="s">
        <v>667</v>
      </c>
      <c r="F202" s="7" t="s">
        <v>668</v>
      </c>
      <c r="G202" s="7" t="s">
        <v>669</v>
      </c>
      <c r="H202">
        <v>26</v>
      </c>
      <c r="I202">
        <v>38</v>
      </c>
      <c r="J202">
        <v>67</v>
      </c>
      <c r="K202">
        <v>37</v>
      </c>
      <c r="L202" s="5">
        <f t="shared" si="11"/>
        <v>42</v>
      </c>
      <c r="M202">
        <v>71</v>
      </c>
      <c r="N202">
        <v>85</v>
      </c>
      <c r="O202" s="5">
        <f>'Buffalo Battlers'!M7</f>
        <v>0</v>
      </c>
      <c r="P202" s="5">
        <f>'Buffalo Battlers'!N7</f>
        <v>35.949999999999996</v>
      </c>
      <c r="Q202" s="11">
        <f>'Buffalo Battlers'!O7</f>
        <v>35.949999999999996</v>
      </c>
      <c r="R202" s="10">
        <f>'Buffalo Battlers'!P7</f>
        <v>0</v>
      </c>
      <c r="S202" s="10">
        <f>'Buffalo Battlers'!Q7</f>
        <v>0</v>
      </c>
      <c r="T202" t="s">
        <v>156</v>
      </c>
      <c r="U202">
        <v>18</v>
      </c>
      <c r="V202">
        <v>45</v>
      </c>
      <c r="W202" s="49">
        <f t="shared" si="9"/>
        <v>0.47499999999999432</v>
      </c>
      <c r="X202" t="str">
        <f t="shared" si="10"/>
        <v>Bu66</v>
      </c>
    </row>
    <row r="203" spans="1:24" x14ac:dyDescent="0.25">
      <c r="A203" s="8">
        <v>200</v>
      </c>
      <c r="B203" s="7" t="s">
        <v>41</v>
      </c>
      <c r="C203" s="8" t="s">
        <v>54</v>
      </c>
      <c r="D203" s="7" t="s">
        <v>670</v>
      </c>
      <c r="E203" s="7" t="s">
        <v>671</v>
      </c>
      <c r="F203" s="7" t="s">
        <v>672</v>
      </c>
      <c r="G203" s="7" t="s">
        <v>673</v>
      </c>
      <c r="H203">
        <v>24</v>
      </c>
      <c r="I203">
        <v>35</v>
      </c>
      <c r="J203">
        <v>81</v>
      </c>
      <c r="K203">
        <v>45</v>
      </c>
      <c r="L203" s="5">
        <f t="shared" si="11"/>
        <v>46.25</v>
      </c>
      <c r="M203">
        <v>70</v>
      </c>
      <c r="N203">
        <v>77</v>
      </c>
      <c r="O203" s="5">
        <f>'Buffalo Battlers'!M8</f>
        <v>20.98</v>
      </c>
      <c r="P203" s="5">
        <f>'Buffalo Battlers'!N8</f>
        <v>47.204999999999998</v>
      </c>
      <c r="Q203" s="11">
        <f>'Buffalo Battlers'!O8</f>
        <v>52.449999999999996</v>
      </c>
      <c r="R203" s="10">
        <f>'Buffalo Battlers'!P8</f>
        <v>6.4336682152092817E-2</v>
      </c>
      <c r="S203" s="10">
        <f>'Buffalo Battlers'!Q8</f>
        <v>0.48463800000000007</v>
      </c>
      <c r="T203" t="s">
        <v>156</v>
      </c>
      <c r="U203">
        <v>24</v>
      </c>
      <c r="V203">
        <v>54</v>
      </c>
      <c r="W203" s="49">
        <f t="shared" si="9"/>
        <v>12.625</v>
      </c>
      <c r="X203" t="str">
        <f t="shared" si="10"/>
        <v>Bu66</v>
      </c>
    </row>
    <row r="204" spans="1:24" x14ac:dyDescent="0.25">
      <c r="A204" s="8">
        <v>201</v>
      </c>
      <c r="B204" s="7" t="s">
        <v>41</v>
      </c>
      <c r="C204" s="8" t="s">
        <v>56</v>
      </c>
      <c r="D204" s="7" t="s">
        <v>674</v>
      </c>
      <c r="E204" s="7" t="s">
        <v>675</v>
      </c>
      <c r="F204" s="7" t="s">
        <v>676</v>
      </c>
      <c r="G204" s="7" t="s">
        <v>677</v>
      </c>
      <c r="H204">
        <v>24</v>
      </c>
      <c r="I204">
        <v>15</v>
      </c>
      <c r="J204">
        <v>86</v>
      </c>
      <c r="K204">
        <v>29</v>
      </c>
      <c r="L204" s="5">
        <f t="shared" si="11"/>
        <v>38.5</v>
      </c>
      <c r="M204">
        <v>71</v>
      </c>
      <c r="N204">
        <v>75</v>
      </c>
      <c r="O204" s="5">
        <f>'Buffalo Battlers'!M9</f>
        <v>17.715</v>
      </c>
      <c r="P204" s="5">
        <f>'Buffalo Battlers'!N9</f>
        <v>59.05</v>
      </c>
      <c r="Q204" s="11">
        <f>'Buffalo Battlers'!O9</f>
        <v>59.05</v>
      </c>
      <c r="R204" s="10">
        <f>'Buffalo Battlers'!P9</f>
        <v>5.4324324324324325E-2</v>
      </c>
      <c r="S204" s="10">
        <f>'Buffalo Battlers'!Q9</f>
        <v>0.39858749999999998</v>
      </c>
      <c r="T204" t="s">
        <v>156</v>
      </c>
      <c r="U204">
        <v>27</v>
      </c>
      <c r="V204">
        <v>62</v>
      </c>
      <c r="W204" s="49">
        <f t="shared" si="9"/>
        <v>19.625</v>
      </c>
      <c r="X204" t="str">
        <f t="shared" si="10"/>
        <v>Bu66</v>
      </c>
    </row>
    <row r="205" spans="1:24" x14ac:dyDescent="0.25">
      <c r="A205" s="8">
        <v>202</v>
      </c>
      <c r="B205" s="7" t="s">
        <v>41</v>
      </c>
      <c r="C205" s="8" t="s">
        <v>56</v>
      </c>
      <c r="D205" s="7" t="s">
        <v>678</v>
      </c>
      <c r="E205" s="7" t="s">
        <v>679</v>
      </c>
      <c r="F205" s="7" t="s">
        <v>680</v>
      </c>
      <c r="G205" s="7" t="s">
        <v>681</v>
      </c>
      <c r="H205">
        <v>0</v>
      </c>
      <c r="I205">
        <v>14</v>
      </c>
      <c r="J205">
        <v>91</v>
      </c>
      <c r="K205">
        <v>34</v>
      </c>
      <c r="L205" s="5">
        <f t="shared" si="11"/>
        <v>34.75</v>
      </c>
      <c r="M205">
        <v>70</v>
      </c>
      <c r="N205">
        <v>83</v>
      </c>
      <c r="O205" s="5">
        <f>'Buffalo Battlers'!M10</f>
        <v>17.857499999999998</v>
      </c>
      <c r="P205" s="5">
        <f>'Buffalo Battlers'!N10</f>
        <v>59.524999999999999</v>
      </c>
      <c r="Q205" s="11">
        <f>'Buffalo Battlers'!O10</f>
        <v>59.524999999999999</v>
      </c>
      <c r="R205" s="10">
        <f>'Buffalo Battlers'!P10</f>
        <v>5.4761310845138106E-2</v>
      </c>
      <c r="S205" s="10">
        <f>'Buffalo Battlers'!Q10</f>
        <v>0.4446517499999999</v>
      </c>
      <c r="T205" t="s">
        <v>156</v>
      </c>
      <c r="U205">
        <v>18</v>
      </c>
      <c r="V205">
        <v>88</v>
      </c>
      <c r="W205" s="49">
        <f t="shared" si="9"/>
        <v>33.762500000000003</v>
      </c>
      <c r="X205" t="str">
        <f t="shared" si="10"/>
        <v>Bu66</v>
      </c>
    </row>
    <row r="206" spans="1:24" x14ac:dyDescent="0.25">
      <c r="A206" s="8">
        <v>203</v>
      </c>
      <c r="B206" s="7" t="s">
        <v>41</v>
      </c>
      <c r="C206" s="8" t="s">
        <v>55</v>
      </c>
      <c r="D206" s="7" t="s">
        <v>682</v>
      </c>
      <c r="E206" s="7" t="s">
        <v>683</v>
      </c>
      <c r="F206" s="7" t="s">
        <v>684</v>
      </c>
      <c r="G206" s="7" t="s">
        <v>685</v>
      </c>
      <c r="H206">
        <v>22</v>
      </c>
      <c r="I206">
        <v>41</v>
      </c>
      <c r="J206">
        <v>82</v>
      </c>
      <c r="K206">
        <v>23</v>
      </c>
      <c r="L206" s="5">
        <f t="shared" si="11"/>
        <v>42</v>
      </c>
      <c r="M206">
        <v>79</v>
      </c>
      <c r="N206">
        <v>75</v>
      </c>
      <c r="O206" s="5">
        <f>'Buffalo Battlers'!M11</f>
        <v>18.84</v>
      </c>
      <c r="P206" s="5">
        <f>'Buffalo Battlers'!N11</f>
        <v>42.39</v>
      </c>
      <c r="Q206" s="11">
        <f>'Buffalo Battlers'!O11</f>
        <v>47.1</v>
      </c>
      <c r="R206" s="10">
        <f>'Buffalo Battlers'!P11</f>
        <v>5.7774217909696314E-2</v>
      </c>
      <c r="S206" s="10">
        <f>'Buffalo Battlers'!Q11</f>
        <v>0.42390000000000005</v>
      </c>
      <c r="T206" t="s">
        <v>156</v>
      </c>
      <c r="U206">
        <v>18</v>
      </c>
      <c r="V206">
        <v>54</v>
      </c>
      <c r="W206" s="49">
        <f t="shared" si="9"/>
        <v>10.549999999999997</v>
      </c>
      <c r="X206" t="str">
        <f t="shared" si="10"/>
        <v>Bu66</v>
      </c>
    </row>
    <row r="207" spans="1:24" x14ac:dyDescent="0.25">
      <c r="A207" s="8">
        <v>204</v>
      </c>
      <c r="B207" s="7" t="s">
        <v>41</v>
      </c>
      <c r="C207" s="8" t="s">
        <v>45</v>
      </c>
      <c r="D207" s="7" t="s">
        <v>686</v>
      </c>
      <c r="E207" s="7" t="s">
        <v>687</v>
      </c>
      <c r="F207" s="7" t="s">
        <v>688</v>
      </c>
      <c r="G207" s="7" t="s">
        <v>689</v>
      </c>
      <c r="H207">
        <v>28</v>
      </c>
      <c r="I207">
        <v>24</v>
      </c>
      <c r="J207">
        <v>76</v>
      </c>
      <c r="K207">
        <v>30</v>
      </c>
      <c r="L207" s="5">
        <f t="shared" si="11"/>
        <v>39.5</v>
      </c>
      <c r="M207">
        <v>79</v>
      </c>
      <c r="N207">
        <v>85</v>
      </c>
      <c r="O207" s="5">
        <f>'Buffalo Battlers'!M12</f>
        <v>27.779999999999998</v>
      </c>
      <c r="P207" s="5">
        <f>'Buffalo Battlers'!N12</f>
        <v>41.67</v>
      </c>
      <c r="Q207" s="11">
        <f>'Buffalo Battlers'!O12</f>
        <v>46.3</v>
      </c>
      <c r="R207" s="10">
        <f>'Buffalo Battlers'!P12</f>
        <v>0.12714831681808819</v>
      </c>
      <c r="S207" s="10">
        <f>'Buffalo Battlers'!Q12</f>
        <v>0.70838999999999996</v>
      </c>
      <c r="T207" t="s">
        <v>156</v>
      </c>
      <c r="U207">
        <v>32</v>
      </c>
      <c r="V207">
        <v>48</v>
      </c>
      <c r="W207" s="49">
        <f t="shared" si="9"/>
        <v>5.75</v>
      </c>
      <c r="X207" t="str">
        <f t="shared" si="10"/>
        <v>Bu66</v>
      </c>
    </row>
    <row r="208" spans="1:24" x14ac:dyDescent="0.25">
      <c r="A208" s="8">
        <v>205</v>
      </c>
      <c r="B208" s="7" t="s">
        <v>41</v>
      </c>
      <c r="C208" s="8" t="s">
        <v>57</v>
      </c>
      <c r="D208" s="7" t="s">
        <v>690</v>
      </c>
      <c r="E208" s="7" t="s">
        <v>691</v>
      </c>
      <c r="F208" s="7" t="s">
        <v>692</v>
      </c>
      <c r="G208" s="7" t="s">
        <v>693</v>
      </c>
      <c r="H208">
        <v>13</v>
      </c>
      <c r="I208">
        <v>22</v>
      </c>
      <c r="J208">
        <v>90</v>
      </c>
      <c r="K208">
        <v>20</v>
      </c>
      <c r="L208" s="5">
        <f t="shared" si="11"/>
        <v>36.25</v>
      </c>
      <c r="M208">
        <v>70</v>
      </c>
      <c r="N208">
        <v>75</v>
      </c>
      <c r="O208" s="5">
        <f>'Buffalo Battlers'!M13</f>
        <v>22.237499999999997</v>
      </c>
      <c r="P208" s="5">
        <f>'Buffalo Battlers'!N13</f>
        <v>22.237499999999997</v>
      </c>
      <c r="Q208" s="11">
        <f>'Buffalo Battlers'!O13</f>
        <v>29.65</v>
      </c>
      <c r="R208" s="10">
        <f>'Buffalo Battlers'!P13</f>
        <v>0.10178044259331302</v>
      </c>
      <c r="S208" s="10">
        <f>'Buffalo Battlers'!Q13</f>
        <v>0.50034374999999986</v>
      </c>
      <c r="T208" t="s">
        <v>156</v>
      </c>
      <c r="U208">
        <v>29</v>
      </c>
      <c r="V208">
        <v>33</v>
      </c>
      <c r="W208" s="49" t="str">
        <f t="shared" si="9"/>
        <v>0</v>
      </c>
      <c r="X208" t="str">
        <f t="shared" si="10"/>
        <v>Bu66</v>
      </c>
    </row>
    <row r="209" spans="1:24" x14ac:dyDescent="0.25">
      <c r="A209" s="8">
        <v>206</v>
      </c>
      <c r="B209" s="7" t="s">
        <v>41</v>
      </c>
      <c r="C209" s="8" t="s">
        <v>46</v>
      </c>
      <c r="D209" s="7" t="s">
        <v>694</v>
      </c>
      <c r="E209" s="7" t="s">
        <v>695</v>
      </c>
      <c r="F209" s="7" t="s">
        <v>696</v>
      </c>
      <c r="G209" s="7" t="s">
        <v>697</v>
      </c>
      <c r="H209">
        <v>21</v>
      </c>
      <c r="I209">
        <v>5</v>
      </c>
      <c r="J209">
        <v>78</v>
      </c>
      <c r="K209">
        <v>35</v>
      </c>
      <c r="L209" s="5">
        <f t="shared" si="11"/>
        <v>34.75</v>
      </c>
      <c r="M209">
        <v>74</v>
      </c>
      <c r="N209">
        <v>76</v>
      </c>
      <c r="O209" s="5">
        <f>'Buffalo Battlers'!M14</f>
        <v>18.225000000000001</v>
      </c>
      <c r="P209" s="5">
        <f>'Buffalo Battlers'!N14</f>
        <v>12.15</v>
      </c>
      <c r="Q209" s="11">
        <f>'Buffalo Battlers'!O14</f>
        <v>20.25</v>
      </c>
      <c r="R209" s="10">
        <f>'Buffalo Battlers'!P14</f>
        <v>8.3415337437352674E-2</v>
      </c>
      <c r="S209" s="10">
        <f>'Buffalo Battlers'!Q14</f>
        <v>0.41553000000000007</v>
      </c>
      <c r="T209" t="s">
        <v>156</v>
      </c>
      <c r="U209">
        <v>35</v>
      </c>
      <c r="V209">
        <v>21</v>
      </c>
      <c r="W209" s="49" t="str">
        <f t="shared" si="9"/>
        <v>0</v>
      </c>
      <c r="X209" t="str">
        <f t="shared" si="10"/>
        <v>Bu66</v>
      </c>
    </row>
    <row r="210" spans="1:24" x14ac:dyDescent="0.25">
      <c r="A210" s="8">
        <v>207</v>
      </c>
      <c r="B210" s="7" t="s">
        <v>41</v>
      </c>
      <c r="C210" s="8" t="s">
        <v>52</v>
      </c>
      <c r="D210" s="7" t="s">
        <v>698</v>
      </c>
      <c r="E210" s="7" t="s">
        <v>699</v>
      </c>
      <c r="F210" s="7" t="s">
        <v>700</v>
      </c>
      <c r="G210" s="7" t="s">
        <v>701</v>
      </c>
      <c r="H210">
        <v>30</v>
      </c>
      <c r="I210">
        <v>18</v>
      </c>
      <c r="J210">
        <v>89</v>
      </c>
      <c r="K210">
        <v>12</v>
      </c>
      <c r="L210" s="5">
        <f t="shared" si="11"/>
        <v>37.25</v>
      </c>
      <c r="M210">
        <v>74</v>
      </c>
      <c r="N210">
        <v>79</v>
      </c>
      <c r="O210" s="5">
        <f>'Buffalo Battlers'!M15</f>
        <v>23.049999999999997</v>
      </c>
      <c r="P210" s="5">
        <f>'Buffalo Battlers'!N15</f>
        <v>6.9149999999999991</v>
      </c>
      <c r="Q210" s="11">
        <f>'Buffalo Battlers'!O15</f>
        <v>23.049999999999997</v>
      </c>
      <c r="R210" s="10">
        <f>'Buffalo Battlers'!P15</f>
        <v>0.14031398036478476</v>
      </c>
      <c r="S210" s="10">
        <f>'Buffalo Battlers'!Q15</f>
        <v>0.54628500000000002</v>
      </c>
      <c r="T210" t="s">
        <v>156</v>
      </c>
      <c r="U210">
        <v>31</v>
      </c>
      <c r="V210">
        <v>29</v>
      </c>
      <c r="W210" s="49" t="str">
        <f t="shared" ref="W210:W223" si="12">IF((Q210*0.5)+((V210*0.5)-((U210-18)*0.1))-40&lt;0,"0",(Q210*0.5)+((V210*0.5)-((U210-18)*0.1))-40)</f>
        <v>0</v>
      </c>
      <c r="X210" t="str">
        <f t="shared" si="10"/>
        <v>Bu66</v>
      </c>
    </row>
    <row r="211" spans="1:24" x14ac:dyDescent="0.25">
      <c r="A211" s="8">
        <v>208</v>
      </c>
      <c r="B211" s="7" t="s">
        <v>41</v>
      </c>
      <c r="C211" s="8" t="s">
        <v>59</v>
      </c>
      <c r="D211" s="7" t="s">
        <v>702</v>
      </c>
      <c r="E211" s="7" t="s">
        <v>703</v>
      </c>
      <c r="F211" s="7" t="s">
        <v>704</v>
      </c>
      <c r="G211" s="7" t="s">
        <v>705</v>
      </c>
      <c r="H211">
        <v>12</v>
      </c>
      <c r="I211">
        <v>31</v>
      </c>
      <c r="J211">
        <v>89</v>
      </c>
      <c r="K211">
        <v>24</v>
      </c>
      <c r="L211" s="5">
        <f t="shared" si="11"/>
        <v>39</v>
      </c>
      <c r="M211">
        <v>76</v>
      </c>
      <c r="N211">
        <v>79</v>
      </c>
      <c r="O211" s="5">
        <f>'Buffalo Battlers'!M16</f>
        <v>28.05</v>
      </c>
      <c r="P211" s="5">
        <f>'Buffalo Battlers'!N16</f>
        <v>8.4149999999999991</v>
      </c>
      <c r="Q211" s="11">
        <f>'Buffalo Battlers'!O16</f>
        <v>28.05</v>
      </c>
      <c r="R211" s="10">
        <f>'Buffalo Battlers'!P16</f>
        <v>0.17075085246126734</v>
      </c>
      <c r="S211" s="10">
        <f>'Buffalo Battlers'!Q16</f>
        <v>0.66478500000000018</v>
      </c>
      <c r="T211" t="s">
        <v>156</v>
      </c>
      <c r="U211">
        <v>19</v>
      </c>
      <c r="V211">
        <v>41</v>
      </c>
      <c r="W211" s="49" t="str">
        <f t="shared" si="12"/>
        <v>0</v>
      </c>
      <c r="X211" t="str">
        <f t="shared" si="10"/>
        <v>Bu66</v>
      </c>
    </row>
    <row r="212" spans="1:24" x14ac:dyDescent="0.25">
      <c r="A212" s="8">
        <v>209</v>
      </c>
      <c r="B212" s="7" t="s">
        <v>41</v>
      </c>
      <c r="C212" s="8" t="s">
        <v>53</v>
      </c>
      <c r="D212" s="7" t="s">
        <v>706</v>
      </c>
      <c r="E212" s="7" t="s">
        <v>707</v>
      </c>
      <c r="F212" s="7" t="s">
        <v>708</v>
      </c>
      <c r="G212" s="7" t="s">
        <v>709</v>
      </c>
      <c r="H212">
        <v>18</v>
      </c>
      <c r="I212">
        <v>18</v>
      </c>
      <c r="J212">
        <v>97</v>
      </c>
      <c r="K212">
        <v>22</v>
      </c>
      <c r="L212" s="5">
        <f t="shared" si="11"/>
        <v>38.75</v>
      </c>
      <c r="M212">
        <v>78</v>
      </c>
      <c r="N212">
        <v>84</v>
      </c>
      <c r="O212" s="5">
        <f>'Buffalo Battlers'!M17</f>
        <v>23.75</v>
      </c>
      <c r="P212" s="5">
        <f>'Buffalo Battlers'!N17</f>
        <v>7.125</v>
      </c>
      <c r="Q212" s="11">
        <f>'Buffalo Battlers'!O17</f>
        <v>23.75</v>
      </c>
      <c r="R212" s="10">
        <f>'Buffalo Battlers'!P17</f>
        <v>0.14457514245829231</v>
      </c>
      <c r="S212" s="10">
        <f>'Buffalo Battlers'!Q17</f>
        <v>0.59849999999999992</v>
      </c>
      <c r="T212" t="s">
        <v>156</v>
      </c>
      <c r="U212">
        <v>24</v>
      </c>
      <c r="V212">
        <v>26</v>
      </c>
      <c r="W212" s="49" t="str">
        <f t="shared" si="12"/>
        <v>0</v>
      </c>
      <c r="X212" t="str">
        <f t="shared" si="10"/>
        <v>Bu66</v>
      </c>
    </row>
    <row r="213" spans="1:24" x14ac:dyDescent="0.25">
      <c r="A213" s="8">
        <v>210</v>
      </c>
      <c r="B213" s="7" t="s">
        <v>42</v>
      </c>
      <c r="C213" s="8" t="s">
        <v>11</v>
      </c>
      <c r="D213" s="7" t="s">
        <v>622</v>
      </c>
      <c r="E213" s="7" t="s">
        <v>623</v>
      </c>
      <c r="F213" s="7" t="s">
        <v>624</v>
      </c>
      <c r="G213" s="7" t="s">
        <v>625</v>
      </c>
      <c r="H213">
        <v>50</v>
      </c>
      <c r="I213">
        <v>88</v>
      </c>
      <c r="J213">
        <v>97</v>
      </c>
      <c r="K213">
        <v>22</v>
      </c>
      <c r="L213" s="5">
        <f t="shared" si="11"/>
        <v>64.25</v>
      </c>
      <c r="M213">
        <v>7</v>
      </c>
      <c r="N213">
        <v>71</v>
      </c>
      <c r="O213" s="5">
        <f>'Gorilla Goalscorers'!M7</f>
        <v>0</v>
      </c>
      <c r="P213" s="5">
        <f>'Gorilla Goalscorers'!N7</f>
        <v>63.8</v>
      </c>
      <c r="Q213" s="11">
        <f>'Gorilla Goalscorers'!O7</f>
        <v>63.8</v>
      </c>
      <c r="R213" s="10">
        <f>'Gorilla Goalscorers'!P7</f>
        <v>0</v>
      </c>
      <c r="S213" s="10">
        <f>'Gorilla Goalscorers'!Q7</f>
        <v>0</v>
      </c>
      <c r="T213" t="s">
        <v>155</v>
      </c>
      <c r="U213">
        <v>27</v>
      </c>
      <c r="V213">
        <v>77</v>
      </c>
      <c r="W213" s="49">
        <f t="shared" si="12"/>
        <v>29.5</v>
      </c>
      <c r="X213" t="str">
        <f t="shared" si="10"/>
        <v>Go71</v>
      </c>
    </row>
    <row r="214" spans="1:24" x14ac:dyDescent="0.25">
      <c r="A214" s="8">
        <v>211</v>
      </c>
      <c r="B214" s="7" t="s">
        <v>42</v>
      </c>
      <c r="C214" s="8" t="s">
        <v>54</v>
      </c>
      <c r="D214" s="7" t="s">
        <v>626</v>
      </c>
      <c r="E214" s="7" t="s">
        <v>627</v>
      </c>
      <c r="F214" s="7" t="s">
        <v>628</v>
      </c>
      <c r="G214" s="7" t="s">
        <v>629</v>
      </c>
      <c r="H214">
        <v>45</v>
      </c>
      <c r="I214">
        <v>93</v>
      </c>
      <c r="J214">
        <v>100</v>
      </c>
      <c r="K214">
        <v>26</v>
      </c>
      <c r="L214" s="5">
        <f t="shared" si="11"/>
        <v>66</v>
      </c>
      <c r="M214">
        <v>8</v>
      </c>
      <c r="N214">
        <v>72</v>
      </c>
      <c r="O214" s="5">
        <f>'Gorilla Goalscorers'!M8</f>
        <v>27.260000000000005</v>
      </c>
      <c r="P214" s="5">
        <f>'Gorilla Goalscorers'!N8</f>
        <v>61.335000000000008</v>
      </c>
      <c r="Q214" s="11">
        <f>'Gorilla Goalscorers'!O8</f>
        <v>68.150000000000006</v>
      </c>
      <c r="R214" s="10">
        <f>'Gorilla Goalscorers'!P8</f>
        <v>4.0068227564155304E-2</v>
      </c>
      <c r="S214" s="10">
        <f>'Gorilla Goalscorers'!Q8</f>
        <v>0.58881600000000012</v>
      </c>
      <c r="T214" t="s">
        <v>155</v>
      </c>
      <c r="U214">
        <v>26</v>
      </c>
      <c r="V214">
        <v>69</v>
      </c>
      <c r="W214" s="49">
        <f t="shared" si="12"/>
        <v>27.775000000000006</v>
      </c>
      <c r="X214" t="str">
        <f t="shared" si="10"/>
        <v>Go71</v>
      </c>
    </row>
    <row r="215" spans="1:24" x14ac:dyDescent="0.25">
      <c r="A215" s="8">
        <v>212</v>
      </c>
      <c r="B215" s="7" t="s">
        <v>42</v>
      </c>
      <c r="C215" s="8" t="s">
        <v>56</v>
      </c>
      <c r="D215" s="7" t="s">
        <v>630</v>
      </c>
      <c r="E215" s="7" t="s">
        <v>631</v>
      </c>
      <c r="F215" s="7" t="s">
        <v>632</v>
      </c>
      <c r="G215" s="7" t="s">
        <v>633</v>
      </c>
      <c r="H215">
        <v>64</v>
      </c>
      <c r="I215">
        <v>99</v>
      </c>
      <c r="J215">
        <v>100</v>
      </c>
      <c r="K215">
        <v>35</v>
      </c>
      <c r="L215" s="5">
        <f t="shared" si="11"/>
        <v>74.5</v>
      </c>
      <c r="M215">
        <v>10</v>
      </c>
      <c r="N215">
        <v>76</v>
      </c>
      <c r="O215" s="5">
        <f>'Gorilla Goalscorers'!M9</f>
        <v>25.679999999999996</v>
      </c>
      <c r="P215" s="5">
        <f>'Gorilla Goalscorers'!N9</f>
        <v>85.6</v>
      </c>
      <c r="Q215" s="11">
        <f>'Gorilla Goalscorers'!O9</f>
        <v>85.6</v>
      </c>
      <c r="R215" s="10">
        <f>'Gorilla Goalscorers'!P9</f>
        <v>3.7745857808052383E-2</v>
      </c>
      <c r="S215" s="10">
        <f>'Gorilla Goalscorers'!Q9</f>
        <v>0.58550399999999991</v>
      </c>
      <c r="T215" t="s">
        <v>155</v>
      </c>
      <c r="U215">
        <v>21</v>
      </c>
      <c r="V215">
        <v>93</v>
      </c>
      <c r="W215" s="49">
        <f t="shared" si="12"/>
        <v>49</v>
      </c>
      <c r="X215" t="str">
        <f t="shared" si="10"/>
        <v>Go71</v>
      </c>
    </row>
    <row r="216" spans="1:24" x14ac:dyDescent="0.25">
      <c r="A216" s="8">
        <v>213</v>
      </c>
      <c r="B216" s="7" t="s">
        <v>42</v>
      </c>
      <c r="C216" s="8" t="s">
        <v>56</v>
      </c>
      <c r="D216" s="7" t="s">
        <v>634</v>
      </c>
      <c r="E216" s="7" t="s">
        <v>635</v>
      </c>
      <c r="F216" s="7" t="s">
        <v>636</v>
      </c>
      <c r="G216" s="7" t="s">
        <v>637</v>
      </c>
      <c r="H216">
        <v>61</v>
      </c>
      <c r="I216">
        <v>100</v>
      </c>
      <c r="J216">
        <v>96</v>
      </c>
      <c r="K216">
        <v>33</v>
      </c>
      <c r="L216" s="5">
        <f t="shared" si="11"/>
        <v>72.5</v>
      </c>
      <c r="M216">
        <v>11</v>
      </c>
      <c r="N216">
        <v>71</v>
      </c>
      <c r="O216" s="5">
        <f>'Gorilla Goalscorers'!M10</f>
        <v>24.832499999999996</v>
      </c>
      <c r="P216" s="5">
        <f>'Gorilla Goalscorers'!N10</f>
        <v>82.774999999999991</v>
      </c>
      <c r="Q216" s="11">
        <f>'Gorilla Goalscorers'!O10</f>
        <v>82.774999999999991</v>
      </c>
      <c r="R216" s="10">
        <f>'Gorilla Goalscorers'!P10</f>
        <v>3.6500156309130088E-2</v>
      </c>
      <c r="S216" s="10">
        <f>'Gorilla Goalscorers'!Q10</f>
        <v>0.52893224999999988</v>
      </c>
      <c r="T216" t="s">
        <v>155</v>
      </c>
      <c r="U216">
        <v>19</v>
      </c>
      <c r="V216">
        <v>89</v>
      </c>
      <c r="W216" s="49">
        <f t="shared" si="12"/>
        <v>45.787499999999994</v>
      </c>
      <c r="X216" t="str">
        <f t="shared" si="10"/>
        <v>Go71</v>
      </c>
    </row>
    <row r="217" spans="1:24" x14ac:dyDescent="0.25">
      <c r="A217" s="8">
        <v>214</v>
      </c>
      <c r="B217" s="7" t="s">
        <v>42</v>
      </c>
      <c r="C217" s="8" t="s">
        <v>55</v>
      </c>
      <c r="D217" s="7" t="s">
        <v>638</v>
      </c>
      <c r="E217" s="7" t="s">
        <v>639</v>
      </c>
      <c r="F217" s="7" t="s">
        <v>640</v>
      </c>
      <c r="G217" s="7" t="s">
        <v>641</v>
      </c>
      <c r="H217">
        <v>67</v>
      </c>
      <c r="I217">
        <v>100</v>
      </c>
      <c r="J217">
        <v>100</v>
      </c>
      <c r="K217">
        <v>40</v>
      </c>
      <c r="L217" s="5">
        <f t="shared" si="11"/>
        <v>76.75</v>
      </c>
      <c r="M217">
        <v>7</v>
      </c>
      <c r="N217">
        <v>72</v>
      </c>
      <c r="O217" s="5">
        <f>'Gorilla Goalscorers'!M11</f>
        <v>30.82</v>
      </c>
      <c r="P217" s="5">
        <f>'Gorilla Goalscorers'!N11</f>
        <v>69.344999999999999</v>
      </c>
      <c r="Q217" s="11">
        <f>'Gorilla Goalscorers'!O11</f>
        <v>77.05</v>
      </c>
      <c r="R217" s="10">
        <f>'Gorilla Goalscorers'!P11</f>
        <v>4.5300908786766923E-2</v>
      </c>
      <c r="S217" s="10">
        <f>'Gorilla Goalscorers'!Q11</f>
        <v>0.66571200000000008</v>
      </c>
      <c r="T217" t="s">
        <v>155</v>
      </c>
      <c r="U217">
        <v>25</v>
      </c>
      <c r="V217">
        <v>92</v>
      </c>
      <c r="W217" s="49">
        <f t="shared" si="12"/>
        <v>43.824999999999989</v>
      </c>
      <c r="X217" t="str">
        <f t="shared" si="10"/>
        <v>Go71</v>
      </c>
    </row>
    <row r="218" spans="1:24" x14ac:dyDescent="0.25">
      <c r="A218" s="8">
        <v>215</v>
      </c>
      <c r="B218" s="7" t="s">
        <v>42</v>
      </c>
      <c r="C218" s="8" t="s">
        <v>45</v>
      </c>
      <c r="D218" s="7" t="s">
        <v>642</v>
      </c>
      <c r="E218" s="7" t="s">
        <v>643</v>
      </c>
      <c r="F218" s="7" t="s">
        <v>644</v>
      </c>
      <c r="G218" s="7" t="s">
        <v>645</v>
      </c>
      <c r="H218">
        <v>59</v>
      </c>
      <c r="I218">
        <v>100</v>
      </c>
      <c r="J218">
        <v>100</v>
      </c>
      <c r="K218">
        <v>54</v>
      </c>
      <c r="L218" s="5">
        <f t="shared" si="11"/>
        <v>78.25</v>
      </c>
      <c r="M218">
        <v>7</v>
      </c>
      <c r="N218">
        <v>77</v>
      </c>
      <c r="O218" s="5">
        <f>'Gorilla Goalscorers'!M12</f>
        <v>52.169999999999995</v>
      </c>
      <c r="P218" s="5">
        <f>'Gorilla Goalscorers'!N12</f>
        <v>78.254999999999995</v>
      </c>
      <c r="Q218" s="11">
        <f>'Gorilla Goalscorers'!O12</f>
        <v>86.949999999999989</v>
      </c>
      <c r="R218" s="10">
        <f>'Gorilla Goalscorers'!P12</f>
        <v>0.11445119041742763</v>
      </c>
      <c r="S218" s="10">
        <f>'Gorilla Goalscorers'!Q12</f>
        <v>1.2051270000000001</v>
      </c>
      <c r="T218" t="s">
        <v>155</v>
      </c>
      <c r="U218">
        <v>25</v>
      </c>
      <c r="V218">
        <v>106</v>
      </c>
      <c r="W218" s="49">
        <f t="shared" si="12"/>
        <v>55.774999999999991</v>
      </c>
      <c r="X218" t="str">
        <f t="shared" si="10"/>
        <v>Go71</v>
      </c>
    </row>
    <row r="219" spans="1:24" x14ac:dyDescent="0.25">
      <c r="A219" s="8">
        <v>216</v>
      </c>
      <c r="B219" s="7" t="s">
        <v>42</v>
      </c>
      <c r="C219" s="8" t="s">
        <v>57</v>
      </c>
      <c r="D219" s="7" t="s">
        <v>646</v>
      </c>
      <c r="E219" s="7" t="s">
        <v>647</v>
      </c>
      <c r="F219" s="7" t="s">
        <v>648</v>
      </c>
      <c r="G219" s="7" t="s">
        <v>649</v>
      </c>
      <c r="H219">
        <v>54</v>
      </c>
      <c r="I219">
        <v>92</v>
      </c>
      <c r="J219">
        <v>81</v>
      </c>
      <c r="K219">
        <v>39</v>
      </c>
      <c r="L219" s="5">
        <f t="shared" si="11"/>
        <v>66.5</v>
      </c>
      <c r="M219">
        <v>6</v>
      </c>
      <c r="N219">
        <v>80</v>
      </c>
      <c r="O219" s="5">
        <f>'Gorilla Goalscorers'!M13</f>
        <v>54.674999999999997</v>
      </c>
      <c r="P219" s="5">
        <f>'Gorilla Goalscorers'!N13</f>
        <v>54.674999999999997</v>
      </c>
      <c r="Q219" s="11">
        <f>'Gorilla Goalscorers'!O13</f>
        <v>72.899999999999991</v>
      </c>
      <c r="R219" s="10">
        <f>'Gorilla Goalscorers'!P13</f>
        <v>0.11994669035984006</v>
      </c>
      <c r="S219" s="10">
        <f>'Gorilla Goalscorers'!Q13</f>
        <v>1.3122</v>
      </c>
      <c r="T219" t="s">
        <v>155</v>
      </c>
      <c r="U219">
        <v>22</v>
      </c>
      <c r="V219">
        <v>93</v>
      </c>
      <c r="W219" s="49">
        <f t="shared" si="12"/>
        <v>42.55</v>
      </c>
      <c r="X219" t="str">
        <f t="shared" si="10"/>
        <v>Go71</v>
      </c>
    </row>
    <row r="220" spans="1:24" x14ac:dyDescent="0.25">
      <c r="A220" s="8">
        <v>217</v>
      </c>
      <c r="B220" s="7" t="s">
        <v>42</v>
      </c>
      <c r="C220" s="8" t="s">
        <v>46</v>
      </c>
      <c r="D220" s="7" t="s">
        <v>650</v>
      </c>
      <c r="E220" s="7" t="s">
        <v>651</v>
      </c>
      <c r="F220" s="7" t="s">
        <v>652</v>
      </c>
      <c r="G220" s="7" t="s">
        <v>653</v>
      </c>
      <c r="H220">
        <v>77</v>
      </c>
      <c r="I220">
        <v>78</v>
      </c>
      <c r="J220">
        <v>93</v>
      </c>
      <c r="K220">
        <v>29</v>
      </c>
      <c r="L220" s="5">
        <f t="shared" si="11"/>
        <v>69.25</v>
      </c>
      <c r="M220">
        <v>7</v>
      </c>
      <c r="N220">
        <v>70</v>
      </c>
      <c r="O220" s="5">
        <f>'Gorilla Goalscorers'!M14</f>
        <v>61.740000000000009</v>
      </c>
      <c r="P220" s="5">
        <f>'Gorilla Goalscorers'!N14</f>
        <v>41.160000000000004</v>
      </c>
      <c r="Q220" s="11">
        <f>'Gorilla Goalscorers'!O14</f>
        <v>68.600000000000009</v>
      </c>
      <c r="R220" s="10">
        <f>'Gorilla Goalscorers'!P14</f>
        <v>0.13544597462856015</v>
      </c>
      <c r="S220" s="10">
        <f>'Gorilla Goalscorers'!Q14</f>
        <v>1.29654</v>
      </c>
      <c r="T220" t="s">
        <v>155</v>
      </c>
      <c r="U220">
        <v>33</v>
      </c>
      <c r="V220">
        <v>71</v>
      </c>
      <c r="W220" s="49">
        <f t="shared" si="12"/>
        <v>28.300000000000011</v>
      </c>
      <c r="X220" t="str">
        <f t="shared" si="10"/>
        <v>Go71</v>
      </c>
    </row>
    <row r="221" spans="1:24" x14ac:dyDescent="0.25">
      <c r="A221" s="8">
        <v>218</v>
      </c>
      <c r="B221" s="7" t="s">
        <v>42</v>
      </c>
      <c r="C221" s="8" t="s">
        <v>52</v>
      </c>
      <c r="D221" s="7" t="s">
        <v>654</v>
      </c>
      <c r="E221" s="7" t="s">
        <v>655</v>
      </c>
      <c r="F221" s="7" t="s">
        <v>656</v>
      </c>
      <c r="G221" s="7" t="s">
        <v>657</v>
      </c>
      <c r="H221">
        <v>57</v>
      </c>
      <c r="I221">
        <v>90</v>
      </c>
      <c r="J221">
        <v>90</v>
      </c>
      <c r="K221">
        <v>57</v>
      </c>
      <c r="L221" s="5">
        <f t="shared" si="11"/>
        <v>73.5</v>
      </c>
      <c r="M221">
        <v>13</v>
      </c>
      <c r="N221">
        <v>79</v>
      </c>
      <c r="O221" s="5">
        <f>'Gorilla Goalscorers'!M15</f>
        <v>63.600000000000009</v>
      </c>
      <c r="P221" s="5">
        <f>'Gorilla Goalscorers'!N15</f>
        <v>19.080000000000002</v>
      </c>
      <c r="Q221" s="11">
        <f>'Gorilla Goalscorers'!O15</f>
        <v>63.600000000000009</v>
      </c>
      <c r="R221" s="10">
        <f>'Gorilla Goalscorers'!P15</f>
        <v>0.18557019925300691</v>
      </c>
      <c r="S221" s="10">
        <f>'Gorilla Goalscorers'!Q15</f>
        <v>1.5073200000000004</v>
      </c>
      <c r="T221" t="s">
        <v>155</v>
      </c>
      <c r="U221">
        <v>18</v>
      </c>
      <c r="V221">
        <v>82</v>
      </c>
      <c r="W221" s="49">
        <f t="shared" si="12"/>
        <v>32.800000000000011</v>
      </c>
      <c r="X221" t="str">
        <f t="shared" si="10"/>
        <v>Go71</v>
      </c>
    </row>
    <row r="222" spans="1:24" x14ac:dyDescent="0.25">
      <c r="A222" s="8">
        <v>219</v>
      </c>
      <c r="B222" s="7" t="s">
        <v>42</v>
      </c>
      <c r="C222" s="8" t="s">
        <v>59</v>
      </c>
      <c r="D222" s="7" t="s">
        <v>658</v>
      </c>
      <c r="E222" s="7" t="s">
        <v>659</v>
      </c>
      <c r="F222" s="7" t="s">
        <v>660</v>
      </c>
      <c r="G222" s="7" t="s">
        <v>661</v>
      </c>
      <c r="H222">
        <v>54</v>
      </c>
      <c r="I222">
        <v>91</v>
      </c>
      <c r="J222">
        <v>100</v>
      </c>
      <c r="K222">
        <v>42</v>
      </c>
      <c r="L222" s="5">
        <f t="shared" si="11"/>
        <v>71.75</v>
      </c>
      <c r="M222">
        <v>12</v>
      </c>
      <c r="N222">
        <v>80</v>
      </c>
      <c r="O222" s="5">
        <f>'Gorilla Goalscorers'!M16</f>
        <v>64.25</v>
      </c>
      <c r="P222" s="5">
        <f>'Gorilla Goalscorers'!N16</f>
        <v>19.274999999999999</v>
      </c>
      <c r="Q222" s="11">
        <f>'Gorilla Goalscorers'!O16</f>
        <v>64.25</v>
      </c>
      <c r="R222" s="10">
        <f>'Gorilla Goalscorers'!P16</f>
        <v>0.18746675003153604</v>
      </c>
      <c r="S222" s="10">
        <f>'Gorilla Goalscorers'!Q16</f>
        <v>1.542</v>
      </c>
      <c r="T222" t="s">
        <v>155</v>
      </c>
      <c r="U222">
        <v>24</v>
      </c>
      <c r="V222">
        <v>69</v>
      </c>
      <c r="W222" s="49">
        <f t="shared" si="12"/>
        <v>26.025000000000006</v>
      </c>
      <c r="X222" t="str">
        <f t="shared" si="10"/>
        <v>Go71</v>
      </c>
    </row>
    <row r="223" spans="1:24" x14ac:dyDescent="0.25">
      <c r="A223" s="8">
        <v>220</v>
      </c>
      <c r="B223" s="7" t="s">
        <v>42</v>
      </c>
      <c r="C223" s="8" t="s">
        <v>53</v>
      </c>
      <c r="D223" s="7" t="s">
        <v>662</v>
      </c>
      <c r="E223" s="7" t="s">
        <v>663</v>
      </c>
      <c r="F223" s="7" t="s">
        <v>664</v>
      </c>
      <c r="G223" s="7" t="s">
        <v>665</v>
      </c>
      <c r="H223">
        <v>55</v>
      </c>
      <c r="I223">
        <v>94</v>
      </c>
      <c r="J223">
        <v>97</v>
      </c>
      <c r="K223">
        <v>28</v>
      </c>
      <c r="L223" s="5">
        <f t="shared" si="11"/>
        <v>68.5</v>
      </c>
      <c r="M223">
        <v>12</v>
      </c>
      <c r="N223">
        <v>72</v>
      </c>
      <c r="O223" s="5">
        <f>'Gorilla Goalscorers'!M17</f>
        <v>50.800000000000004</v>
      </c>
      <c r="P223" s="5">
        <f>'Gorilla Goalscorers'!N17</f>
        <v>15.24</v>
      </c>
      <c r="Q223" s="11">
        <f>'Gorilla Goalscorers'!O17</f>
        <v>50.800000000000004</v>
      </c>
      <c r="R223" s="10">
        <f>'Gorilla Goalscorers'!P17</f>
        <v>0.148222737768125</v>
      </c>
      <c r="S223" s="10">
        <f>'Gorilla Goalscorers'!Q17</f>
        <v>1.09728</v>
      </c>
      <c r="T223" t="s">
        <v>155</v>
      </c>
      <c r="U223">
        <v>34</v>
      </c>
      <c r="V223">
        <v>51</v>
      </c>
      <c r="W223" s="49">
        <f t="shared" si="12"/>
        <v>9.2999999999999972</v>
      </c>
      <c r="X223" t="str">
        <f t="shared" si="10"/>
        <v>Go71</v>
      </c>
    </row>
  </sheetData>
  <autoFilter ref="A3:W223" xr:uid="{AB10723B-F011-460C-ADCE-88201C07FB7E}">
    <sortState xmlns:xlrd2="http://schemas.microsoft.com/office/spreadsheetml/2017/richdata2" ref="A4:W223">
      <sortCondition ref="A3:A223"/>
    </sortState>
  </autoFilter>
  <conditionalFormatting sqref="U4:U223">
    <cfRule type="cellIs" dxfId="1" priority="1" operator="greaterThan">
      <formula>34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185BF-F53B-41DD-B48D-7DB7793A8829}">
  <sheetPr>
    <tabColor theme="9"/>
  </sheetPr>
  <dimension ref="A1:X28"/>
  <sheetViews>
    <sheetView workbookViewId="0">
      <selection activeCell="R16" sqref="R16"/>
    </sheetView>
  </sheetViews>
  <sheetFormatPr defaultRowHeight="15" x14ac:dyDescent="0.25"/>
  <cols>
    <col min="1" max="1" width="16.7109375" bestFit="1" customWidth="1"/>
  </cols>
  <sheetData>
    <row r="1" spans="1:24" x14ac:dyDescent="0.25">
      <c r="B1" t="s">
        <v>1359</v>
      </c>
      <c r="C1" t="s">
        <v>0</v>
      </c>
      <c r="D1" s="3" t="s">
        <v>7</v>
      </c>
      <c r="E1" s="3" t="s">
        <v>8</v>
      </c>
      <c r="F1" s="3" t="s">
        <v>9</v>
      </c>
      <c r="G1" s="3" t="s">
        <v>44</v>
      </c>
      <c r="H1" s="3" t="s">
        <v>50</v>
      </c>
      <c r="I1" s="3" t="s">
        <v>17</v>
      </c>
      <c r="J1" s="3" t="s">
        <v>14</v>
      </c>
      <c r="K1" s="3" t="s">
        <v>15</v>
      </c>
      <c r="L1" s="3" t="s">
        <v>16</v>
      </c>
      <c r="M1" s="3" t="s">
        <v>48</v>
      </c>
      <c r="N1" s="3" t="s">
        <v>3</v>
      </c>
      <c r="O1" s="3" t="s">
        <v>10</v>
      </c>
      <c r="P1" s="3" t="s">
        <v>1</v>
      </c>
      <c r="Q1" s="3" t="s">
        <v>12</v>
      </c>
      <c r="R1" s="3" t="s">
        <v>4</v>
      </c>
      <c r="S1" s="3" t="s">
        <v>49</v>
      </c>
      <c r="T1" s="3" t="s">
        <v>47</v>
      </c>
      <c r="U1" s="3" t="s">
        <v>138</v>
      </c>
      <c r="V1" s="3" t="s">
        <v>1354</v>
      </c>
      <c r="W1" s="3" t="s">
        <v>1355</v>
      </c>
      <c r="X1" s="3" t="s">
        <v>1356</v>
      </c>
    </row>
    <row r="2" spans="1:24" x14ac:dyDescent="0.25">
      <c r="A2" t="s">
        <v>1360</v>
      </c>
      <c r="B2" cm="1">
        <f t="array" ref="B2:X11">_xlfn._xlws.FILTER('All Players'!A3:W223, 'All Players'!U3:U223=35)</f>
        <v>12</v>
      </c>
      <c r="C2" t="str">
        <v>Lionheart Rovers</v>
      </c>
      <c r="D2" t="str">
        <v>GK</v>
      </c>
      <c r="E2" t="str">
        <v>Juma</v>
      </c>
      <c r="F2" t="str">
        <v>Kipanga</v>
      </c>
      <c r="G2" t="str">
        <v>J. Kipanga</v>
      </c>
      <c r="H2" t="str">
        <v>Jasiri</v>
      </c>
      <c r="I2">
        <v>82</v>
      </c>
      <c r="J2">
        <v>64</v>
      </c>
      <c r="K2">
        <v>85</v>
      </c>
      <c r="L2">
        <v>75</v>
      </c>
      <c r="M2">
        <v>76.5</v>
      </c>
      <c r="N2">
        <v>54</v>
      </c>
      <c r="O2">
        <v>68</v>
      </c>
      <c r="P2">
        <v>0</v>
      </c>
      <c r="Q2">
        <v>74.95</v>
      </c>
      <c r="R2">
        <v>74.95</v>
      </c>
      <c r="S2">
        <v>0</v>
      </c>
      <c r="T2">
        <v>0</v>
      </c>
      <c r="U2" t="str">
        <v>Tanzania</v>
      </c>
      <c r="V2">
        <v>35</v>
      </c>
      <c r="W2">
        <v>75</v>
      </c>
      <c r="X2">
        <v>33.275000000000006</v>
      </c>
    </row>
    <row r="3" spans="1:24" x14ac:dyDescent="0.25">
      <c r="B3">
        <v>24</v>
      </c>
      <c r="C3" t="str">
        <v>Cobra Strike FC</v>
      </c>
      <c r="D3" t="str">
        <v>LB</v>
      </c>
      <c r="E3" t="str">
        <v>Rohan</v>
      </c>
      <c r="F3" t="str">
        <v>Gupta</v>
      </c>
      <c r="G3" t="str">
        <v>R. Gupta</v>
      </c>
      <c r="H3" t="str">
        <v>Raj</v>
      </c>
      <c r="I3">
        <v>85</v>
      </c>
      <c r="J3">
        <v>27</v>
      </c>
      <c r="K3">
        <v>42</v>
      </c>
      <c r="L3">
        <v>92</v>
      </c>
      <c r="M3">
        <v>61.5</v>
      </c>
      <c r="N3">
        <v>84</v>
      </c>
      <c r="O3">
        <v>18</v>
      </c>
      <c r="P3">
        <v>24.179999999999996</v>
      </c>
      <c r="Q3">
        <v>54.404999999999994</v>
      </c>
      <c r="R3">
        <v>60.449999999999989</v>
      </c>
      <c r="S3">
        <v>3.7669462706869189E-2</v>
      </c>
      <c r="T3">
        <v>0.13057199999999997</v>
      </c>
      <c r="U3" t="str">
        <v>Indian</v>
      </c>
      <c r="V3">
        <v>35</v>
      </c>
      <c r="W3">
        <v>61</v>
      </c>
      <c r="X3">
        <v>19.024999999999991</v>
      </c>
    </row>
    <row r="4" spans="1:24" x14ac:dyDescent="0.25">
      <c r="B4">
        <v>35</v>
      </c>
      <c r="C4" t="str">
        <v>Falcon Flyers</v>
      </c>
      <c r="D4" t="str">
        <v>LB</v>
      </c>
      <c r="E4" t="str">
        <v>Lucas</v>
      </c>
      <c r="F4" t="str">
        <v>López</v>
      </c>
      <c r="G4" t="str">
        <v>L. López</v>
      </c>
      <c r="H4" t="str">
        <v>Lince</v>
      </c>
      <c r="I4">
        <v>85</v>
      </c>
      <c r="J4">
        <v>33</v>
      </c>
      <c r="K4">
        <v>8</v>
      </c>
      <c r="L4">
        <v>98</v>
      </c>
      <c r="M4">
        <v>56</v>
      </c>
      <c r="N4">
        <v>83</v>
      </c>
      <c r="O4">
        <v>42</v>
      </c>
      <c r="P4">
        <v>20.62</v>
      </c>
      <c r="Q4">
        <v>46.394999999999996</v>
      </c>
      <c r="R4">
        <v>51.55</v>
      </c>
      <c r="S4">
        <v>3.1486655878934296E-2</v>
      </c>
      <c r="T4">
        <v>0.25981199999999999</v>
      </c>
      <c r="U4" t="str">
        <v>Chile</v>
      </c>
      <c r="V4">
        <v>35</v>
      </c>
      <c r="W4">
        <v>52</v>
      </c>
      <c r="X4">
        <v>10.075000000000003</v>
      </c>
    </row>
    <row r="5" spans="1:24" x14ac:dyDescent="0.25">
      <c r="B5">
        <v>49</v>
      </c>
      <c r="C5" t="str">
        <v>Sharkfin Athletic</v>
      </c>
      <c r="D5" t="str">
        <v>RB</v>
      </c>
      <c r="E5" t="str">
        <v>Lerato</v>
      </c>
      <c r="F5" t="str">
        <v>Lekgari Jr.</v>
      </c>
      <c r="G5" t="str">
        <v>L. Lekgari Jr.</v>
      </c>
      <c r="H5" t="str">
        <v>Leviathan Jr.</v>
      </c>
      <c r="I5">
        <v>22</v>
      </c>
      <c r="J5">
        <v>95</v>
      </c>
      <c r="K5">
        <v>91</v>
      </c>
      <c r="L5">
        <v>111</v>
      </c>
      <c r="M5">
        <v>79.75</v>
      </c>
      <c r="N5">
        <v>13</v>
      </c>
      <c r="O5">
        <v>78</v>
      </c>
      <c r="P5">
        <v>34.979999999999997</v>
      </c>
      <c r="Q5">
        <v>78.704999999999998</v>
      </c>
      <c r="R5">
        <v>87.449999999999989</v>
      </c>
      <c r="S5">
        <v>5.0689621611099696E-2</v>
      </c>
      <c r="T5">
        <v>0.81853199999999993</v>
      </c>
      <c r="U5" t="str">
        <v>Australia</v>
      </c>
      <c r="V5">
        <v>35</v>
      </c>
      <c r="W5">
        <v>76</v>
      </c>
      <c r="X5">
        <v>40.024999999999991</v>
      </c>
    </row>
    <row r="6" spans="1:24" x14ac:dyDescent="0.25">
      <c r="B6">
        <v>115</v>
      </c>
      <c r="C6" t="str">
        <v>Hawk Haven</v>
      </c>
      <c r="D6" t="str">
        <v>RB</v>
      </c>
      <c r="E6" t="str">
        <v>Alejandro</v>
      </c>
      <c r="F6" t="str">
        <v>Álvarez</v>
      </c>
      <c r="G6" t="str">
        <v>A. Álvarez</v>
      </c>
      <c r="H6" t="str">
        <v>Aguileño</v>
      </c>
      <c r="I6">
        <v>100</v>
      </c>
      <c r="J6">
        <v>73</v>
      </c>
      <c r="K6">
        <v>9</v>
      </c>
      <c r="L6">
        <v>90</v>
      </c>
      <c r="M6">
        <v>68</v>
      </c>
      <c r="N6">
        <v>89</v>
      </c>
      <c r="O6">
        <v>79</v>
      </c>
      <c r="P6">
        <v>23.900000000000002</v>
      </c>
      <c r="Q6">
        <v>53.774999999999999</v>
      </c>
      <c r="R6">
        <v>59.75</v>
      </c>
      <c r="S6">
        <v>3.2695272222392373E-2</v>
      </c>
      <c r="T6">
        <v>0.5664300000000001</v>
      </c>
      <c r="U6" t="str">
        <v>Columbia</v>
      </c>
      <c r="V6">
        <v>35</v>
      </c>
      <c r="W6">
        <v>60</v>
      </c>
      <c r="X6">
        <v>18.174999999999997</v>
      </c>
    </row>
    <row r="7" spans="1:24" x14ac:dyDescent="0.25">
      <c r="B7">
        <v>156</v>
      </c>
      <c r="C7" t="str">
        <v>Elephant Elites</v>
      </c>
      <c r="D7" t="str">
        <v>LB</v>
      </c>
      <c r="E7" t="str">
        <v>Kagiso</v>
      </c>
      <c r="F7" t="str">
        <v>Khama</v>
      </c>
      <c r="G7" t="str">
        <v>K. Khama</v>
      </c>
      <c r="H7" t="str">
        <v>Kalahari</v>
      </c>
      <c r="I7">
        <v>14</v>
      </c>
      <c r="J7">
        <v>90</v>
      </c>
      <c r="K7">
        <v>84</v>
      </c>
      <c r="L7">
        <v>4</v>
      </c>
      <c r="M7">
        <v>48</v>
      </c>
      <c r="N7">
        <v>70</v>
      </c>
      <c r="O7">
        <v>89</v>
      </c>
      <c r="P7">
        <v>20.28</v>
      </c>
      <c r="Q7">
        <v>45.63</v>
      </c>
      <c r="R7">
        <v>50.7</v>
      </c>
      <c r="S7">
        <v>4.0367201426024964E-2</v>
      </c>
      <c r="T7">
        <v>0.54147600000000007</v>
      </c>
      <c r="U7" t="str">
        <v>Botswana</v>
      </c>
      <c r="V7">
        <v>35</v>
      </c>
      <c r="W7">
        <v>51</v>
      </c>
      <c r="X7">
        <v>9.1500000000000057</v>
      </c>
    </row>
    <row r="8" spans="1:24" x14ac:dyDescent="0.25">
      <c r="B8">
        <v>160</v>
      </c>
      <c r="C8" t="str">
        <v>Elephant Elites</v>
      </c>
      <c r="D8" t="str">
        <v>CDM</v>
      </c>
      <c r="E8" t="str">
        <v>Lerato</v>
      </c>
      <c r="F8" t="str">
        <v>Lekgari</v>
      </c>
      <c r="G8" t="str">
        <v>L. Lekgari</v>
      </c>
      <c r="H8" t="str">
        <v>Leviathan</v>
      </c>
      <c r="I8">
        <v>37</v>
      </c>
      <c r="J8">
        <v>98</v>
      </c>
      <c r="K8">
        <v>96</v>
      </c>
      <c r="L8">
        <v>0</v>
      </c>
      <c r="M8">
        <v>57.75</v>
      </c>
      <c r="N8">
        <v>75</v>
      </c>
      <c r="O8">
        <v>93</v>
      </c>
      <c r="P8">
        <v>44.01</v>
      </c>
      <c r="Q8">
        <v>66.015000000000001</v>
      </c>
      <c r="R8">
        <v>73.349999999999994</v>
      </c>
      <c r="S8">
        <v>0.1307486631016043</v>
      </c>
      <c r="T8">
        <v>1.2278790000000002</v>
      </c>
      <c r="U8" t="str">
        <v>Botswana</v>
      </c>
      <c r="V8">
        <v>35</v>
      </c>
      <c r="W8">
        <v>74</v>
      </c>
      <c r="X8">
        <v>31.974999999999994</v>
      </c>
    </row>
    <row r="9" spans="1:24" x14ac:dyDescent="0.25">
      <c r="B9">
        <v>169</v>
      </c>
      <c r="C9" t="str">
        <v>Cheetah Chasers</v>
      </c>
      <c r="D9" t="str">
        <v>CB</v>
      </c>
      <c r="E9" t="str">
        <v>Kibet</v>
      </c>
      <c r="F9" t="str">
        <v>Korir</v>
      </c>
      <c r="G9" t="str">
        <v>K. Korir</v>
      </c>
      <c r="H9" t="str">
        <v>Kasi</v>
      </c>
      <c r="I9">
        <v>100</v>
      </c>
      <c r="J9">
        <v>26</v>
      </c>
      <c r="K9">
        <v>12</v>
      </c>
      <c r="L9">
        <v>100</v>
      </c>
      <c r="M9">
        <v>59.5</v>
      </c>
      <c r="N9">
        <v>27</v>
      </c>
      <c r="O9">
        <v>81</v>
      </c>
      <c r="P9">
        <v>11.489999999999998</v>
      </c>
      <c r="Q9">
        <v>38.299999999999997</v>
      </c>
      <c r="R9">
        <v>38.299999999999997</v>
      </c>
      <c r="S9">
        <v>1.6173069044842909E-2</v>
      </c>
      <c r="T9">
        <v>0.27920699999999998</v>
      </c>
      <c r="U9" t="str">
        <v>Kenya</v>
      </c>
      <c r="V9">
        <v>35</v>
      </c>
      <c r="W9">
        <v>39</v>
      </c>
      <c r="X9" t="str">
        <v>0</v>
      </c>
    </row>
    <row r="10" spans="1:24" x14ac:dyDescent="0.25">
      <c r="B10">
        <v>187</v>
      </c>
      <c r="C10" t="str">
        <v>Raven Raiders</v>
      </c>
      <c r="D10" t="str">
        <v>RW</v>
      </c>
      <c r="E10" t="str">
        <v>Stefán</v>
      </c>
      <c r="F10" t="str">
        <v>Sigurðsson</v>
      </c>
      <c r="G10" t="str">
        <v>S. Sigurðsson</v>
      </c>
      <c r="H10" t="str">
        <v>Sleipnir</v>
      </c>
      <c r="I10">
        <v>75</v>
      </c>
      <c r="J10">
        <v>100</v>
      </c>
      <c r="K10">
        <v>18</v>
      </c>
      <c r="L10">
        <v>71</v>
      </c>
      <c r="M10">
        <v>66</v>
      </c>
      <c r="N10">
        <v>94</v>
      </c>
      <c r="O10">
        <v>103</v>
      </c>
      <c r="P10">
        <v>74.099999999999994</v>
      </c>
      <c r="Q10">
        <v>22.229999999999997</v>
      </c>
      <c r="R10">
        <v>74.099999999999994</v>
      </c>
      <c r="S10">
        <v>0.23459833251010195</v>
      </c>
      <c r="T10">
        <v>2.2896899999999998</v>
      </c>
      <c r="U10" t="str">
        <v>Iceland</v>
      </c>
      <c r="V10">
        <v>35</v>
      </c>
      <c r="W10">
        <v>75</v>
      </c>
      <c r="X10">
        <v>32.849999999999994</v>
      </c>
    </row>
    <row r="11" spans="1:24" x14ac:dyDescent="0.25">
      <c r="B11">
        <v>206</v>
      </c>
      <c r="C11" t="str">
        <v>Buffalo Battlers</v>
      </c>
      <c r="D11" t="str">
        <v>CAM</v>
      </c>
      <c r="E11" t="str">
        <v>Rashid</v>
      </c>
      <c r="F11" t="str">
        <v>Rahman</v>
      </c>
      <c r="G11" t="str">
        <v>R. Rahman</v>
      </c>
      <c r="H11" t="str">
        <v>Raees</v>
      </c>
      <c r="I11">
        <v>21</v>
      </c>
      <c r="J11">
        <v>5</v>
      </c>
      <c r="K11">
        <v>78</v>
      </c>
      <c r="L11">
        <v>35</v>
      </c>
      <c r="M11">
        <v>34.75</v>
      </c>
      <c r="N11">
        <v>74</v>
      </c>
      <c r="O11">
        <v>76</v>
      </c>
      <c r="P11">
        <v>18.225000000000001</v>
      </c>
      <c r="Q11">
        <v>12.15</v>
      </c>
      <c r="R11">
        <v>20.25</v>
      </c>
      <c r="S11">
        <v>8.3415337437352674E-2</v>
      </c>
      <c r="T11">
        <v>0.41553000000000007</v>
      </c>
      <c r="U11" t="str">
        <v>Pakistan</v>
      </c>
      <c r="V11">
        <v>35</v>
      </c>
      <c r="W11">
        <v>21</v>
      </c>
      <c r="X11" t="str">
        <v>0</v>
      </c>
    </row>
    <row r="16" spans="1:24" x14ac:dyDescent="0.25">
      <c r="A16" t="s">
        <v>1361</v>
      </c>
      <c r="B16" t="s">
        <v>1359</v>
      </c>
      <c r="C16" t="s">
        <v>0</v>
      </c>
      <c r="D16" s="3" t="s">
        <v>7</v>
      </c>
      <c r="E16" s="3" t="s">
        <v>8</v>
      </c>
      <c r="F16" s="3" t="s">
        <v>9</v>
      </c>
      <c r="G16" s="3" t="s">
        <v>44</v>
      </c>
      <c r="H16" s="3" t="s">
        <v>50</v>
      </c>
      <c r="I16" s="3" t="s">
        <v>17</v>
      </c>
      <c r="J16" s="3" t="s">
        <v>14</v>
      </c>
      <c r="K16" s="3" t="s">
        <v>15</v>
      </c>
      <c r="L16" s="3" t="s">
        <v>16</v>
      </c>
      <c r="M16" s="3" t="s">
        <v>48</v>
      </c>
      <c r="N16" s="3" t="s">
        <v>3</v>
      </c>
      <c r="O16" s="3" t="s">
        <v>10</v>
      </c>
      <c r="P16" s="3" t="s">
        <v>1</v>
      </c>
      <c r="Q16" s="3" t="s">
        <v>12</v>
      </c>
      <c r="R16" s="3" t="s">
        <v>4</v>
      </c>
      <c r="S16" s="3" t="s">
        <v>49</v>
      </c>
      <c r="T16" s="3" t="s">
        <v>47</v>
      </c>
      <c r="U16" s="3" t="s">
        <v>138</v>
      </c>
      <c r="V16" s="3" t="s">
        <v>1354</v>
      </c>
      <c r="W16" s="3" t="s">
        <v>1355</v>
      </c>
      <c r="X16" s="3" t="s">
        <v>1356</v>
      </c>
    </row>
    <row r="17" spans="2:24" x14ac:dyDescent="0.25">
      <c r="B17">
        <v>12</v>
      </c>
      <c r="C17" t="s">
        <v>23</v>
      </c>
      <c r="D17" t="s">
        <v>11</v>
      </c>
      <c r="E17" t="s">
        <v>757</v>
      </c>
      <c r="F17" t="s">
        <v>1279</v>
      </c>
      <c r="G17" t="s">
        <v>1280</v>
      </c>
      <c r="H17" t="s">
        <v>1281</v>
      </c>
      <c r="I17">
        <v>82</v>
      </c>
      <c r="J17">
        <v>64</v>
      </c>
      <c r="K17">
        <v>85</v>
      </c>
      <c r="L17">
        <v>75</v>
      </c>
      <c r="M17">
        <v>76.5</v>
      </c>
      <c r="N17">
        <v>54</v>
      </c>
      <c r="O17">
        <v>68</v>
      </c>
      <c r="P17">
        <v>0</v>
      </c>
      <c r="Q17">
        <v>74.95</v>
      </c>
      <c r="R17">
        <v>74.95</v>
      </c>
      <c r="S17">
        <v>0</v>
      </c>
      <c r="T17">
        <v>0</v>
      </c>
      <c r="U17" t="s">
        <v>144</v>
      </c>
      <c r="V17">
        <v>35</v>
      </c>
      <c r="W17">
        <v>75</v>
      </c>
      <c r="X17">
        <v>33.275000000000006</v>
      </c>
    </row>
    <row r="18" spans="2:24" x14ac:dyDescent="0.25">
      <c r="B18">
        <v>14</v>
      </c>
      <c r="C18" t="s">
        <v>23</v>
      </c>
      <c r="D18" t="s">
        <v>56</v>
      </c>
      <c r="E18" t="s">
        <v>776</v>
      </c>
      <c r="F18" t="s">
        <v>1286</v>
      </c>
      <c r="G18" t="s">
        <v>1287</v>
      </c>
      <c r="H18" t="s">
        <v>1286</v>
      </c>
      <c r="I18">
        <v>67</v>
      </c>
      <c r="J18">
        <v>88</v>
      </c>
      <c r="K18">
        <v>91</v>
      </c>
      <c r="L18">
        <v>84</v>
      </c>
      <c r="M18">
        <v>82.5</v>
      </c>
      <c r="N18">
        <v>59</v>
      </c>
      <c r="O18">
        <v>72</v>
      </c>
      <c r="P18">
        <v>25.949999999999996</v>
      </c>
      <c r="Q18">
        <v>86.499999999999986</v>
      </c>
      <c r="R18">
        <v>86.499999999999986</v>
      </c>
      <c r="S18">
        <v>3.1163628542237996E-2</v>
      </c>
      <c r="T18">
        <v>0.56051999999999991</v>
      </c>
      <c r="U18" t="s">
        <v>144</v>
      </c>
      <c r="V18">
        <v>35</v>
      </c>
      <c r="W18">
        <v>87</v>
      </c>
      <c r="X18">
        <v>45.049999999999983</v>
      </c>
    </row>
    <row r="19" spans="2:24" x14ac:dyDescent="0.25">
      <c r="B19">
        <v>24</v>
      </c>
      <c r="C19" t="s">
        <v>25</v>
      </c>
      <c r="D19" t="s">
        <v>54</v>
      </c>
      <c r="E19" t="s">
        <v>1240</v>
      </c>
      <c r="F19" t="s">
        <v>1241</v>
      </c>
      <c r="G19" t="s">
        <v>1242</v>
      </c>
      <c r="H19" t="s">
        <v>1243</v>
      </c>
      <c r="I19">
        <v>85</v>
      </c>
      <c r="J19">
        <v>27</v>
      </c>
      <c r="K19">
        <v>42</v>
      </c>
      <c r="L19">
        <v>92</v>
      </c>
      <c r="M19">
        <v>61.5</v>
      </c>
      <c r="N19">
        <v>84</v>
      </c>
      <c r="O19">
        <v>18</v>
      </c>
      <c r="P19">
        <v>24.179999999999996</v>
      </c>
      <c r="Q19">
        <v>54.404999999999994</v>
      </c>
      <c r="R19">
        <v>60.449999999999989</v>
      </c>
      <c r="S19">
        <v>3.7669462706869189E-2</v>
      </c>
      <c r="T19">
        <v>0.13057199999999997</v>
      </c>
      <c r="U19" t="s">
        <v>142</v>
      </c>
      <c r="V19">
        <v>35</v>
      </c>
      <c r="W19">
        <v>61</v>
      </c>
      <c r="X19">
        <v>19.024999999999991</v>
      </c>
    </row>
    <row r="20" spans="2:24" x14ac:dyDescent="0.25">
      <c r="B20">
        <v>35</v>
      </c>
      <c r="C20" t="s">
        <v>26</v>
      </c>
      <c r="D20" t="s">
        <v>54</v>
      </c>
      <c r="E20" t="s">
        <v>1190</v>
      </c>
      <c r="F20" t="s">
        <v>960</v>
      </c>
      <c r="G20" t="s">
        <v>961</v>
      </c>
      <c r="H20" t="s">
        <v>962</v>
      </c>
      <c r="I20">
        <v>85</v>
      </c>
      <c r="J20">
        <v>33</v>
      </c>
      <c r="K20">
        <v>8</v>
      </c>
      <c r="L20">
        <v>98</v>
      </c>
      <c r="M20">
        <v>56</v>
      </c>
      <c r="N20">
        <v>83</v>
      </c>
      <c r="O20">
        <v>42</v>
      </c>
      <c r="P20">
        <v>20.62</v>
      </c>
      <c r="Q20">
        <v>46.394999999999996</v>
      </c>
      <c r="R20">
        <v>51.55</v>
      </c>
      <c r="S20">
        <v>3.1486655878934296E-2</v>
      </c>
      <c r="T20">
        <v>0.25981199999999999</v>
      </c>
      <c r="U20" t="s">
        <v>145</v>
      </c>
      <c r="V20">
        <v>35</v>
      </c>
      <c r="W20">
        <v>52</v>
      </c>
      <c r="X20">
        <v>10.075000000000003</v>
      </c>
    </row>
    <row r="21" spans="2:24" x14ac:dyDescent="0.25">
      <c r="B21">
        <v>49</v>
      </c>
      <c r="C21" t="s">
        <v>28</v>
      </c>
      <c r="D21" t="s">
        <v>55</v>
      </c>
      <c r="E21" t="s">
        <v>991</v>
      </c>
      <c r="F21" t="s">
        <v>1183</v>
      </c>
      <c r="G21" t="s">
        <v>1184</v>
      </c>
      <c r="H21" t="s">
        <v>1185</v>
      </c>
      <c r="I21">
        <v>60</v>
      </c>
      <c r="J21">
        <v>54</v>
      </c>
      <c r="K21">
        <v>86</v>
      </c>
      <c r="L21">
        <v>84</v>
      </c>
      <c r="M21">
        <v>71</v>
      </c>
      <c r="N21">
        <v>65</v>
      </c>
      <c r="O21">
        <v>8</v>
      </c>
      <c r="P21">
        <v>30.04</v>
      </c>
      <c r="Q21">
        <v>67.59</v>
      </c>
      <c r="R21">
        <v>75.099999999999994</v>
      </c>
      <c r="S21">
        <v>4.4001180547205483E-2</v>
      </c>
      <c r="T21">
        <v>7.2096000000000007E-2</v>
      </c>
      <c r="U21" t="s">
        <v>157</v>
      </c>
      <c r="V21">
        <v>35</v>
      </c>
      <c r="W21">
        <v>76</v>
      </c>
      <c r="X21">
        <v>33.849999999999994</v>
      </c>
    </row>
    <row r="22" spans="2:24" x14ac:dyDescent="0.25">
      <c r="B22">
        <v>115</v>
      </c>
      <c r="C22" t="s">
        <v>33</v>
      </c>
      <c r="D22" t="s">
        <v>55</v>
      </c>
      <c r="E22" t="s">
        <v>939</v>
      </c>
      <c r="F22" t="s">
        <v>940</v>
      </c>
      <c r="G22" t="s">
        <v>941</v>
      </c>
      <c r="H22" t="s">
        <v>942</v>
      </c>
      <c r="I22">
        <v>100</v>
      </c>
      <c r="J22">
        <v>73</v>
      </c>
      <c r="K22">
        <v>9</v>
      </c>
      <c r="L22">
        <v>90</v>
      </c>
      <c r="M22">
        <v>68</v>
      </c>
      <c r="N22">
        <v>89</v>
      </c>
      <c r="O22">
        <v>79</v>
      </c>
      <c r="P22">
        <v>23.900000000000002</v>
      </c>
      <c r="Q22">
        <v>53.774999999999999</v>
      </c>
      <c r="R22">
        <v>59.75</v>
      </c>
      <c r="S22">
        <v>3.2695272222392373E-2</v>
      </c>
      <c r="T22">
        <v>0.5664300000000001</v>
      </c>
      <c r="U22" t="s">
        <v>148</v>
      </c>
      <c r="V22">
        <v>35</v>
      </c>
      <c r="W22">
        <v>60</v>
      </c>
      <c r="X22">
        <v>18.174999999999997</v>
      </c>
    </row>
    <row r="23" spans="2:24" x14ac:dyDescent="0.25">
      <c r="B23">
        <v>156</v>
      </c>
      <c r="C23" t="s">
        <v>37</v>
      </c>
      <c r="D23" t="s">
        <v>54</v>
      </c>
      <c r="E23" t="s">
        <v>799</v>
      </c>
      <c r="F23" t="s">
        <v>800</v>
      </c>
      <c r="G23" t="s">
        <v>801</v>
      </c>
      <c r="H23" t="s">
        <v>802</v>
      </c>
      <c r="I23">
        <v>14</v>
      </c>
      <c r="J23">
        <v>90</v>
      </c>
      <c r="K23">
        <v>84</v>
      </c>
      <c r="L23">
        <v>4</v>
      </c>
      <c r="M23">
        <v>48</v>
      </c>
      <c r="N23">
        <v>70</v>
      </c>
      <c r="O23">
        <v>89</v>
      </c>
      <c r="P23">
        <v>20.28</v>
      </c>
      <c r="Q23">
        <v>45.63</v>
      </c>
      <c r="R23">
        <v>50.7</v>
      </c>
      <c r="S23">
        <v>4.0367201426024964E-2</v>
      </c>
      <c r="T23">
        <v>0.54147600000000007</v>
      </c>
      <c r="U23" t="s">
        <v>151</v>
      </c>
      <c r="V23">
        <v>35</v>
      </c>
      <c r="W23">
        <v>51</v>
      </c>
      <c r="X23">
        <v>9.1500000000000057</v>
      </c>
    </row>
    <row r="24" spans="2:24" x14ac:dyDescent="0.25">
      <c r="B24">
        <v>160</v>
      </c>
      <c r="C24" t="s">
        <v>37</v>
      </c>
      <c r="D24" t="s">
        <v>45</v>
      </c>
      <c r="E24" t="s">
        <v>815</v>
      </c>
      <c r="F24" t="s">
        <v>816</v>
      </c>
      <c r="G24" t="s">
        <v>817</v>
      </c>
      <c r="H24" t="s">
        <v>818</v>
      </c>
      <c r="I24">
        <v>37</v>
      </c>
      <c r="J24">
        <v>98</v>
      </c>
      <c r="K24">
        <v>96</v>
      </c>
      <c r="L24">
        <v>0</v>
      </c>
      <c r="M24">
        <v>57.75</v>
      </c>
      <c r="N24">
        <v>75</v>
      </c>
      <c r="O24">
        <v>93</v>
      </c>
      <c r="P24">
        <v>44.01</v>
      </c>
      <c r="Q24">
        <v>66.015000000000001</v>
      </c>
      <c r="R24">
        <v>73.349999999999994</v>
      </c>
      <c r="S24">
        <v>0.1307486631016043</v>
      </c>
      <c r="T24">
        <v>1.2278790000000002</v>
      </c>
      <c r="U24" t="s">
        <v>151</v>
      </c>
      <c r="V24">
        <v>35</v>
      </c>
      <c r="W24">
        <v>74</v>
      </c>
      <c r="X24">
        <v>31.974999999999994</v>
      </c>
    </row>
    <row r="25" spans="2:24" x14ac:dyDescent="0.25">
      <c r="B25">
        <v>169</v>
      </c>
      <c r="C25" t="s">
        <v>38</v>
      </c>
      <c r="D25" t="s">
        <v>56</v>
      </c>
      <c r="E25" t="s">
        <v>765</v>
      </c>
      <c r="F25" t="s">
        <v>766</v>
      </c>
      <c r="G25" t="s">
        <v>767</v>
      </c>
      <c r="H25" t="s">
        <v>756</v>
      </c>
      <c r="I25">
        <v>100</v>
      </c>
      <c r="J25">
        <v>26</v>
      </c>
      <c r="K25">
        <v>12</v>
      </c>
      <c r="L25">
        <v>100</v>
      </c>
      <c r="M25">
        <v>59.5</v>
      </c>
      <c r="N25">
        <v>27</v>
      </c>
      <c r="O25">
        <v>81</v>
      </c>
      <c r="P25">
        <v>11.489999999999998</v>
      </c>
      <c r="Q25">
        <v>38.299999999999997</v>
      </c>
      <c r="R25">
        <v>38.299999999999997</v>
      </c>
      <c r="S25">
        <v>1.6756015540827323E-2</v>
      </c>
      <c r="T25">
        <v>0.27920699999999998</v>
      </c>
      <c r="U25" t="s">
        <v>152</v>
      </c>
      <c r="V25">
        <v>35</v>
      </c>
      <c r="W25">
        <v>39</v>
      </c>
      <c r="X25" t="s">
        <v>1358</v>
      </c>
    </row>
    <row r="26" spans="2:24" x14ac:dyDescent="0.25">
      <c r="B26">
        <v>171</v>
      </c>
      <c r="C26" t="s">
        <v>38</v>
      </c>
      <c r="D26" t="s">
        <v>45</v>
      </c>
      <c r="E26" t="s">
        <v>772</v>
      </c>
      <c r="F26" t="s">
        <v>773</v>
      </c>
      <c r="G26" t="s">
        <v>774</v>
      </c>
      <c r="H26" t="s">
        <v>775</v>
      </c>
      <c r="I26">
        <v>85</v>
      </c>
      <c r="J26">
        <v>34</v>
      </c>
      <c r="K26">
        <v>39</v>
      </c>
      <c r="L26">
        <v>100</v>
      </c>
      <c r="M26">
        <v>64.5</v>
      </c>
      <c r="N26">
        <v>34</v>
      </c>
      <c r="O26">
        <v>84</v>
      </c>
      <c r="P26">
        <v>32.129999999999995</v>
      </c>
      <c r="Q26">
        <v>48.195</v>
      </c>
      <c r="R26">
        <v>53.55</v>
      </c>
      <c r="S26">
        <v>6.9933722942309567E-2</v>
      </c>
      <c r="T26">
        <v>0.80967599999999984</v>
      </c>
      <c r="U26" t="s">
        <v>152</v>
      </c>
      <c r="V26">
        <v>35</v>
      </c>
      <c r="W26">
        <v>54</v>
      </c>
      <c r="X26">
        <v>12.075000000000003</v>
      </c>
    </row>
    <row r="27" spans="2:24" x14ac:dyDescent="0.25">
      <c r="B27">
        <v>187</v>
      </c>
      <c r="C27" t="s">
        <v>39</v>
      </c>
      <c r="D27" t="s">
        <v>53</v>
      </c>
      <c r="E27" t="s">
        <v>750</v>
      </c>
      <c r="F27" t="s">
        <v>711</v>
      </c>
      <c r="G27" t="s">
        <v>751</v>
      </c>
      <c r="H27" t="s">
        <v>752</v>
      </c>
      <c r="I27">
        <v>75</v>
      </c>
      <c r="J27">
        <v>100</v>
      </c>
      <c r="K27">
        <v>18</v>
      </c>
      <c r="L27">
        <v>71</v>
      </c>
      <c r="M27">
        <v>66</v>
      </c>
      <c r="N27">
        <v>94</v>
      </c>
      <c r="O27">
        <v>103</v>
      </c>
      <c r="P27">
        <v>74.099999999999994</v>
      </c>
      <c r="Q27">
        <v>22.229999999999997</v>
      </c>
      <c r="R27">
        <v>74.099999999999994</v>
      </c>
      <c r="S27">
        <v>0.23459833251010195</v>
      </c>
      <c r="T27">
        <v>2.2896899999999998</v>
      </c>
      <c r="U27" t="s">
        <v>153</v>
      </c>
      <c r="V27">
        <v>35</v>
      </c>
      <c r="W27">
        <v>75</v>
      </c>
      <c r="X27">
        <v>32.849999999999994</v>
      </c>
    </row>
    <row r="28" spans="2:24" x14ac:dyDescent="0.25">
      <c r="B28">
        <v>206</v>
      </c>
      <c r="C28" t="s">
        <v>41</v>
      </c>
      <c r="D28" t="s">
        <v>46</v>
      </c>
      <c r="E28" t="s">
        <v>694</v>
      </c>
      <c r="F28" t="s">
        <v>695</v>
      </c>
      <c r="G28" t="s">
        <v>696</v>
      </c>
      <c r="H28" t="s">
        <v>697</v>
      </c>
      <c r="I28">
        <v>21</v>
      </c>
      <c r="J28">
        <v>5</v>
      </c>
      <c r="K28">
        <v>78</v>
      </c>
      <c r="L28">
        <v>35</v>
      </c>
      <c r="M28">
        <v>34.75</v>
      </c>
      <c r="N28">
        <v>74</v>
      </c>
      <c r="O28">
        <v>76</v>
      </c>
      <c r="P28">
        <v>18.225000000000001</v>
      </c>
      <c r="Q28">
        <v>12.15</v>
      </c>
      <c r="R28">
        <v>20.25</v>
      </c>
      <c r="S28">
        <v>8.3415337437352674E-2</v>
      </c>
      <c r="T28">
        <v>0.41553000000000007</v>
      </c>
      <c r="U28" t="s">
        <v>156</v>
      </c>
      <c r="V28">
        <v>35</v>
      </c>
      <c r="W28">
        <v>21</v>
      </c>
      <c r="X28" t="s">
        <v>1358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21A59-55EE-4981-914C-57C758432881}">
  <sheetPr>
    <tabColor theme="9"/>
  </sheetPr>
  <dimension ref="A1:AH31"/>
  <sheetViews>
    <sheetView tabSelected="1" workbookViewId="0">
      <selection activeCell="I20" sqref="I20"/>
    </sheetView>
  </sheetViews>
  <sheetFormatPr defaultRowHeight="15" x14ac:dyDescent="0.25"/>
  <cols>
    <col min="1" max="1" width="15.7109375" bestFit="1" customWidth="1"/>
    <col min="3" max="3" width="16" bestFit="1" customWidth="1"/>
    <col min="5" max="5" width="10.5703125" bestFit="1" customWidth="1"/>
    <col min="6" max="6" width="13.140625" bestFit="1" customWidth="1"/>
    <col min="7" max="7" width="15.140625" bestFit="1" customWidth="1"/>
    <col min="8" max="8" width="12" bestFit="1" customWidth="1"/>
    <col min="27" max="27" width="19.7109375" bestFit="1" customWidth="1"/>
    <col min="28" max="28" width="11.140625" bestFit="1" customWidth="1"/>
  </cols>
  <sheetData>
    <row r="1" spans="1:34" x14ac:dyDescent="0.25">
      <c r="AC1" t="s">
        <v>17</v>
      </c>
      <c r="AD1" t="s">
        <v>14</v>
      </c>
      <c r="AE1" t="s">
        <v>15</v>
      </c>
      <c r="AF1" t="s">
        <v>16</v>
      </c>
      <c r="AG1" t="s">
        <v>547</v>
      </c>
      <c r="AH1" t="s">
        <v>10</v>
      </c>
    </row>
    <row r="2" spans="1:34" x14ac:dyDescent="0.25">
      <c r="A2" t="s">
        <v>1362</v>
      </c>
      <c r="B2" t="s">
        <v>1359</v>
      </c>
      <c r="C2" t="s">
        <v>0</v>
      </c>
      <c r="D2" s="3" t="s">
        <v>7</v>
      </c>
      <c r="E2" s="3" t="s">
        <v>8</v>
      </c>
      <c r="F2" s="3" t="s">
        <v>9</v>
      </c>
      <c r="G2" s="3" t="s">
        <v>44</v>
      </c>
      <c r="H2" s="3" t="s">
        <v>50</v>
      </c>
      <c r="I2" s="3" t="s">
        <v>17</v>
      </c>
      <c r="J2" s="3" t="s">
        <v>14</v>
      </c>
      <c r="K2" s="3" t="s">
        <v>15</v>
      </c>
      <c r="L2" s="3" t="s">
        <v>16</v>
      </c>
      <c r="M2" s="3" t="s">
        <v>48</v>
      </c>
      <c r="N2" s="3" t="s">
        <v>3</v>
      </c>
      <c r="O2" s="3" t="s">
        <v>10</v>
      </c>
      <c r="P2" s="3" t="s">
        <v>1</v>
      </c>
      <c r="Q2" s="3" t="s">
        <v>12</v>
      </c>
      <c r="R2" s="3" t="s">
        <v>4</v>
      </c>
      <c r="S2" s="3" t="s">
        <v>49</v>
      </c>
      <c r="T2" s="3" t="s">
        <v>47</v>
      </c>
      <c r="U2" s="3" t="s">
        <v>138</v>
      </c>
      <c r="V2" s="3" t="s">
        <v>1354</v>
      </c>
      <c r="W2" s="3" t="s">
        <v>1355</v>
      </c>
      <c r="X2" s="3" t="s">
        <v>1356</v>
      </c>
      <c r="AA2" t="s">
        <v>21</v>
      </c>
      <c r="AB2" t="s">
        <v>143</v>
      </c>
      <c r="AC2">
        <v>80</v>
      </c>
      <c r="AD2">
        <v>75</v>
      </c>
      <c r="AE2">
        <v>25</v>
      </c>
      <c r="AF2">
        <v>85</v>
      </c>
      <c r="AG2">
        <v>90</v>
      </c>
      <c r="AH2">
        <v>25</v>
      </c>
    </row>
    <row r="3" spans="1:34" x14ac:dyDescent="0.25">
      <c r="B3">
        <v>12</v>
      </c>
      <c r="C3" t="s">
        <v>23</v>
      </c>
      <c r="D3" t="s">
        <v>11</v>
      </c>
      <c r="E3" t="s">
        <v>757</v>
      </c>
      <c r="F3" t="s">
        <v>1279</v>
      </c>
      <c r="G3" t="s">
        <v>1280</v>
      </c>
      <c r="H3" t="s">
        <v>1281</v>
      </c>
      <c r="I3">
        <v>82</v>
      </c>
      <c r="J3">
        <v>64</v>
      </c>
      <c r="K3">
        <v>85</v>
      </c>
      <c r="L3">
        <v>75</v>
      </c>
      <c r="M3">
        <v>76.5</v>
      </c>
      <c r="N3">
        <v>54</v>
      </c>
      <c r="O3">
        <v>68</v>
      </c>
      <c r="P3" s="1">
        <v>0</v>
      </c>
      <c r="Q3" s="1">
        <v>74.95</v>
      </c>
      <c r="R3">
        <v>74.95</v>
      </c>
      <c r="S3" s="48">
        <v>0</v>
      </c>
      <c r="T3" s="48">
        <v>0</v>
      </c>
      <c r="U3" t="s">
        <v>144</v>
      </c>
      <c r="V3">
        <v>35</v>
      </c>
      <c r="W3">
        <v>75</v>
      </c>
      <c r="X3">
        <v>33.275000000000006</v>
      </c>
      <c r="AA3" t="s">
        <v>23</v>
      </c>
      <c r="AB3" t="s">
        <v>144</v>
      </c>
      <c r="AC3">
        <v>80</v>
      </c>
      <c r="AD3">
        <v>80</v>
      </c>
      <c r="AE3">
        <v>90</v>
      </c>
      <c r="AF3">
        <v>85</v>
      </c>
      <c r="AG3">
        <v>55</v>
      </c>
      <c r="AH3">
        <v>70</v>
      </c>
    </row>
    <row r="4" spans="1:34" x14ac:dyDescent="0.25">
      <c r="B4">
        <v>14</v>
      </c>
      <c r="C4" t="s">
        <v>23</v>
      </c>
      <c r="D4" t="s">
        <v>56</v>
      </c>
      <c r="E4" t="s">
        <v>776</v>
      </c>
      <c r="F4" t="s">
        <v>1286</v>
      </c>
      <c r="G4" t="s">
        <v>1287</v>
      </c>
      <c r="H4" t="s">
        <v>1286</v>
      </c>
      <c r="I4">
        <v>67</v>
      </c>
      <c r="J4">
        <v>88</v>
      </c>
      <c r="K4">
        <v>91</v>
      </c>
      <c r="L4">
        <v>84</v>
      </c>
      <c r="M4">
        <v>82.5</v>
      </c>
      <c r="N4">
        <v>59</v>
      </c>
      <c r="O4">
        <v>72</v>
      </c>
      <c r="P4" s="1">
        <v>25.949999999999996</v>
      </c>
      <c r="Q4" s="1">
        <v>86.499999999999986</v>
      </c>
      <c r="R4">
        <v>86.499999999999986</v>
      </c>
      <c r="S4" s="48">
        <v>3.1163628542237996E-2</v>
      </c>
      <c r="T4" s="48">
        <v>0.56051999999999991</v>
      </c>
      <c r="U4" t="s">
        <v>144</v>
      </c>
      <c r="V4">
        <v>35</v>
      </c>
      <c r="W4">
        <v>87</v>
      </c>
      <c r="X4">
        <v>45.049999999999983</v>
      </c>
      <c r="AA4" t="s">
        <v>25</v>
      </c>
      <c r="AB4" t="s">
        <v>142</v>
      </c>
      <c r="AC4">
        <v>85</v>
      </c>
      <c r="AD4">
        <v>30</v>
      </c>
      <c r="AE4">
        <v>30</v>
      </c>
      <c r="AF4">
        <v>90</v>
      </c>
      <c r="AG4">
        <v>100</v>
      </c>
      <c r="AH4">
        <v>25</v>
      </c>
    </row>
    <row r="5" spans="1:34" x14ac:dyDescent="0.25">
      <c r="B5">
        <v>24</v>
      </c>
      <c r="C5" t="s">
        <v>25</v>
      </c>
      <c r="D5" t="s">
        <v>54</v>
      </c>
      <c r="E5" t="s">
        <v>1240</v>
      </c>
      <c r="F5" t="s">
        <v>1241</v>
      </c>
      <c r="G5" t="s">
        <v>1242</v>
      </c>
      <c r="H5" t="s">
        <v>1243</v>
      </c>
      <c r="I5">
        <v>85</v>
      </c>
      <c r="J5">
        <v>27</v>
      </c>
      <c r="K5">
        <v>42</v>
      </c>
      <c r="L5">
        <v>92</v>
      </c>
      <c r="M5">
        <v>61.5</v>
      </c>
      <c r="N5">
        <v>84</v>
      </c>
      <c r="O5">
        <v>18</v>
      </c>
      <c r="P5" s="1">
        <v>24.179999999999996</v>
      </c>
      <c r="Q5" s="1">
        <v>54.404999999999994</v>
      </c>
      <c r="R5">
        <v>60.449999999999989</v>
      </c>
      <c r="S5" s="48">
        <v>3.7669462706869189E-2</v>
      </c>
      <c r="T5" s="48">
        <v>0.13057199999999997</v>
      </c>
      <c r="U5" t="s">
        <v>142</v>
      </c>
      <c r="V5">
        <v>35</v>
      </c>
      <c r="W5">
        <v>61</v>
      </c>
      <c r="X5">
        <v>19.024999999999991</v>
      </c>
      <c r="AA5" t="s">
        <v>26</v>
      </c>
      <c r="AB5" t="s">
        <v>145</v>
      </c>
      <c r="AC5">
        <v>80</v>
      </c>
      <c r="AD5">
        <v>40</v>
      </c>
      <c r="AE5">
        <v>10</v>
      </c>
      <c r="AF5">
        <v>95</v>
      </c>
      <c r="AG5">
        <v>80</v>
      </c>
      <c r="AH5">
        <v>40</v>
      </c>
    </row>
    <row r="6" spans="1:34" x14ac:dyDescent="0.25">
      <c r="B6">
        <v>35</v>
      </c>
      <c r="C6" t="s">
        <v>26</v>
      </c>
      <c r="D6" t="s">
        <v>54</v>
      </c>
      <c r="E6" t="s">
        <v>1190</v>
      </c>
      <c r="F6" t="s">
        <v>960</v>
      </c>
      <c r="G6" t="s">
        <v>961</v>
      </c>
      <c r="H6" t="s">
        <v>962</v>
      </c>
      <c r="I6">
        <v>85</v>
      </c>
      <c r="J6">
        <v>33</v>
      </c>
      <c r="K6">
        <v>8</v>
      </c>
      <c r="L6">
        <v>98</v>
      </c>
      <c r="M6">
        <v>56</v>
      </c>
      <c r="N6">
        <v>83</v>
      </c>
      <c r="O6">
        <v>42</v>
      </c>
      <c r="P6" s="1">
        <v>20.62</v>
      </c>
      <c r="Q6" s="1">
        <v>46.394999999999996</v>
      </c>
      <c r="R6">
        <v>51.55</v>
      </c>
      <c r="S6" s="48">
        <v>3.1486655878934296E-2</v>
      </c>
      <c r="T6" s="48">
        <v>0.25981199999999999</v>
      </c>
      <c r="U6" t="s">
        <v>145</v>
      </c>
      <c r="V6">
        <v>35</v>
      </c>
      <c r="W6">
        <v>52</v>
      </c>
      <c r="X6">
        <v>10.075000000000003</v>
      </c>
      <c r="AA6" t="s">
        <v>27</v>
      </c>
      <c r="AB6" t="s">
        <v>149</v>
      </c>
      <c r="AC6">
        <v>90</v>
      </c>
      <c r="AD6">
        <v>80</v>
      </c>
      <c r="AE6">
        <v>65</v>
      </c>
      <c r="AF6">
        <v>85</v>
      </c>
      <c r="AG6">
        <v>75</v>
      </c>
      <c r="AH6">
        <v>50</v>
      </c>
    </row>
    <row r="7" spans="1:34" x14ac:dyDescent="0.25">
      <c r="B7">
        <v>49</v>
      </c>
      <c r="C7" t="s">
        <v>28</v>
      </c>
      <c r="D7" t="s">
        <v>55</v>
      </c>
      <c r="E7" t="s">
        <v>991</v>
      </c>
      <c r="F7" t="s">
        <v>1183</v>
      </c>
      <c r="G7" t="s">
        <v>1184</v>
      </c>
      <c r="H7" t="s">
        <v>1185</v>
      </c>
      <c r="I7">
        <v>60</v>
      </c>
      <c r="J7">
        <v>54</v>
      </c>
      <c r="K7">
        <v>86</v>
      </c>
      <c r="L7">
        <v>84</v>
      </c>
      <c r="M7">
        <v>71</v>
      </c>
      <c r="N7">
        <v>65</v>
      </c>
      <c r="O7">
        <v>8</v>
      </c>
      <c r="P7" s="1">
        <v>30.04</v>
      </c>
      <c r="Q7" s="1">
        <v>67.59</v>
      </c>
      <c r="R7">
        <v>75.099999999999994</v>
      </c>
      <c r="S7" s="48">
        <v>4.4001180547205483E-2</v>
      </c>
      <c r="T7" s="48">
        <v>7.2096000000000007E-2</v>
      </c>
      <c r="U7" t="s">
        <v>157</v>
      </c>
      <c r="V7">
        <v>35</v>
      </c>
      <c r="W7">
        <v>76</v>
      </c>
      <c r="X7">
        <v>33.849999999999994</v>
      </c>
      <c r="AA7" t="s">
        <v>28</v>
      </c>
      <c r="AB7" t="s">
        <v>157</v>
      </c>
      <c r="AC7">
        <v>60</v>
      </c>
      <c r="AD7">
        <v>55</v>
      </c>
      <c r="AE7">
        <v>85</v>
      </c>
      <c r="AF7">
        <v>80</v>
      </c>
      <c r="AG7">
        <v>60</v>
      </c>
      <c r="AH7">
        <v>10</v>
      </c>
    </row>
    <row r="8" spans="1:34" x14ac:dyDescent="0.25">
      <c r="B8">
        <v>115</v>
      </c>
      <c r="C8" t="s">
        <v>33</v>
      </c>
      <c r="D8" t="s">
        <v>55</v>
      </c>
      <c r="E8" t="s">
        <v>939</v>
      </c>
      <c r="F8" t="s">
        <v>940</v>
      </c>
      <c r="G8" t="s">
        <v>941</v>
      </c>
      <c r="H8" t="s">
        <v>942</v>
      </c>
      <c r="I8">
        <v>100</v>
      </c>
      <c r="J8">
        <v>73</v>
      </c>
      <c r="K8">
        <v>9</v>
      </c>
      <c r="L8">
        <v>90</v>
      </c>
      <c r="M8">
        <v>68</v>
      </c>
      <c r="N8">
        <v>89</v>
      </c>
      <c r="O8">
        <v>79</v>
      </c>
      <c r="P8" s="1">
        <v>23.900000000000002</v>
      </c>
      <c r="Q8" s="1">
        <v>53.774999999999999</v>
      </c>
      <c r="R8">
        <v>59.75</v>
      </c>
      <c r="S8" s="48">
        <v>3.2695272222392373E-2</v>
      </c>
      <c r="T8" s="48">
        <v>0.5664300000000001</v>
      </c>
      <c r="U8" t="s">
        <v>148</v>
      </c>
      <c r="V8">
        <v>35</v>
      </c>
      <c r="W8">
        <v>60</v>
      </c>
      <c r="X8">
        <v>18.174999999999997</v>
      </c>
      <c r="AA8" t="s">
        <v>29</v>
      </c>
      <c r="AB8" t="s">
        <v>147</v>
      </c>
      <c r="AC8">
        <v>85</v>
      </c>
      <c r="AD8">
        <v>85</v>
      </c>
      <c r="AE8">
        <v>60</v>
      </c>
      <c r="AF8">
        <v>70</v>
      </c>
      <c r="AG8">
        <v>80</v>
      </c>
      <c r="AH8">
        <v>95</v>
      </c>
    </row>
    <row r="9" spans="1:34" x14ac:dyDescent="0.25">
      <c r="B9">
        <v>156</v>
      </c>
      <c r="C9" t="s">
        <v>37</v>
      </c>
      <c r="D9" t="s">
        <v>54</v>
      </c>
      <c r="E9" t="s">
        <v>799</v>
      </c>
      <c r="F9" t="s">
        <v>800</v>
      </c>
      <c r="G9" t="s">
        <v>801</v>
      </c>
      <c r="H9" t="s">
        <v>802</v>
      </c>
      <c r="I9">
        <v>14</v>
      </c>
      <c r="J9">
        <v>90</v>
      </c>
      <c r="K9">
        <v>84</v>
      </c>
      <c r="L9">
        <v>4</v>
      </c>
      <c r="M9">
        <v>48</v>
      </c>
      <c r="N9">
        <v>70</v>
      </c>
      <c r="O9">
        <v>89</v>
      </c>
      <c r="P9" s="1">
        <v>20.28</v>
      </c>
      <c r="Q9" s="1">
        <v>45.63</v>
      </c>
      <c r="R9">
        <v>50.7</v>
      </c>
      <c r="S9" s="48">
        <v>4.0367201426024964E-2</v>
      </c>
      <c r="T9" s="48">
        <v>0.54147600000000007</v>
      </c>
      <c r="U9" t="s">
        <v>151</v>
      </c>
      <c r="V9">
        <v>35</v>
      </c>
      <c r="W9">
        <v>51</v>
      </c>
      <c r="X9">
        <v>9.1500000000000057</v>
      </c>
      <c r="AA9" t="s">
        <v>30</v>
      </c>
      <c r="AB9" t="s">
        <v>139</v>
      </c>
      <c r="AC9">
        <v>20</v>
      </c>
      <c r="AD9">
        <v>40</v>
      </c>
      <c r="AE9">
        <v>90</v>
      </c>
      <c r="AF9">
        <v>50</v>
      </c>
      <c r="AG9">
        <v>40</v>
      </c>
      <c r="AH9">
        <v>30</v>
      </c>
    </row>
    <row r="10" spans="1:34" x14ac:dyDescent="0.25">
      <c r="B10">
        <v>160</v>
      </c>
      <c r="C10" t="s">
        <v>37</v>
      </c>
      <c r="D10" t="s">
        <v>45</v>
      </c>
      <c r="E10" t="s">
        <v>815</v>
      </c>
      <c r="F10" t="s">
        <v>816</v>
      </c>
      <c r="G10" t="s">
        <v>817</v>
      </c>
      <c r="H10" t="s">
        <v>818</v>
      </c>
      <c r="I10">
        <v>37</v>
      </c>
      <c r="J10">
        <v>98</v>
      </c>
      <c r="K10">
        <v>96</v>
      </c>
      <c r="L10">
        <v>0</v>
      </c>
      <c r="M10">
        <v>57.75</v>
      </c>
      <c r="N10">
        <v>75</v>
      </c>
      <c r="O10">
        <v>93</v>
      </c>
      <c r="P10" s="1">
        <v>44.01</v>
      </c>
      <c r="Q10" s="1">
        <v>66.015000000000001</v>
      </c>
      <c r="R10">
        <v>73.349999999999994</v>
      </c>
      <c r="S10" s="48">
        <v>0.1307486631016043</v>
      </c>
      <c r="T10" s="48">
        <v>1.2278790000000002</v>
      </c>
      <c r="U10" t="s">
        <v>151</v>
      </c>
      <c r="V10">
        <v>35</v>
      </c>
      <c r="W10">
        <v>74</v>
      </c>
      <c r="X10">
        <v>31.974999999999994</v>
      </c>
      <c r="AA10" t="s">
        <v>31</v>
      </c>
      <c r="AB10" t="s">
        <v>140</v>
      </c>
      <c r="AC10">
        <v>85</v>
      </c>
      <c r="AD10">
        <v>80</v>
      </c>
      <c r="AE10">
        <v>75</v>
      </c>
      <c r="AF10">
        <v>80</v>
      </c>
      <c r="AG10">
        <v>50</v>
      </c>
      <c r="AH10">
        <v>70</v>
      </c>
    </row>
    <row r="11" spans="1:34" x14ac:dyDescent="0.25">
      <c r="B11">
        <v>169</v>
      </c>
      <c r="C11" t="s">
        <v>38</v>
      </c>
      <c r="D11" t="s">
        <v>56</v>
      </c>
      <c r="E11" t="s">
        <v>765</v>
      </c>
      <c r="F11" t="s">
        <v>766</v>
      </c>
      <c r="G11" t="s">
        <v>767</v>
      </c>
      <c r="H11" t="s">
        <v>756</v>
      </c>
      <c r="I11">
        <v>100</v>
      </c>
      <c r="J11">
        <v>26</v>
      </c>
      <c r="K11">
        <v>12</v>
      </c>
      <c r="L11">
        <v>100</v>
      </c>
      <c r="M11">
        <v>59.5</v>
      </c>
      <c r="N11">
        <v>27</v>
      </c>
      <c r="O11">
        <v>81</v>
      </c>
      <c r="P11" s="1">
        <v>11.489999999999998</v>
      </c>
      <c r="Q11" s="1">
        <v>38.299999999999997</v>
      </c>
      <c r="R11">
        <v>38.299999999999997</v>
      </c>
      <c r="S11" s="48">
        <v>1.6756015540827323E-2</v>
      </c>
      <c r="T11" s="48">
        <v>0.27920699999999998</v>
      </c>
      <c r="U11" t="s">
        <v>152</v>
      </c>
      <c r="V11">
        <v>35</v>
      </c>
      <c r="W11">
        <v>39</v>
      </c>
      <c r="X11" t="s">
        <v>1358</v>
      </c>
      <c r="AA11" t="s">
        <v>32</v>
      </c>
      <c r="AB11" t="s">
        <v>141</v>
      </c>
      <c r="AC11">
        <v>60</v>
      </c>
      <c r="AD11">
        <v>60</v>
      </c>
      <c r="AE11">
        <v>95</v>
      </c>
      <c r="AF11">
        <v>30</v>
      </c>
      <c r="AG11">
        <v>30</v>
      </c>
      <c r="AH11">
        <v>80</v>
      </c>
    </row>
    <row r="12" spans="1:34" x14ac:dyDescent="0.25">
      <c r="B12">
        <v>171</v>
      </c>
      <c r="C12" t="s">
        <v>38</v>
      </c>
      <c r="D12" t="s">
        <v>45</v>
      </c>
      <c r="E12" t="s">
        <v>772</v>
      </c>
      <c r="F12" t="s">
        <v>773</v>
      </c>
      <c r="G12" t="s">
        <v>774</v>
      </c>
      <c r="H12" t="s">
        <v>775</v>
      </c>
      <c r="I12">
        <v>85</v>
      </c>
      <c r="J12">
        <v>34</v>
      </c>
      <c r="K12">
        <v>39</v>
      </c>
      <c r="L12">
        <v>100</v>
      </c>
      <c r="M12">
        <v>64.5</v>
      </c>
      <c r="N12">
        <v>34</v>
      </c>
      <c r="O12">
        <v>84</v>
      </c>
      <c r="P12" s="1">
        <v>32.129999999999995</v>
      </c>
      <c r="Q12" s="1">
        <v>48.195</v>
      </c>
      <c r="R12">
        <v>53.55</v>
      </c>
      <c r="S12" s="48">
        <v>6.9933722942309567E-2</v>
      </c>
      <c r="T12" s="48">
        <v>0.80967599999999984</v>
      </c>
      <c r="U12" t="s">
        <v>152</v>
      </c>
      <c r="V12">
        <v>35</v>
      </c>
      <c r="W12">
        <v>54</v>
      </c>
      <c r="X12">
        <v>12.075000000000003</v>
      </c>
      <c r="AA12" t="s">
        <v>33</v>
      </c>
      <c r="AB12" t="s">
        <v>148</v>
      </c>
      <c r="AC12">
        <v>100</v>
      </c>
      <c r="AD12">
        <v>80</v>
      </c>
      <c r="AE12">
        <v>10</v>
      </c>
      <c r="AF12">
        <v>90</v>
      </c>
      <c r="AG12">
        <v>85</v>
      </c>
      <c r="AH12">
        <v>75</v>
      </c>
    </row>
    <row r="13" spans="1:34" x14ac:dyDescent="0.25">
      <c r="B13">
        <v>187</v>
      </c>
      <c r="C13" t="s">
        <v>39</v>
      </c>
      <c r="D13" t="s">
        <v>53</v>
      </c>
      <c r="E13" t="s">
        <v>750</v>
      </c>
      <c r="F13" t="s">
        <v>711</v>
      </c>
      <c r="G13" t="s">
        <v>751</v>
      </c>
      <c r="H13" t="s">
        <v>752</v>
      </c>
      <c r="I13">
        <v>75</v>
      </c>
      <c r="J13">
        <v>100</v>
      </c>
      <c r="K13">
        <v>18</v>
      </c>
      <c r="L13">
        <v>71</v>
      </c>
      <c r="M13">
        <v>66</v>
      </c>
      <c r="N13">
        <v>94</v>
      </c>
      <c r="O13">
        <v>103</v>
      </c>
      <c r="P13" s="1">
        <v>74.099999999999994</v>
      </c>
      <c r="Q13" s="1">
        <v>22.229999999999997</v>
      </c>
      <c r="R13">
        <v>74.099999999999994</v>
      </c>
      <c r="S13" s="48">
        <v>0.23459833251010195</v>
      </c>
      <c r="T13" s="48">
        <v>2.2896899999999998</v>
      </c>
      <c r="U13" t="s">
        <v>153</v>
      </c>
      <c r="V13">
        <v>35</v>
      </c>
      <c r="W13">
        <v>75</v>
      </c>
      <c r="X13">
        <v>32.849999999999994</v>
      </c>
      <c r="AA13" t="s">
        <v>34</v>
      </c>
      <c r="AB13" t="s">
        <v>146</v>
      </c>
      <c r="AC13">
        <v>65</v>
      </c>
      <c r="AD13">
        <v>45</v>
      </c>
      <c r="AE13">
        <v>55</v>
      </c>
      <c r="AF13">
        <v>60</v>
      </c>
      <c r="AG13">
        <v>85</v>
      </c>
      <c r="AH13">
        <v>30</v>
      </c>
    </row>
    <row r="14" spans="1:34" x14ac:dyDescent="0.25">
      <c r="B14">
        <v>206</v>
      </c>
      <c r="C14" t="s">
        <v>41</v>
      </c>
      <c r="D14" t="s">
        <v>46</v>
      </c>
      <c r="E14" t="s">
        <v>694</v>
      </c>
      <c r="F14" t="s">
        <v>695</v>
      </c>
      <c r="G14" t="s">
        <v>696</v>
      </c>
      <c r="H14" t="s">
        <v>697</v>
      </c>
      <c r="I14">
        <v>21</v>
      </c>
      <c r="J14">
        <v>5</v>
      </c>
      <c r="K14">
        <v>78</v>
      </c>
      <c r="L14">
        <v>35</v>
      </c>
      <c r="M14">
        <v>34.75</v>
      </c>
      <c r="N14">
        <v>74</v>
      </c>
      <c r="O14">
        <v>76</v>
      </c>
      <c r="P14" s="1">
        <v>18.225000000000001</v>
      </c>
      <c r="Q14" s="1">
        <v>12.15</v>
      </c>
      <c r="R14">
        <v>20.25</v>
      </c>
      <c r="S14" s="48">
        <v>8.3415337437352674E-2</v>
      </c>
      <c r="T14" s="48">
        <v>0.41553000000000007</v>
      </c>
      <c r="U14" t="s">
        <v>156</v>
      </c>
      <c r="V14">
        <v>35</v>
      </c>
      <c r="W14">
        <v>21</v>
      </c>
      <c r="X14" t="s">
        <v>1358</v>
      </c>
      <c r="AA14" t="s">
        <v>35</v>
      </c>
      <c r="AB14" t="s">
        <v>158</v>
      </c>
      <c r="AC14">
        <v>60</v>
      </c>
      <c r="AD14">
        <v>100</v>
      </c>
      <c r="AE14">
        <v>20</v>
      </c>
      <c r="AF14">
        <v>70</v>
      </c>
      <c r="AG14">
        <v>80</v>
      </c>
      <c r="AH14">
        <v>95</v>
      </c>
    </row>
    <row r="15" spans="1:34" x14ac:dyDescent="0.25">
      <c r="AA15" t="s">
        <v>36</v>
      </c>
      <c r="AB15" t="s">
        <v>150</v>
      </c>
      <c r="AC15">
        <v>60</v>
      </c>
      <c r="AD15">
        <v>70</v>
      </c>
      <c r="AE15">
        <v>80</v>
      </c>
      <c r="AF15">
        <v>80</v>
      </c>
      <c r="AG15">
        <v>50</v>
      </c>
      <c r="AH15">
        <v>60</v>
      </c>
    </row>
    <row r="16" spans="1:34" x14ac:dyDescent="0.25">
      <c r="AA16" t="s">
        <v>37</v>
      </c>
      <c r="AB16" t="s">
        <v>151</v>
      </c>
      <c r="AC16">
        <v>30</v>
      </c>
      <c r="AD16">
        <v>90</v>
      </c>
      <c r="AE16">
        <v>100</v>
      </c>
      <c r="AF16">
        <v>5</v>
      </c>
      <c r="AG16">
        <v>70</v>
      </c>
      <c r="AH16">
        <v>90</v>
      </c>
    </row>
    <row r="17" spans="1:34" x14ac:dyDescent="0.25">
      <c r="AA17" t="s">
        <v>38</v>
      </c>
      <c r="AB17" t="s">
        <v>152</v>
      </c>
      <c r="AC17">
        <v>95</v>
      </c>
      <c r="AD17">
        <v>40</v>
      </c>
      <c r="AE17">
        <v>30</v>
      </c>
      <c r="AF17">
        <v>100</v>
      </c>
      <c r="AG17">
        <v>30</v>
      </c>
      <c r="AH17">
        <v>85</v>
      </c>
    </row>
    <row r="18" spans="1:34" x14ac:dyDescent="0.25">
      <c r="AA18" t="s">
        <v>39</v>
      </c>
      <c r="AB18" t="s">
        <v>153</v>
      </c>
      <c r="AC18">
        <v>75</v>
      </c>
      <c r="AD18">
        <v>85</v>
      </c>
      <c r="AE18">
        <v>15</v>
      </c>
      <c r="AF18">
        <v>70</v>
      </c>
      <c r="AG18">
        <v>95</v>
      </c>
      <c r="AH18">
        <v>100</v>
      </c>
    </row>
    <row r="19" spans="1:34" x14ac:dyDescent="0.25">
      <c r="A19" t="s">
        <v>1363</v>
      </c>
      <c r="B19" t="s">
        <v>1359</v>
      </c>
      <c r="C19" t="s">
        <v>0</v>
      </c>
      <c r="D19" s="3" t="s">
        <v>7</v>
      </c>
      <c r="E19" s="3" t="s">
        <v>8</v>
      </c>
      <c r="F19" s="3" t="s">
        <v>9</v>
      </c>
      <c r="G19" s="3" t="s">
        <v>44</v>
      </c>
      <c r="H19" s="3" t="s">
        <v>50</v>
      </c>
      <c r="I19" s="3" t="s">
        <v>17</v>
      </c>
      <c r="J19" s="3" t="s">
        <v>14</v>
      </c>
      <c r="K19" s="3" t="s">
        <v>15</v>
      </c>
      <c r="L19" s="3" t="s">
        <v>16</v>
      </c>
      <c r="M19" s="3" t="s">
        <v>48</v>
      </c>
      <c r="N19" s="3" t="s">
        <v>3</v>
      </c>
      <c r="O19" s="3" t="s">
        <v>10</v>
      </c>
      <c r="P19" s="3" t="s">
        <v>1</v>
      </c>
      <c r="Q19" s="3" t="s">
        <v>12</v>
      </c>
      <c r="R19" s="3" t="s">
        <v>4</v>
      </c>
      <c r="S19" s="3" t="s">
        <v>49</v>
      </c>
      <c r="T19" s="3" t="s">
        <v>47</v>
      </c>
      <c r="U19" s="3" t="s">
        <v>138</v>
      </c>
      <c r="V19" s="3" t="s">
        <v>1354</v>
      </c>
      <c r="W19" s="3" t="s">
        <v>1355</v>
      </c>
      <c r="X19" s="3" t="s">
        <v>1458</v>
      </c>
      <c r="AA19" t="s">
        <v>40</v>
      </c>
      <c r="AB19" t="s">
        <v>154</v>
      </c>
      <c r="AC19">
        <v>45</v>
      </c>
      <c r="AD19">
        <v>65</v>
      </c>
      <c r="AE19">
        <v>70</v>
      </c>
      <c r="AF19">
        <v>70</v>
      </c>
      <c r="AG19">
        <v>55</v>
      </c>
      <c r="AH19">
        <v>85</v>
      </c>
    </row>
    <row r="20" spans="1:34" x14ac:dyDescent="0.25">
      <c r="A20" t="str">
        <f t="shared" ref="A20:A31" si="0">U3</f>
        <v>Tanzania</v>
      </c>
      <c r="B20">
        <f t="shared" ref="B20:E31" si="1">B3</f>
        <v>12</v>
      </c>
      <c r="C20" t="str">
        <f t="shared" si="1"/>
        <v>Lionheart Rovers</v>
      </c>
      <c r="D20" t="str">
        <f t="shared" si="1"/>
        <v>GK</v>
      </c>
      <c r="E20" t="str">
        <f t="shared" si="1"/>
        <v>Juma</v>
      </c>
      <c r="F20" t="str">
        <f t="shared" ref="F20:H31" si="2">_xlfn.CONCAT(F3," Jr.")</f>
        <v>Kipanga Jr.</v>
      </c>
      <c r="G20" t="str">
        <f t="shared" si="2"/>
        <v>J. Kipanga Jr.</v>
      </c>
      <c r="H20" t="str">
        <f t="shared" si="2"/>
        <v>Jasiri Jr.</v>
      </c>
      <c r="I20">
        <v>92</v>
      </c>
      <c r="J20">
        <v>88</v>
      </c>
      <c r="K20">
        <v>69</v>
      </c>
      <c r="L20">
        <v>89</v>
      </c>
      <c r="M20" s="5">
        <v>84.5</v>
      </c>
      <c r="N20">
        <v>95</v>
      </c>
      <c r="O20">
        <v>57</v>
      </c>
      <c r="U20" t="str">
        <f>U3</f>
        <v>Tanzania</v>
      </c>
      <c r="V20">
        <v>18</v>
      </c>
      <c r="W20">
        <v>117</v>
      </c>
      <c r="X20" s="49">
        <f>IF((M20*0.5)+((W20*0.5)-((V20-18)*0.1))-40&lt;0,"0",(M20*0.5)+((W20*0.5)-((V20-18)*0.1))-40)</f>
        <v>60.75</v>
      </c>
      <c r="AA20" t="s">
        <v>41</v>
      </c>
      <c r="AB20" t="s">
        <v>156</v>
      </c>
      <c r="AC20">
        <v>15</v>
      </c>
      <c r="AD20">
        <v>20</v>
      </c>
      <c r="AE20">
        <v>85</v>
      </c>
      <c r="AF20">
        <v>30</v>
      </c>
      <c r="AG20">
        <v>75</v>
      </c>
      <c r="AH20">
        <v>80</v>
      </c>
    </row>
    <row r="21" spans="1:34" x14ac:dyDescent="0.25">
      <c r="A21" t="str">
        <f t="shared" si="0"/>
        <v>Tanzania</v>
      </c>
      <c r="B21">
        <f t="shared" si="1"/>
        <v>14</v>
      </c>
      <c r="C21" t="str">
        <f t="shared" si="1"/>
        <v>Lionheart Rovers</v>
      </c>
      <c r="D21" t="str">
        <f t="shared" si="1"/>
        <v>CB</v>
      </c>
      <c r="E21" t="str">
        <f t="shared" si="1"/>
        <v>Baraka</v>
      </c>
      <c r="F21" t="str">
        <f t="shared" si="2"/>
        <v>Lema Jr.</v>
      </c>
      <c r="G21" t="str">
        <f t="shared" si="2"/>
        <v>B. Lema Jr.</v>
      </c>
      <c r="H21" t="str">
        <f t="shared" si="2"/>
        <v>Lema Jr.</v>
      </c>
      <c r="I21">
        <v>74</v>
      </c>
      <c r="J21">
        <v>90</v>
      </c>
      <c r="K21">
        <v>89</v>
      </c>
      <c r="L21">
        <v>92</v>
      </c>
      <c r="M21" s="5">
        <v>86.25</v>
      </c>
      <c r="N21">
        <v>76</v>
      </c>
      <c r="O21">
        <v>48</v>
      </c>
      <c r="U21" t="str">
        <f t="shared" ref="U21:U31" si="3">U4</f>
        <v>Tanzania</v>
      </c>
      <c r="V21">
        <v>18</v>
      </c>
      <c r="W21">
        <v>110</v>
      </c>
      <c r="X21" s="49">
        <f t="shared" ref="X21:X31" si="4">IF((M21*0.5)+((W21*0.5)-((V21-18)*0.1))-40&lt;0,"0",(M21*0.5)+((W21*0.5)-((V21-18)*0.1))-40)</f>
        <v>58.125</v>
      </c>
      <c r="AA21" t="s">
        <v>42</v>
      </c>
      <c r="AB21" t="s">
        <v>155</v>
      </c>
      <c r="AC21">
        <v>60</v>
      </c>
      <c r="AD21">
        <v>90</v>
      </c>
      <c r="AE21">
        <v>95</v>
      </c>
      <c r="AF21">
        <v>40</v>
      </c>
      <c r="AG21">
        <v>10</v>
      </c>
      <c r="AH21">
        <v>75</v>
      </c>
    </row>
    <row r="22" spans="1:34" x14ac:dyDescent="0.25">
      <c r="A22" t="str">
        <f t="shared" si="0"/>
        <v>Indian</v>
      </c>
      <c r="B22">
        <f t="shared" si="1"/>
        <v>24</v>
      </c>
      <c r="C22" t="str">
        <f t="shared" si="1"/>
        <v>Cobra Strike FC</v>
      </c>
      <c r="D22" t="str">
        <f t="shared" si="1"/>
        <v>LB</v>
      </c>
      <c r="E22" t="str">
        <f t="shared" si="1"/>
        <v>Rohan</v>
      </c>
      <c r="F22" t="str">
        <f t="shared" si="2"/>
        <v>Gupta Jr.</v>
      </c>
      <c r="G22" t="str">
        <f t="shared" si="2"/>
        <v>R. Gupta Jr.</v>
      </c>
      <c r="H22" t="str">
        <f t="shared" si="2"/>
        <v>Raj Jr.</v>
      </c>
      <c r="I22">
        <v>80</v>
      </c>
      <c r="J22">
        <v>38</v>
      </c>
      <c r="K22">
        <v>29</v>
      </c>
      <c r="L22">
        <v>45</v>
      </c>
      <c r="M22" s="5">
        <v>48</v>
      </c>
      <c r="N22">
        <v>84</v>
      </c>
      <c r="O22">
        <v>113</v>
      </c>
      <c r="U22" t="str">
        <f t="shared" si="3"/>
        <v>Indian</v>
      </c>
      <c r="V22">
        <v>18</v>
      </c>
      <c r="W22">
        <v>53</v>
      </c>
      <c r="X22" s="49">
        <f t="shared" si="4"/>
        <v>10.5</v>
      </c>
    </row>
    <row r="23" spans="1:34" x14ac:dyDescent="0.25">
      <c r="A23" t="str">
        <f t="shared" si="0"/>
        <v>Chile</v>
      </c>
      <c r="B23">
        <f t="shared" si="1"/>
        <v>35</v>
      </c>
      <c r="C23" t="str">
        <f t="shared" si="1"/>
        <v>Falcon Flyers</v>
      </c>
      <c r="D23" t="str">
        <f t="shared" si="1"/>
        <v>LB</v>
      </c>
      <c r="E23" t="str">
        <f t="shared" si="1"/>
        <v>Lucas</v>
      </c>
      <c r="F23" t="str">
        <f t="shared" si="2"/>
        <v>López Jr.</v>
      </c>
      <c r="G23" t="str">
        <f t="shared" si="2"/>
        <v>L. López Jr.</v>
      </c>
      <c r="H23" t="str">
        <f t="shared" si="2"/>
        <v>Lince Jr.</v>
      </c>
      <c r="I23">
        <v>89</v>
      </c>
      <c r="J23">
        <v>52</v>
      </c>
      <c r="K23">
        <v>41</v>
      </c>
      <c r="L23">
        <v>-5</v>
      </c>
      <c r="M23" s="5">
        <v>44.25</v>
      </c>
      <c r="N23">
        <v>98</v>
      </c>
      <c r="O23">
        <v>78</v>
      </c>
      <c r="U23" t="str">
        <f t="shared" si="3"/>
        <v>Chile</v>
      </c>
      <c r="V23">
        <v>18</v>
      </c>
      <c r="W23">
        <v>64</v>
      </c>
      <c r="X23" s="49">
        <f t="shared" si="4"/>
        <v>14.125</v>
      </c>
    </row>
    <row r="24" spans="1:34" x14ac:dyDescent="0.25">
      <c r="A24" t="str">
        <f t="shared" si="0"/>
        <v>Australia</v>
      </c>
      <c r="B24">
        <f t="shared" si="1"/>
        <v>49</v>
      </c>
      <c r="C24" t="str">
        <f t="shared" si="1"/>
        <v>Sharkfin Athletic</v>
      </c>
      <c r="D24" t="str">
        <f t="shared" si="1"/>
        <v>RB</v>
      </c>
      <c r="E24" t="str">
        <f t="shared" si="1"/>
        <v>William</v>
      </c>
      <c r="F24" t="str">
        <f t="shared" si="2"/>
        <v>Walker Jr.</v>
      </c>
      <c r="G24" t="str">
        <f t="shared" si="2"/>
        <v>W. Walker Jr.</v>
      </c>
      <c r="H24" t="str">
        <f t="shared" si="2"/>
        <v>Wave Jr.</v>
      </c>
      <c r="I24">
        <v>63</v>
      </c>
      <c r="J24">
        <v>65</v>
      </c>
      <c r="K24">
        <v>48</v>
      </c>
      <c r="L24">
        <v>79</v>
      </c>
      <c r="M24" s="5">
        <v>63.75</v>
      </c>
      <c r="N24">
        <v>72</v>
      </c>
      <c r="O24">
        <v>50</v>
      </c>
      <c r="U24" t="str">
        <f t="shared" si="3"/>
        <v>Australia</v>
      </c>
      <c r="V24">
        <v>18</v>
      </c>
      <c r="W24">
        <v>70</v>
      </c>
      <c r="X24" s="49">
        <f t="shared" si="4"/>
        <v>26.875</v>
      </c>
    </row>
    <row r="25" spans="1:34" x14ac:dyDescent="0.25">
      <c r="A25" t="str">
        <f t="shared" si="0"/>
        <v>Columbia</v>
      </c>
      <c r="B25">
        <f t="shared" si="1"/>
        <v>115</v>
      </c>
      <c r="C25" t="str">
        <f t="shared" si="1"/>
        <v>Hawk Haven</v>
      </c>
      <c r="D25" t="str">
        <f t="shared" si="1"/>
        <v>RB</v>
      </c>
      <c r="E25" t="str">
        <f t="shared" si="1"/>
        <v>Alejandro</v>
      </c>
      <c r="F25" t="str">
        <f t="shared" si="2"/>
        <v>Álvarez Jr.</v>
      </c>
      <c r="G25" t="str">
        <f t="shared" si="2"/>
        <v>A. Álvarez Jr.</v>
      </c>
      <c r="H25" t="str">
        <f t="shared" si="2"/>
        <v>Aguileño Jr.</v>
      </c>
      <c r="I25">
        <v>105</v>
      </c>
      <c r="J25">
        <v>85</v>
      </c>
      <c r="K25">
        <v>88</v>
      </c>
      <c r="L25">
        <v>15</v>
      </c>
      <c r="M25" s="5">
        <v>73.25</v>
      </c>
      <c r="N25">
        <v>84</v>
      </c>
      <c r="O25">
        <v>100</v>
      </c>
      <c r="U25" t="str">
        <f t="shared" si="3"/>
        <v>Columbia</v>
      </c>
      <c r="V25">
        <v>18</v>
      </c>
      <c r="W25">
        <v>83</v>
      </c>
      <c r="X25" s="49">
        <f t="shared" si="4"/>
        <v>38.125</v>
      </c>
    </row>
    <row r="26" spans="1:34" x14ac:dyDescent="0.25">
      <c r="A26" t="str">
        <f t="shared" si="0"/>
        <v>Botswana</v>
      </c>
      <c r="B26">
        <f t="shared" si="1"/>
        <v>156</v>
      </c>
      <c r="C26" t="str">
        <f t="shared" si="1"/>
        <v>Elephant Elites</v>
      </c>
      <c r="D26" t="str">
        <f t="shared" si="1"/>
        <v>LB</v>
      </c>
      <c r="E26" t="str">
        <f t="shared" si="1"/>
        <v>Kagiso</v>
      </c>
      <c r="F26" t="str">
        <f t="shared" si="2"/>
        <v>Khama Jr.</v>
      </c>
      <c r="G26" t="str">
        <f t="shared" si="2"/>
        <v>K. Khama Jr.</v>
      </c>
      <c r="H26" t="str">
        <f t="shared" si="2"/>
        <v>Kalahari Jr.</v>
      </c>
      <c r="I26">
        <v>23</v>
      </c>
      <c r="J26">
        <v>79</v>
      </c>
      <c r="K26">
        <v>75</v>
      </c>
      <c r="L26">
        <v>85</v>
      </c>
      <c r="M26" s="5">
        <v>65.5</v>
      </c>
      <c r="N26">
        <v>9</v>
      </c>
      <c r="O26">
        <v>60</v>
      </c>
      <c r="U26" t="str">
        <f t="shared" si="3"/>
        <v>Botswana</v>
      </c>
      <c r="V26">
        <v>18</v>
      </c>
      <c r="W26">
        <v>72</v>
      </c>
      <c r="X26" s="49">
        <f t="shared" si="4"/>
        <v>28.75</v>
      </c>
    </row>
    <row r="27" spans="1:34" x14ac:dyDescent="0.25">
      <c r="A27" t="str">
        <f t="shared" si="0"/>
        <v>Botswana</v>
      </c>
      <c r="B27">
        <f t="shared" si="1"/>
        <v>160</v>
      </c>
      <c r="C27" t="str">
        <f t="shared" si="1"/>
        <v>Elephant Elites</v>
      </c>
      <c r="D27" t="str">
        <f t="shared" si="1"/>
        <v>CDM</v>
      </c>
      <c r="E27" t="str">
        <f t="shared" si="1"/>
        <v>Lerato</v>
      </c>
      <c r="F27" t="str">
        <f t="shared" si="2"/>
        <v>Lekgari Jr.</v>
      </c>
      <c r="G27" t="str">
        <f t="shared" si="2"/>
        <v>L. Lekgari Jr.</v>
      </c>
      <c r="H27" t="str">
        <f t="shared" si="2"/>
        <v>Leviathan Jr.</v>
      </c>
      <c r="I27">
        <v>22</v>
      </c>
      <c r="J27">
        <v>95</v>
      </c>
      <c r="K27">
        <v>91</v>
      </c>
      <c r="L27">
        <v>111</v>
      </c>
      <c r="M27" s="5">
        <v>79.75</v>
      </c>
      <c r="N27">
        <v>13</v>
      </c>
      <c r="O27">
        <v>78</v>
      </c>
      <c r="U27" t="str">
        <f t="shared" si="3"/>
        <v>Botswana</v>
      </c>
      <c r="V27">
        <v>18</v>
      </c>
      <c r="W27">
        <v>106</v>
      </c>
      <c r="X27" s="49">
        <f t="shared" si="4"/>
        <v>52.875</v>
      </c>
    </row>
    <row r="28" spans="1:34" x14ac:dyDescent="0.25">
      <c r="A28" t="str">
        <f t="shared" si="0"/>
        <v>Kenya</v>
      </c>
      <c r="B28">
        <f t="shared" si="1"/>
        <v>169</v>
      </c>
      <c r="C28" t="str">
        <f t="shared" si="1"/>
        <v>Cheetah Chasers</v>
      </c>
      <c r="D28" t="str">
        <f t="shared" si="1"/>
        <v>CB</v>
      </c>
      <c r="E28" t="str">
        <f t="shared" si="1"/>
        <v>Kibet</v>
      </c>
      <c r="F28" t="str">
        <f t="shared" si="2"/>
        <v>Korir Jr.</v>
      </c>
      <c r="G28" t="str">
        <f t="shared" si="2"/>
        <v>K. Korir Jr.</v>
      </c>
      <c r="H28" t="str">
        <f t="shared" si="2"/>
        <v>Kasi Jr.</v>
      </c>
      <c r="I28">
        <v>88</v>
      </c>
      <c r="J28">
        <v>42</v>
      </c>
      <c r="K28">
        <v>53</v>
      </c>
      <c r="L28">
        <v>19</v>
      </c>
      <c r="M28" s="5">
        <v>50.5</v>
      </c>
      <c r="N28">
        <v>86</v>
      </c>
      <c r="O28">
        <v>37</v>
      </c>
      <c r="U28" t="str">
        <f t="shared" si="3"/>
        <v>Kenya</v>
      </c>
      <c r="V28">
        <v>18</v>
      </c>
      <c r="W28">
        <v>66</v>
      </c>
      <c r="X28" s="49">
        <f t="shared" si="4"/>
        <v>18.25</v>
      </c>
    </row>
    <row r="29" spans="1:34" x14ac:dyDescent="0.25">
      <c r="A29" t="str">
        <f t="shared" si="0"/>
        <v>Kenya</v>
      </c>
      <c r="B29">
        <f t="shared" si="1"/>
        <v>171</v>
      </c>
      <c r="C29" t="str">
        <f t="shared" si="1"/>
        <v>Cheetah Chasers</v>
      </c>
      <c r="D29" t="str">
        <f t="shared" si="1"/>
        <v>CDM</v>
      </c>
      <c r="E29" t="str">
        <f t="shared" si="1"/>
        <v>Gitonga</v>
      </c>
      <c r="F29" t="str">
        <f t="shared" si="2"/>
        <v>Gachanja Jr.</v>
      </c>
      <c r="G29" t="str">
        <f t="shared" si="2"/>
        <v>G. Gachanja Jr.</v>
      </c>
      <c r="H29" t="str">
        <f t="shared" si="2"/>
        <v>Gazelle Jr.</v>
      </c>
      <c r="I29">
        <v>105</v>
      </c>
      <c r="J29">
        <v>49</v>
      </c>
      <c r="K29">
        <v>32</v>
      </c>
      <c r="L29">
        <v>35</v>
      </c>
      <c r="M29" s="5">
        <v>55.25</v>
      </c>
      <c r="N29">
        <v>98</v>
      </c>
      <c r="O29">
        <v>17</v>
      </c>
      <c r="U29" t="str">
        <f t="shared" si="3"/>
        <v>Kenya</v>
      </c>
      <c r="V29">
        <v>18</v>
      </c>
      <c r="W29">
        <v>70</v>
      </c>
      <c r="X29" s="49">
        <f t="shared" si="4"/>
        <v>22.625</v>
      </c>
    </row>
    <row r="30" spans="1:34" x14ac:dyDescent="0.25">
      <c r="A30" t="str">
        <f t="shared" si="0"/>
        <v>Iceland</v>
      </c>
      <c r="B30">
        <f t="shared" si="1"/>
        <v>187</v>
      </c>
      <c r="C30" t="str">
        <f t="shared" si="1"/>
        <v>Raven Raiders</v>
      </c>
      <c r="D30" t="str">
        <f t="shared" si="1"/>
        <v>RW</v>
      </c>
      <c r="E30" t="str">
        <f t="shared" si="1"/>
        <v>Stefán</v>
      </c>
      <c r="F30" t="str">
        <f t="shared" si="2"/>
        <v>Sigurðsson Jr.</v>
      </c>
      <c r="G30" t="str">
        <f t="shared" si="2"/>
        <v>S. Sigurðsson Jr.</v>
      </c>
      <c r="H30" t="str">
        <f t="shared" si="2"/>
        <v>Sleipnir Jr.</v>
      </c>
      <c r="I30">
        <v>88</v>
      </c>
      <c r="J30">
        <v>85</v>
      </c>
      <c r="K30">
        <v>93</v>
      </c>
      <c r="L30">
        <v>30</v>
      </c>
      <c r="M30" s="5">
        <v>74</v>
      </c>
      <c r="N30">
        <v>68</v>
      </c>
      <c r="O30">
        <v>105</v>
      </c>
      <c r="U30" t="str">
        <f t="shared" si="3"/>
        <v>Iceland</v>
      </c>
      <c r="V30">
        <v>18</v>
      </c>
      <c r="W30">
        <v>102</v>
      </c>
      <c r="X30" s="49">
        <f t="shared" si="4"/>
        <v>48</v>
      </c>
    </row>
    <row r="31" spans="1:34" x14ac:dyDescent="0.25">
      <c r="A31" t="str">
        <f t="shared" si="0"/>
        <v>Pakistan</v>
      </c>
      <c r="B31">
        <f t="shared" si="1"/>
        <v>206</v>
      </c>
      <c r="C31" t="str">
        <f t="shared" si="1"/>
        <v>Buffalo Battlers</v>
      </c>
      <c r="D31" t="str">
        <f t="shared" si="1"/>
        <v>CAM</v>
      </c>
      <c r="E31" t="str">
        <f t="shared" si="1"/>
        <v>Rashid</v>
      </c>
      <c r="F31" t="str">
        <f t="shared" si="2"/>
        <v>Rahman Jr.</v>
      </c>
      <c r="G31" t="str">
        <f t="shared" si="2"/>
        <v>R. Rahman Jr.</v>
      </c>
      <c r="H31" t="str">
        <f t="shared" si="2"/>
        <v>Raees Jr.</v>
      </c>
      <c r="I31">
        <v>0</v>
      </c>
      <c r="J31">
        <v>19</v>
      </c>
      <c r="K31">
        <v>22</v>
      </c>
      <c r="L31">
        <v>70</v>
      </c>
      <c r="M31" s="5">
        <v>27.75</v>
      </c>
      <c r="N31">
        <v>42</v>
      </c>
      <c r="O31">
        <v>81</v>
      </c>
      <c r="U31" t="str">
        <f t="shared" si="3"/>
        <v>Pakistan</v>
      </c>
      <c r="V31">
        <v>18</v>
      </c>
      <c r="W31">
        <v>57</v>
      </c>
      <c r="X31" s="49">
        <f t="shared" si="4"/>
        <v>2.375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5C066-9501-4A60-B898-82D222D2D9BB}">
  <sheetPr codeName="Sheet12">
    <tabColor theme="4"/>
  </sheetPr>
  <dimension ref="A1:V54"/>
  <sheetViews>
    <sheetView workbookViewId="0">
      <selection activeCell="J7" sqref="J7"/>
    </sheetView>
  </sheetViews>
  <sheetFormatPr defaultRowHeight="15" x14ac:dyDescent="0.25"/>
  <cols>
    <col min="2" max="2" width="10.5703125" bestFit="1" customWidth="1"/>
    <col min="3" max="3" width="10.140625" bestFit="1" customWidth="1"/>
    <col min="4" max="4" width="11.85546875" bestFit="1" customWidth="1"/>
    <col min="5" max="5" width="9.28515625" bestFit="1" customWidth="1"/>
  </cols>
  <sheetData>
    <row r="1" spans="1:22" x14ac:dyDescent="0.25">
      <c r="A1" s="3" t="s">
        <v>19</v>
      </c>
      <c r="B1" s="6" t="s">
        <v>30</v>
      </c>
    </row>
    <row r="2" spans="1:22" x14ac:dyDescent="0.25">
      <c r="A2" s="3" t="s">
        <v>20</v>
      </c>
      <c r="B2" s="6" t="s">
        <v>91</v>
      </c>
    </row>
    <row r="3" spans="1:22" x14ac:dyDescent="0.25">
      <c r="A3" s="3" t="s">
        <v>138</v>
      </c>
      <c r="B3" s="6" t="str">
        <f>VLOOKUP(B1,STATS!L1:AA21,16,FALSE)</f>
        <v>Zimbabwe</v>
      </c>
    </row>
    <row r="4" spans="1:22" x14ac:dyDescent="0.25">
      <c r="A4" s="3" t="s">
        <v>22</v>
      </c>
      <c r="B4" s="1">
        <f>((B20+C20)/2)*((D20+50)/100)</f>
        <v>42.138081818181824</v>
      </c>
      <c r="F4">
        <f>VLOOKUP($B$1,STATS!$L$1:$Q$21,3,FALSE)</f>
        <v>20</v>
      </c>
      <c r="G4">
        <f>VLOOKUP($B$1,STATS!$L$1:$Q$21,4,FALSE)</f>
        <v>40</v>
      </c>
      <c r="H4">
        <f>VLOOKUP($B$1,STATS!$L$1:$Q$21,5,FALSE)</f>
        <v>90</v>
      </c>
      <c r="I4">
        <f>VLOOKUP($B$1,STATS!$L$1:$Q$21,6,FALSE)</f>
        <v>50</v>
      </c>
      <c r="J4">
        <f>AVERAGE(F4:I4)</f>
        <v>50</v>
      </c>
      <c r="K4">
        <v>40</v>
      </c>
      <c r="L4">
        <v>30</v>
      </c>
    </row>
    <row r="5" spans="1:22" x14ac:dyDescent="0.25">
      <c r="F5" s="12">
        <f t="shared" ref="F5:L5" si="0">AVERAGE(F7:F17)</f>
        <v>19.90909090909091</v>
      </c>
      <c r="G5" s="12">
        <f t="shared" si="0"/>
        <v>41.454545454545453</v>
      </c>
      <c r="H5" s="12">
        <f t="shared" si="0"/>
        <v>88.727272727272734</v>
      </c>
      <c r="I5" s="12">
        <f t="shared" si="0"/>
        <v>52.090909090909093</v>
      </c>
      <c r="J5" s="12">
        <f t="shared" si="0"/>
        <v>50.545454545454547</v>
      </c>
      <c r="K5" s="12">
        <f t="shared" si="0"/>
        <v>40.090909090909093</v>
      </c>
      <c r="L5" s="12">
        <f t="shared" si="0"/>
        <v>30.09090909090909</v>
      </c>
      <c r="M5" s="12">
        <f t="shared" ref="M5" si="1">AVERAGE(M7:M17)</f>
        <v>27.905454545454543</v>
      </c>
      <c r="N5" s="12">
        <f>AVERAGE(N7:N17)</f>
        <v>38.984772727272734</v>
      </c>
      <c r="O5" s="12">
        <f>AVERAGE(O7:O17)</f>
        <v>50.475000000000001</v>
      </c>
    </row>
    <row r="6" spans="1:22" x14ac:dyDescent="0.25">
      <c r="A6" s="3" t="s">
        <v>7</v>
      </c>
      <c r="B6" s="3" t="s">
        <v>8</v>
      </c>
      <c r="C6" s="3" t="s">
        <v>9</v>
      </c>
      <c r="D6" s="3" t="s">
        <v>44</v>
      </c>
      <c r="E6" s="3" t="s">
        <v>50</v>
      </c>
      <c r="F6" s="3" t="s">
        <v>17</v>
      </c>
      <c r="G6" s="3" t="s">
        <v>14</v>
      </c>
      <c r="H6" s="3" t="s">
        <v>15</v>
      </c>
      <c r="I6" s="3" t="s">
        <v>16</v>
      </c>
      <c r="J6" s="3" t="s">
        <v>48</v>
      </c>
      <c r="K6" s="3" t="s">
        <v>3</v>
      </c>
      <c r="L6" s="3" t="s">
        <v>10</v>
      </c>
      <c r="M6" s="3" t="s">
        <v>1</v>
      </c>
      <c r="N6" s="3" t="s">
        <v>12</v>
      </c>
      <c r="O6" s="3" t="s">
        <v>4</v>
      </c>
      <c r="P6" s="3" t="s">
        <v>49</v>
      </c>
      <c r="Q6" s="3" t="s">
        <v>47</v>
      </c>
      <c r="R6" s="3" t="s">
        <v>138</v>
      </c>
      <c r="S6" s="3" t="s">
        <v>1354</v>
      </c>
      <c r="T6" s="3" t="s">
        <v>1355</v>
      </c>
      <c r="U6" s="3" t="s">
        <v>1356</v>
      </c>
      <c r="V6" s="3" t="s">
        <v>13</v>
      </c>
    </row>
    <row r="7" spans="1:22" x14ac:dyDescent="0.25">
      <c r="A7" s="8" t="str">
        <f>'All Players'!C81</f>
        <v>GK</v>
      </c>
      <c r="B7" s="8" t="str">
        <f>'All Players'!D81</f>
        <v>Takudzwa</v>
      </c>
      <c r="C7" s="8" t="str">
        <f>'All Players'!E81</f>
        <v>Chirwa</v>
      </c>
      <c r="D7" s="8" t="str">
        <f>'All Players'!F81</f>
        <v>T. Chirwa</v>
      </c>
      <c r="E7" s="8" t="str">
        <f>'All Players'!G81</f>
        <v>Tank</v>
      </c>
      <c r="F7" s="8">
        <f>'All Players'!H81</f>
        <v>4</v>
      </c>
      <c r="G7" s="8">
        <f>'All Players'!I81</f>
        <v>58</v>
      </c>
      <c r="H7" s="8">
        <f>'All Players'!J81</f>
        <v>92</v>
      </c>
      <c r="I7" s="8">
        <f>'All Players'!K81</f>
        <v>66</v>
      </c>
      <c r="J7" s="5">
        <f t="shared" ref="J7" si="2">AVERAGE(F7:I7)</f>
        <v>55</v>
      </c>
      <c r="K7" s="8">
        <f>'All Players'!M81</f>
        <v>38</v>
      </c>
      <c r="L7" s="8">
        <f>'All Players'!N81</f>
        <v>33</v>
      </c>
      <c r="M7" s="4">
        <f>AVERAGE(F7:I7)*0</f>
        <v>0</v>
      </c>
      <c r="N7" s="5">
        <f>O7</f>
        <v>41</v>
      </c>
      <c r="O7" s="11">
        <f>F7*Formuals!B2+G7*Formuals!C2+H7*Formuals!D2+I7*Formuals!E2</f>
        <v>41</v>
      </c>
      <c r="P7" s="10">
        <f>((M7/SUM($M$7:$M$17)))</f>
        <v>0</v>
      </c>
      <c r="Q7" s="10">
        <f>((M7/100)*(L7/100))*3</f>
        <v>0</v>
      </c>
      <c r="R7" s="8" t="str">
        <f>'All Players'!T81</f>
        <v>Zimbabwe</v>
      </c>
      <c r="S7" s="8">
        <f>'All Players'!U81</f>
        <v>28</v>
      </c>
      <c r="T7" s="8">
        <f>'All Players'!V81</f>
        <v>50</v>
      </c>
      <c r="U7" s="49">
        <f t="shared" ref="U7:U17" si="3">IF((O7*0.5)+((T7*0.5)-((S7-18)*0.1))-40&lt;0,"0",(O7*0.5)+((T7*0.5)-((S7-18)*0.1))-40)</f>
        <v>4.5</v>
      </c>
      <c r="V7" s="6" t="str">
        <f>A24</f>
        <v>Known for his robust and formidable presence in goal, reminiscent of a rhino's strength.</v>
      </c>
    </row>
    <row r="8" spans="1:22" x14ac:dyDescent="0.25">
      <c r="A8" s="8" t="str">
        <f>'All Players'!C82</f>
        <v>LB</v>
      </c>
      <c r="B8" s="8" t="str">
        <f>'All Players'!D82</f>
        <v>Tinashe</v>
      </c>
      <c r="C8" s="8" t="str">
        <f>'All Players'!E82</f>
        <v>Moyo</v>
      </c>
      <c r="D8" s="8" t="str">
        <f>'All Players'!F82</f>
        <v>T. Moyo</v>
      </c>
      <c r="E8" s="8" t="str">
        <f>'All Players'!G82</f>
        <v>Thunder</v>
      </c>
      <c r="F8" s="8">
        <f>'All Players'!H82</f>
        <v>20</v>
      </c>
      <c r="G8" s="8">
        <f>'All Players'!I82</f>
        <v>31</v>
      </c>
      <c r="H8" s="8">
        <f>'All Players'!J82</f>
        <v>97</v>
      </c>
      <c r="I8" s="8">
        <f>'All Players'!K82</f>
        <v>64</v>
      </c>
      <c r="J8" s="5">
        <f t="shared" ref="J8:J17" si="4">AVERAGE(F8:I8)</f>
        <v>53</v>
      </c>
      <c r="K8" s="8">
        <f>'All Players'!M82</f>
        <v>38</v>
      </c>
      <c r="L8" s="8">
        <f>'All Players'!N82</f>
        <v>28</v>
      </c>
      <c r="M8" s="5">
        <f>0.4*O8</f>
        <v>24.939999999999998</v>
      </c>
      <c r="N8" s="5">
        <f>0.9*O8</f>
        <v>56.114999999999995</v>
      </c>
      <c r="O8" s="11">
        <f>F8*Formuals!B3+G8*Formuals!C3+H8*Formuals!D3+I8*Formuals!E3</f>
        <v>62.349999999999994</v>
      </c>
      <c r="P8" s="10">
        <f t="shared" ref="P8:P10" si="5">((M8/SUM($M$7:$M$17)))*0.67</f>
        <v>5.4436408652593173E-2</v>
      </c>
      <c r="Q8" s="10">
        <f t="shared" ref="Q8:Q17" si="6">((M8/100)*(L8/100))*3</f>
        <v>0.20949600000000002</v>
      </c>
      <c r="R8" s="8" t="str">
        <f>'All Players'!T82</f>
        <v>Zimbabwe</v>
      </c>
      <c r="S8" s="8">
        <f>'All Players'!U82</f>
        <v>21</v>
      </c>
      <c r="T8" s="8">
        <f>'All Players'!V82</f>
        <v>76</v>
      </c>
      <c r="U8" s="49">
        <f t="shared" si="3"/>
        <v>28.875</v>
      </c>
      <c r="V8" s="6" t="str">
        <f>A27</f>
        <v>His powerful play and thunderous tackles make him a force on the defensive flank.</v>
      </c>
    </row>
    <row r="9" spans="1:22" x14ac:dyDescent="0.25">
      <c r="A9" s="8" t="str">
        <f>'All Players'!C83</f>
        <v>CB</v>
      </c>
      <c r="B9" s="8" t="str">
        <f>'All Players'!D83</f>
        <v>Farai</v>
      </c>
      <c r="C9" s="8" t="str">
        <f>'All Players'!E83</f>
        <v>Nyoni</v>
      </c>
      <c r="D9" s="8" t="str">
        <f>'All Players'!F83</f>
        <v>F. Nyoni</v>
      </c>
      <c r="E9" s="8" t="str">
        <f>'All Players'!G83</f>
        <v>Fury</v>
      </c>
      <c r="F9" s="8">
        <f>'All Players'!H83</f>
        <v>22</v>
      </c>
      <c r="G9" s="8">
        <f>'All Players'!I83</f>
        <v>40</v>
      </c>
      <c r="H9" s="8">
        <f>'All Players'!J83</f>
        <v>87</v>
      </c>
      <c r="I9" s="8">
        <f>'All Players'!K83</f>
        <v>41</v>
      </c>
      <c r="J9" s="5">
        <f t="shared" si="4"/>
        <v>47.5</v>
      </c>
      <c r="K9" s="8">
        <f>'All Players'!M83</f>
        <v>36</v>
      </c>
      <c r="L9" s="8">
        <f>'All Players'!N83</f>
        <v>31</v>
      </c>
      <c r="M9" s="5">
        <f>O9*0.3</f>
        <v>19.477499999999999</v>
      </c>
      <c r="N9" s="5">
        <f>O9</f>
        <v>64.924999999999997</v>
      </c>
      <c r="O9" s="11">
        <f>F9*Formuals!B4+G9*Formuals!C4+H9*Formuals!D4+I9*Formuals!E4</f>
        <v>64.924999999999997</v>
      </c>
      <c r="P9" s="10">
        <f t="shared" si="5"/>
        <v>4.2513438232994534E-2</v>
      </c>
      <c r="Q9" s="10">
        <f t="shared" si="6"/>
        <v>0.18114075000000002</v>
      </c>
      <c r="R9" s="8" t="str">
        <f>'All Players'!T83</f>
        <v>Zimbabwe</v>
      </c>
      <c r="S9" s="8">
        <f>'All Players'!U83</f>
        <v>20</v>
      </c>
      <c r="T9" s="8">
        <f>'All Players'!V83</f>
        <v>65</v>
      </c>
      <c r="U9" s="49">
        <f t="shared" si="3"/>
        <v>24.762499999999989</v>
      </c>
      <c r="V9" s="6" t="str">
        <f>A30</f>
        <v>Strong and fearless in defense, he embodies the fury of a charging rhino.</v>
      </c>
    </row>
    <row r="10" spans="1:22" x14ac:dyDescent="0.25">
      <c r="A10" s="8" t="str">
        <f>'All Players'!C84</f>
        <v>CB</v>
      </c>
      <c r="B10" s="8" t="str">
        <f>'All Players'!D84</f>
        <v>Kudzai</v>
      </c>
      <c r="C10" s="8" t="str">
        <f>'All Players'!E84</f>
        <v>Gumbo</v>
      </c>
      <c r="D10" s="8" t="str">
        <f>'All Players'!F84</f>
        <v>K. Gumbo</v>
      </c>
      <c r="E10" s="8" t="str">
        <f>'All Players'!G84</f>
        <v>Knot</v>
      </c>
      <c r="F10" s="8">
        <f>'All Players'!H84</f>
        <v>23</v>
      </c>
      <c r="G10" s="8">
        <f>'All Players'!I84</f>
        <v>38</v>
      </c>
      <c r="H10" s="8">
        <f>'All Players'!J84</f>
        <v>99</v>
      </c>
      <c r="I10" s="8">
        <f>'All Players'!K84</f>
        <v>47</v>
      </c>
      <c r="J10" s="5">
        <f t="shared" si="4"/>
        <v>51.75</v>
      </c>
      <c r="K10" s="8">
        <f>'All Players'!M84</f>
        <v>36</v>
      </c>
      <c r="L10" s="8">
        <f>'All Players'!N84</f>
        <v>27</v>
      </c>
      <c r="M10" s="5">
        <f>O10*0.3</f>
        <v>21.764999999999997</v>
      </c>
      <c r="N10" s="5">
        <f>O10</f>
        <v>72.55</v>
      </c>
      <c r="O10" s="11">
        <f>F10*Formuals!B5+G10*Formuals!C5+H10*Formuals!D5+I10*Formuals!E5</f>
        <v>72.55</v>
      </c>
      <c r="P10" s="10">
        <f t="shared" si="5"/>
        <v>4.7506352619233777E-2</v>
      </c>
      <c r="Q10" s="10">
        <f t="shared" si="6"/>
        <v>0.17629649999999999</v>
      </c>
      <c r="R10" s="8" t="str">
        <f>'All Players'!T84</f>
        <v>Zimbabwe</v>
      </c>
      <c r="S10" s="8">
        <f>'All Players'!U84</f>
        <v>19</v>
      </c>
      <c r="T10" s="8">
        <f>'All Players'!V84</f>
        <v>92</v>
      </c>
      <c r="U10" s="49">
        <f t="shared" si="3"/>
        <v>42.174999999999997</v>
      </c>
      <c r="V10" s="6" t="str">
        <f>A33</f>
        <v>Knot-like in his ability to entangle and frustrate opposing forwards with his tight marking.</v>
      </c>
    </row>
    <row r="11" spans="1:22" x14ac:dyDescent="0.25">
      <c r="A11" s="8" t="str">
        <f>'All Players'!C85</f>
        <v>RB</v>
      </c>
      <c r="B11" s="8" t="str">
        <f>'All Players'!D85</f>
        <v>Tafadzwa</v>
      </c>
      <c r="C11" s="8" t="str">
        <f>'All Players'!E85</f>
        <v>Tsiga</v>
      </c>
      <c r="D11" s="8" t="str">
        <f>'All Players'!F85</f>
        <v>T. Tsiga</v>
      </c>
      <c r="E11" s="8" t="str">
        <f>'All Players'!G85</f>
        <v>Tusk</v>
      </c>
      <c r="F11" s="8">
        <f>'All Players'!H85</f>
        <v>25</v>
      </c>
      <c r="G11" s="8">
        <f>'All Players'!I85</f>
        <v>57</v>
      </c>
      <c r="H11" s="8">
        <f>'All Players'!J85</f>
        <v>74</v>
      </c>
      <c r="I11" s="8">
        <f>'All Players'!K85</f>
        <v>67</v>
      </c>
      <c r="J11" s="5">
        <f t="shared" si="4"/>
        <v>55.75</v>
      </c>
      <c r="K11" s="8">
        <f>'All Players'!M85</f>
        <v>45</v>
      </c>
      <c r="L11" s="8">
        <f>'All Players'!N85</f>
        <v>26</v>
      </c>
      <c r="M11" s="5">
        <f>0.4*O11</f>
        <v>24.459999999999997</v>
      </c>
      <c r="N11" s="5">
        <f>0.9*O11</f>
        <v>55.034999999999997</v>
      </c>
      <c r="O11" s="11">
        <f>F11*Formuals!B6+G11*Formuals!C6+H11*Formuals!D6+I11*Formuals!E6</f>
        <v>61.149999999999991</v>
      </c>
      <c r="P11" s="10">
        <f>((M11/SUM($M$7:$M$17)))*0.67</f>
        <v>5.3388715142038044E-2</v>
      </c>
      <c r="Q11" s="10">
        <f t="shared" si="6"/>
        <v>0.19078800000000001</v>
      </c>
      <c r="R11" s="8" t="str">
        <f>'All Players'!T85</f>
        <v>Zimbabwe</v>
      </c>
      <c r="S11" s="8">
        <f>'All Players'!U85</f>
        <v>27</v>
      </c>
      <c r="T11" s="8">
        <f>'All Players'!V85</f>
        <v>64</v>
      </c>
      <c r="U11" s="49">
        <f t="shared" si="3"/>
        <v>21.674999999999997</v>
      </c>
      <c r="V11" s="6" t="str">
        <f>A36</f>
        <v>His sharp interceptions and solid defensive plays are as effective as a rhino's tusk.</v>
      </c>
    </row>
    <row r="12" spans="1:22" x14ac:dyDescent="0.25">
      <c r="A12" s="8" t="str">
        <f>'All Players'!C86</f>
        <v>CDM</v>
      </c>
      <c r="B12" s="8" t="str">
        <f>'All Players'!D86</f>
        <v>Chengetai</v>
      </c>
      <c r="C12" s="8" t="str">
        <f>'All Players'!E86</f>
        <v>Chirinda</v>
      </c>
      <c r="D12" s="8" t="str">
        <f>'All Players'!F86</f>
        <v>C. Chirinda</v>
      </c>
      <c r="E12" s="8" t="str">
        <f>'All Players'!G86</f>
        <v>Charge</v>
      </c>
      <c r="F12" s="8">
        <f>'All Players'!H86</f>
        <v>26</v>
      </c>
      <c r="G12" s="8">
        <f>'All Players'!I86</f>
        <v>30</v>
      </c>
      <c r="H12" s="8">
        <f>'All Players'!J86</f>
        <v>89</v>
      </c>
      <c r="I12" s="8">
        <f>'All Players'!K86</f>
        <v>64</v>
      </c>
      <c r="J12" s="5">
        <f t="shared" si="4"/>
        <v>52.25</v>
      </c>
      <c r="K12" s="8">
        <f>'All Players'!M86</f>
        <v>35</v>
      </c>
      <c r="L12" s="8">
        <f>'All Players'!N86</f>
        <v>32</v>
      </c>
      <c r="M12" s="5">
        <f>O12*0.6</f>
        <v>34.86</v>
      </c>
      <c r="N12" s="5">
        <f>O12*0.9</f>
        <v>52.29</v>
      </c>
      <c r="O12" s="11">
        <f>F12*Formuals!B7+G12*Formuals!C7+H12*Formuals!D7+I12*Formuals!E7</f>
        <v>58.1</v>
      </c>
      <c r="P12" s="10">
        <f t="shared" ref="P12:P14" si="7">((M12/SUM($M$7:$M$17)))</f>
        <v>0.1135652853792025</v>
      </c>
      <c r="Q12" s="10">
        <f t="shared" si="6"/>
        <v>0.33465600000000006</v>
      </c>
      <c r="R12" s="8" t="str">
        <f>'All Players'!T86</f>
        <v>Zimbabwe</v>
      </c>
      <c r="S12" s="8">
        <f>'All Players'!U86</f>
        <v>24</v>
      </c>
      <c r="T12" s="8">
        <f>'All Players'!V86</f>
        <v>68</v>
      </c>
      <c r="U12" s="49">
        <f t="shared" si="3"/>
        <v>22.450000000000003</v>
      </c>
      <c r="V12" s="6" t="str">
        <f>A39</f>
        <v>Dominates the midfield with powerful runs and a charging presence.</v>
      </c>
    </row>
    <row r="13" spans="1:22" x14ac:dyDescent="0.25">
      <c r="A13" s="8" t="str">
        <f>'All Players'!C87</f>
        <v>CM</v>
      </c>
      <c r="B13" s="8" t="str">
        <f>'All Players'!D87</f>
        <v>Munashe</v>
      </c>
      <c r="C13" s="8" t="str">
        <f>'All Players'!E87</f>
        <v>Maposa</v>
      </c>
      <c r="D13" s="8" t="str">
        <f>'All Players'!F87</f>
        <v>M. Maposa</v>
      </c>
      <c r="E13" s="8" t="str">
        <f>'All Players'!G87</f>
        <v>Might</v>
      </c>
      <c r="F13" s="8">
        <f>'All Players'!H87</f>
        <v>14</v>
      </c>
      <c r="G13" s="8">
        <f>'All Players'!I87</f>
        <v>44</v>
      </c>
      <c r="H13" s="8">
        <f>'All Players'!J87</f>
        <v>83</v>
      </c>
      <c r="I13" s="8">
        <f>'All Players'!K87</f>
        <v>44</v>
      </c>
      <c r="J13" s="5">
        <f t="shared" si="4"/>
        <v>46.25</v>
      </c>
      <c r="K13" s="8">
        <f>'All Players'!M87</f>
        <v>45</v>
      </c>
      <c r="L13" s="8">
        <f>'All Players'!N87</f>
        <v>33</v>
      </c>
      <c r="M13" s="5">
        <f>O13*0.75</f>
        <v>31.762500000000003</v>
      </c>
      <c r="N13" s="5">
        <f>O13*0.75</f>
        <v>31.762500000000003</v>
      </c>
      <c r="O13" s="11">
        <f>F13*Formuals!B8+G13*Formuals!C8+H13*Formuals!D8+I13*Formuals!E8</f>
        <v>42.35</v>
      </c>
      <c r="P13" s="10">
        <f t="shared" si="7"/>
        <v>0.10347439405785772</v>
      </c>
      <c r="Q13" s="10">
        <f t="shared" si="6"/>
        <v>0.31444875000000005</v>
      </c>
      <c r="R13" s="8" t="str">
        <f>'All Players'!T87</f>
        <v>Zimbabwe</v>
      </c>
      <c r="S13" s="8">
        <f>'All Players'!U87</f>
        <v>32</v>
      </c>
      <c r="T13" s="8">
        <f>'All Players'!V87</f>
        <v>45</v>
      </c>
      <c r="U13" s="49">
        <f t="shared" si="3"/>
        <v>2.2750000000000057</v>
      </c>
      <c r="V13" s="6" t="str">
        <f>A42</f>
        <v>Known for his mighty physicality and ability to control the tempo of the game.</v>
      </c>
    </row>
    <row r="14" spans="1:22" x14ac:dyDescent="0.25">
      <c r="A14" s="8" t="str">
        <f>'All Players'!C88</f>
        <v>CAM</v>
      </c>
      <c r="B14" s="8" t="str">
        <f>'All Players'!D88</f>
        <v>Tendai</v>
      </c>
      <c r="C14" s="8" t="str">
        <f>'All Players'!E88</f>
        <v>Tembo</v>
      </c>
      <c r="D14" s="8" t="str">
        <f>'All Players'!F88</f>
        <v>T. Tembo</v>
      </c>
      <c r="E14" s="8" t="str">
        <f>'All Players'!G88</f>
        <v>Tracker</v>
      </c>
      <c r="F14" s="8">
        <f>'All Players'!H88</f>
        <v>22</v>
      </c>
      <c r="G14" s="8">
        <f>'All Players'!I88</f>
        <v>30</v>
      </c>
      <c r="H14" s="8">
        <f>'All Players'!J88</f>
        <v>83</v>
      </c>
      <c r="I14" s="8">
        <f>'All Players'!K88</f>
        <v>36</v>
      </c>
      <c r="J14" s="5">
        <f t="shared" si="4"/>
        <v>42.75</v>
      </c>
      <c r="K14" s="8">
        <f>'All Players'!M88</f>
        <v>37</v>
      </c>
      <c r="L14" s="8">
        <f>'All Players'!N88</f>
        <v>28</v>
      </c>
      <c r="M14" s="5">
        <f>O14*0.9</f>
        <v>27.945</v>
      </c>
      <c r="N14" s="5">
        <f>O14*0.6</f>
        <v>18.63</v>
      </c>
      <c r="O14" s="11">
        <f>F14*Formuals!B9+G14*Formuals!C9+H14*Formuals!D9+I14*Formuals!E9</f>
        <v>31.05</v>
      </c>
      <c r="P14" s="10">
        <f t="shared" si="7"/>
        <v>9.103792025019547E-2</v>
      </c>
      <c r="Q14" s="10">
        <f t="shared" si="6"/>
        <v>0.234738</v>
      </c>
      <c r="R14" s="8" t="str">
        <f>'All Players'!T88</f>
        <v>Zimbabwe</v>
      </c>
      <c r="S14" s="8">
        <f>'All Players'!U88</f>
        <v>31</v>
      </c>
      <c r="T14" s="8">
        <f>'All Players'!V88</f>
        <v>34</v>
      </c>
      <c r="U14" s="49" t="str">
        <f t="shared" si="3"/>
        <v>0</v>
      </c>
      <c r="V14" s="6" t="str">
        <f>A45</f>
        <v>His skill in tracking and exploiting spaces in the opposition's defense is unparalleled.</v>
      </c>
    </row>
    <row r="15" spans="1:22" x14ac:dyDescent="0.25">
      <c r="A15" s="8" t="str">
        <f>'All Players'!C89</f>
        <v>LW</v>
      </c>
      <c r="B15" s="8" t="str">
        <f>'All Players'!D89</f>
        <v>Anesu</v>
      </c>
      <c r="C15" s="8" t="str">
        <f>'All Players'!E89</f>
        <v>Adebe</v>
      </c>
      <c r="D15" s="8" t="str">
        <f>'All Players'!F89</f>
        <v>A. Adebe</v>
      </c>
      <c r="E15" s="8" t="str">
        <f>'All Players'!G89</f>
        <v>Armor</v>
      </c>
      <c r="F15" s="8">
        <f>'All Players'!H89</f>
        <v>12</v>
      </c>
      <c r="G15" s="8">
        <f>'All Players'!I89</f>
        <v>55</v>
      </c>
      <c r="H15" s="8">
        <f>'All Players'!J89</f>
        <v>100</v>
      </c>
      <c r="I15" s="8">
        <f>'All Players'!K89</f>
        <v>56</v>
      </c>
      <c r="J15" s="5">
        <f t="shared" si="4"/>
        <v>55.75</v>
      </c>
      <c r="K15" s="8">
        <f>'All Players'!M89</f>
        <v>45</v>
      </c>
      <c r="L15" s="8">
        <f>'All Players'!N89</f>
        <v>31</v>
      </c>
      <c r="M15" s="5">
        <f>O15</f>
        <v>42.65</v>
      </c>
      <c r="N15" s="5">
        <f>O15*0.3</f>
        <v>12.795</v>
      </c>
      <c r="O15" s="11">
        <f>F15*Formuals!B10+G15*Formuals!C10+H15*Formuals!D10+I15*Formuals!E10</f>
        <v>42.65</v>
      </c>
      <c r="P15" s="10">
        <f>((M15/SUM($M$7:$M$17)))*1.33</f>
        <v>0.18479443575710194</v>
      </c>
      <c r="Q15" s="10">
        <f t="shared" si="6"/>
        <v>0.39664500000000003</v>
      </c>
      <c r="R15" s="8" t="str">
        <f>'All Players'!T89</f>
        <v>Zimbabwe</v>
      </c>
      <c r="S15" s="8">
        <f>'All Players'!U89</f>
        <v>26</v>
      </c>
      <c r="T15" s="8">
        <f>'All Players'!V89</f>
        <v>50</v>
      </c>
      <c r="U15" s="49">
        <f t="shared" si="3"/>
        <v>5.5249999999999986</v>
      </c>
      <c r="V15" s="6" t="str">
        <f>A48</f>
        <v>Quick and robust, his armor-like resilience makes him a formidable opponent on the wing.</v>
      </c>
    </row>
    <row r="16" spans="1:22" x14ac:dyDescent="0.25">
      <c r="A16" s="8" t="str">
        <f>'All Players'!C90</f>
        <v>ST</v>
      </c>
      <c r="B16" s="8" t="str">
        <f>'All Players'!D90</f>
        <v>Shingirai</v>
      </c>
      <c r="C16" s="8" t="str">
        <f>'All Players'!E90</f>
        <v>Sithole</v>
      </c>
      <c r="D16" s="8" t="str">
        <f>'All Players'!F90</f>
        <v>S. Sithole</v>
      </c>
      <c r="E16" s="8" t="str">
        <f>'All Players'!G90</f>
        <v>Shank</v>
      </c>
      <c r="F16" s="8">
        <f>'All Players'!H90</f>
        <v>39</v>
      </c>
      <c r="G16" s="8">
        <f>'All Players'!I90</f>
        <v>33</v>
      </c>
      <c r="H16" s="8">
        <f>'All Players'!J90</f>
        <v>93</v>
      </c>
      <c r="I16" s="8">
        <f>'All Players'!K90</f>
        <v>39</v>
      </c>
      <c r="J16" s="5">
        <f t="shared" si="4"/>
        <v>51</v>
      </c>
      <c r="K16" s="8">
        <f>'All Players'!M90</f>
        <v>41</v>
      </c>
      <c r="L16" s="8">
        <f>'All Players'!N90</f>
        <v>34</v>
      </c>
      <c r="M16" s="5">
        <f>O16</f>
        <v>42.9</v>
      </c>
      <c r="N16" s="5">
        <f t="shared" ref="N16:N17" si="8">O16*0.3</f>
        <v>12.87</v>
      </c>
      <c r="O16" s="11">
        <f>F16*Formuals!B11+G16*Formuals!C11+H16*Formuals!D11+I16*Formuals!E11</f>
        <v>42.9</v>
      </c>
      <c r="P16" s="10">
        <f t="shared" ref="P16:P17" si="9">((M16/SUM($M$7:$M$17)))*1.33</f>
        <v>0.18587763878029714</v>
      </c>
      <c r="Q16" s="10">
        <f t="shared" si="6"/>
        <v>0.43758000000000008</v>
      </c>
      <c r="R16" s="8" t="str">
        <f>'All Players'!T90</f>
        <v>Zimbabwe</v>
      </c>
      <c r="S16" s="8">
        <f>'All Players'!U90</f>
        <v>29</v>
      </c>
      <c r="T16" s="8">
        <f>'All Players'!V90</f>
        <v>47</v>
      </c>
      <c r="U16" s="49">
        <f t="shared" si="3"/>
        <v>3.8499999999999943</v>
      </c>
      <c r="V16" s="6" t="str">
        <f>A51</f>
        <v>His piercing runs down the flank can penetrate even the toughest defenses.</v>
      </c>
    </row>
    <row r="17" spans="1:22" x14ac:dyDescent="0.25">
      <c r="A17" s="8" t="str">
        <f>'All Players'!C91</f>
        <v>RW</v>
      </c>
      <c r="B17" s="8" t="str">
        <f>'All Players'!D91</f>
        <v>Takura</v>
      </c>
      <c r="C17" s="8" t="str">
        <f>'All Players'!E91</f>
        <v>Tendai</v>
      </c>
      <c r="D17" s="8" t="str">
        <f>'All Players'!F91</f>
        <v>T. Tendai</v>
      </c>
      <c r="E17" s="8" t="str">
        <f>'All Players'!G91</f>
        <v>Trample</v>
      </c>
      <c r="F17" s="8">
        <f>'All Players'!H91</f>
        <v>12</v>
      </c>
      <c r="G17" s="8">
        <f>'All Players'!I91</f>
        <v>40</v>
      </c>
      <c r="H17" s="8">
        <f>'All Players'!J91</f>
        <v>79</v>
      </c>
      <c r="I17" s="8">
        <f>'All Players'!K91</f>
        <v>49</v>
      </c>
      <c r="J17" s="5">
        <f t="shared" si="4"/>
        <v>45</v>
      </c>
      <c r="K17" s="8">
        <f>'All Players'!M91</f>
        <v>45</v>
      </c>
      <c r="L17" s="8">
        <f>'All Players'!N91</f>
        <v>28</v>
      </c>
      <c r="M17" s="5">
        <f>O17</f>
        <v>36.200000000000003</v>
      </c>
      <c r="N17" s="5">
        <f t="shared" si="8"/>
        <v>10.860000000000001</v>
      </c>
      <c r="O17" s="11">
        <f>F17*Formuals!B12+G17*Formuals!C12+H17*Formuals!D12+I17*Formuals!E12</f>
        <v>36.200000000000003</v>
      </c>
      <c r="P17" s="10">
        <f t="shared" si="9"/>
        <v>0.15684779775866564</v>
      </c>
      <c r="Q17" s="10">
        <f t="shared" si="6"/>
        <v>0.30408000000000007</v>
      </c>
      <c r="R17" s="8" t="str">
        <f>'All Players'!T91</f>
        <v>Zimbabwe</v>
      </c>
      <c r="S17" s="8">
        <f>'All Players'!U91</f>
        <v>21</v>
      </c>
      <c r="T17" s="8">
        <f>'All Players'!V91</f>
        <v>38</v>
      </c>
      <c r="U17" s="49" t="str">
        <f t="shared" si="3"/>
        <v>0</v>
      </c>
      <c r="V17" s="6" t="str">
        <f>A54</f>
        <v>His sharp instincts in front of the goal make him a significant threat, much like a rhino's tusk.</v>
      </c>
    </row>
    <row r="18" spans="1:22" x14ac:dyDescent="0.25">
      <c r="F18" s="18">
        <f t="shared" ref="F18:G18" si="10">LARGE(F7:F17,1) - SMALL(F7:F17,1)</f>
        <v>35</v>
      </c>
      <c r="G18" s="18">
        <f t="shared" si="10"/>
        <v>28</v>
      </c>
      <c r="H18" s="18">
        <f>LARGE(H7:H17,1) - SMALL(H7:H17,1)</f>
        <v>26</v>
      </c>
      <c r="I18" s="18">
        <f>LARGE(I7:I17,1) - SMALL(I7:I17,1)</f>
        <v>31</v>
      </c>
      <c r="J18" s="19">
        <f t="shared" ref="J18:L18" si="11">LARGE(J7:J17,1) - SMALL(J7:J17,1)</f>
        <v>13</v>
      </c>
      <c r="K18" s="18">
        <f t="shared" si="11"/>
        <v>10</v>
      </c>
      <c r="L18" s="18">
        <f t="shared" si="11"/>
        <v>8</v>
      </c>
      <c r="O18" s="19">
        <f t="shared" ref="O18" si="12">LARGE(O7:O17,1) - SMALL(O7:O17,1)</f>
        <v>41.5</v>
      </c>
      <c r="P18" s="48">
        <f>SUM(P7:P17)</f>
        <v>1.0334423866301801</v>
      </c>
      <c r="S18">
        <f>AVERAGE(S7:S17)</f>
        <v>25.272727272727273</v>
      </c>
      <c r="T18">
        <f>AVERAGE(T7:T17)</f>
        <v>57.18181818181818</v>
      </c>
      <c r="U18" s="50">
        <f>SUM(U7:U17)</f>
        <v>156.08750000000001</v>
      </c>
    </row>
    <row r="19" spans="1:22" x14ac:dyDescent="0.25">
      <c r="B19" s="3" t="s">
        <v>1</v>
      </c>
      <c r="C19" s="3" t="s">
        <v>2</v>
      </c>
      <c r="D19" s="3" t="s">
        <v>3</v>
      </c>
    </row>
    <row r="20" spans="1:22" x14ac:dyDescent="0.25">
      <c r="A20" s="3" t="s">
        <v>4</v>
      </c>
      <c r="B20" s="2">
        <f>AVERAGE(O7:O12)*0.1+AVERAGE(O13:O17)*0.9</f>
        <v>41.128250000000008</v>
      </c>
      <c r="C20" s="2">
        <f>AVERAGE(O7:O12)*0.9+AVERAGE(O13:O17)*0.1</f>
        <v>57.914249999999996</v>
      </c>
      <c r="D20" s="2">
        <f>AVERAGE(K7:K17)*0.5+AVERAGE(L7:L17)*0.5</f>
        <v>35.090909090909093</v>
      </c>
    </row>
    <row r="22" spans="1:22" x14ac:dyDescent="0.25">
      <c r="A22" t="s">
        <v>80</v>
      </c>
    </row>
    <row r="24" spans="1:22" x14ac:dyDescent="0.25">
      <c r="A24" t="s">
        <v>69</v>
      </c>
    </row>
    <row r="25" spans="1:22" x14ac:dyDescent="0.25">
      <c r="A25" t="s">
        <v>81</v>
      </c>
    </row>
    <row r="27" spans="1:22" x14ac:dyDescent="0.25">
      <c r="A27" t="s">
        <v>70</v>
      </c>
    </row>
    <row r="28" spans="1:22" x14ac:dyDescent="0.25">
      <c r="A28" t="s">
        <v>82</v>
      </c>
    </row>
    <row r="30" spans="1:22" x14ac:dyDescent="0.25">
      <c r="A30" t="s">
        <v>71</v>
      </c>
    </row>
    <row r="31" spans="1:22" x14ac:dyDescent="0.25">
      <c r="A31" t="s">
        <v>83</v>
      </c>
    </row>
    <row r="33" spans="1:1" x14ac:dyDescent="0.25">
      <c r="A33" t="s">
        <v>72</v>
      </c>
    </row>
    <row r="34" spans="1:1" x14ac:dyDescent="0.25">
      <c r="A34" t="s">
        <v>84</v>
      </c>
    </row>
    <row r="36" spans="1:1" x14ac:dyDescent="0.25">
      <c r="A36" t="s">
        <v>73</v>
      </c>
    </row>
    <row r="37" spans="1:1" x14ac:dyDescent="0.25">
      <c r="A37" t="s">
        <v>85</v>
      </c>
    </row>
    <row r="39" spans="1:1" x14ac:dyDescent="0.25">
      <c r="A39" t="s">
        <v>74</v>
      </c>
    </row>
    <row r="40" spans="1:1" x14ac:dyDescent="0.25">
      <c r="A40" t="s">
        <v>86</v>
      </c>
    </row>
    <row r="42" spans="1:1" x14ac:dyDescent="0.25">
      <c r="A42" t="s">
        <v>75</v>
      </c>
    </row>
    <row r="43" spans="1:1" x14ac:dyDescent="0.25">
      <c r="A43" t="s">
        <v>87</v>
      </c>
    </row>
    <row r="45" spans="1:1" x14ac:dyDescent="0.25">
      <c r="A45" t="s">
        <v>76</v>
      </c>
    </row>
    <row r="46" spans="1:1" x14ac:dyDescent="0.25">
      <c r="A46" t="s">
        <v>88</v>
      </c>
    </row>
    <row r="48" spans="1:1" x14ac:dyDescent="0.25">
      <c r="A48" t="s">
        <v>77</v>
      </c>
    </row>
    <row r="49" spans="1:1" x14ac:dyDescent="0.25">
      <c r="A49" t="s">
        <v>89</v>
      </c>
    </row>
    <row r="51" spans="1:1" x14ac:dyDescent="0.25">
      <c r="A51" t="s">
        <v>78</v>
      </c>
    </row>
    <row r="52" spans="1:1" x14ac:dyDescent="0.25">
      <c r="A52" t="s">
        <v>90</v>
      </c>
    </row>
    <row r="54" spans="1:1" x14ac:dyDescent="0.25">
      <c r="A54" t="s">
        <v>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1B5AE-64B7-4694-970E-308A5397900E}">
  <sheetPr>
    <tabColor rgb="FFFF0000"/>
  </sheetPr>
  <dimension ref="A1:W178"/>
  <sheetViews>
    <sheetView topLeftCell="C1" workbookViewId="0">
      <selection activeCell="R25" sqref="R25"/>
    </sheetView>
  </sheetViews>
  <sheetFormatPr defaultRowHeight="15" x14ac:dyDescent="0.25"/>
  <cols>
    <col min="1" max="2" width="19.7109375" bestFit="1" customWidth="1"/>
    <col min="3" max="3" width="19.42578125" bestFit="1" customWidth="1"/>
    <col min="4" max="4" width="19.42578125" customWidth="1"/>
    <col min="5" max="5" width="19.7109375" bestFit="1" customWidth="1"/>
    <col min="7" max="7" width="16.5703125" bestFit="1" customWidth="1"/>
    <col min="8" max="8" width="14" bestFit="1" customWidth="1"/>
    <col min="9" max="9" width="16.5703125" bestFit="1" customWidth="1"/>
    <col min="15" max="15" width="11.42578125" bestFit="1" customWidth="1"/>
    <col min="16" max="16" width="13.85546875" bestFit="1" customWidth="1"/>
    <col min="17" max="19" width="13.85546875" customWidth="1"/>
    <col min="20" max="20" width="16.5703125" bestFit="1" customWidth="1"/>
  </cols>
  <sheetData>
    <row r="1" spans="1:23" x14ac:dyDescent="0.25">
      <c r="A1" t="s">
        <v>1369</v>
      </c>
      <c r="B1">
        <v>56</v>
      </c>
    </row>
    <row r="2" spans="1:23" ht="15.75" thickBot="1" x14ac:dyDescent="0.3">
      <c r="C2" t="s">
        <v>550</v>
      </c>
      <c r="D2" t="s">
        <v>1450</v>
      </c>
      <c r="G2" s="21" t="s">
        <v>1455</v>
      </c>
      <c r="H2" s="21" t="s">
        <v>5</v>
      </c>
      <c r="I2" s="21" t="s">
        <v>0</v>
      </c>
      <c r="J2" s="21" t="s">
        <v>550</v>
      </c>
      <c r="K2" s="21" t="s">
        <v>551</v>
      </c>
      <c r="L2" s="21" t="s">
        <v>552</v>
      </c>
      <c r="M2" s="21" t="s">
        <v>553</v>
      </c>
      <c r="N2" s="21" t="s">
        <v>554</v>
      </c>
      <c r="O2" s="21" t="s">
        <v>555</v>
      </c>
      <c r="P2" s="21" t="s">
        <v>556</v>
      </c>
      <c r="Q2" s="21" t="s">
        <v>557</v>
      </c>
      <c r="R2" s="22" t="s">
        <v>1467</v>
      </c>
      <c r="S2" t="s">
        <v>1461</v>
      </c>
      <c r="T2" s="21"/>
      <c r="U2" s="21" t="s">
        <v>1439</v>
      </c>
      <c r="V2" s="21" t="s">
        <v>0</v>
      </c>
      <c r="W2" s="21" t="s">
        <v>1440</v>
      </c>
    </row>
    <row r="3" spans="1:23" x14ac:dyDescent="0.25">
      <c r="A3" t="s">
        <v>1370</v>
      </c>
      <c r="B3" t="str">
        <f>I4</f>
        <v>Wolfpack Wanderers</v>
      </c>
      <c r="C3">
        <f>J4</f>
        <v>75</v>
      </c>
      <c r="D3">
        <f>H49</f>
        <v>4</v>
      </c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T3" s="22"/>
      <c r="U3" s="22"/>
      <c r="V3" s="22"/>
      <c r="W3" s="22"/>
    </row>
    <row r="4" spans="1:23" ht="15.75" thickBot="1" x14ac:dyDescent="0.3">
      <c r="A4" t="s">
        <v>1446</v>
      </c>
      <c r="B4" t="str">
        <f>I5</f>
        <v>Panther Prowlers</v>
      </c>
      <c r="C4">
        <f>J5</f>
        <v>71</v>
      </c>
      <c r="D4">
        <v>2</v>
      </c>
      <c r="G4" s="23">
        <v>7</v>
      </c>
      <c r="H4" s="24">
        <v>1</v>
      </c>
      <c r="I4" s="25" t="s">
        <v>558</v>
      </c>
      <c r="J4" s="24">
        <v>75</v>
      </c>
      <c r="K4" s="24">
        <v>38</v>
      </c>
      <c r="L4" s="24">
        <v>21</v>
      </c>
      <c r="M4" s="24">
        <v>12</v>
      </c>
      <c r="N4" s="24">
        <v>5</v>
      </c>
      <c r="O4" s="24">
        <v>72</v>
      </c>
      <c r="P4" s="24">
        <v>48</v>
      </c>
      <c r="Q4" s="24">
        <v>24</v>
      </c>
      <c r="R4" t="str">
        <f>_xlfn.CONCAT(LEFT(I4,2),CODE(I4))</f>
        <v>Wo87</v>
      </c>
      <c r="S4" s="51">
        <v>70</v>
      </c>
      <c r="T4" s="23" t="s">
        <v>1169</v>
      </c>
      <c r="U4" s="25" t="s">
        <v>1169</v>
      </c>
      <c r="V4" s="25" t="s">
        <v>560</v>
      </c>
      <c r="W4" s="24">
        <v>26</v>
      </c>
    </row>
    <row r="5" spans="1:23" ht="15.75" thickBot="1" x14ac:dyDescent="0.3">
      <c r="A5" t="s">
        <v>1447</v>
      </c>
      <c r="B5" t="str">
        <f>I6</f>
        <v>Tiger Tacklers</v>
      </c>
      <c r="C5">
        <f>J6</f>
        <v>70</v>
      </c>
      <c r="D5">
        <v>3</v>
      </c>
      <c r="G5" s="23">
        <v>5</v>
      </c>
      <c r="H5" s="24">
        <v>2</v>
      </c>
      <c r="I5" s="25" t="s">
        <v>560</v>
      </c>
      <c r="J5" s="24">
        <v>71</v>
      </c>
      <c r="K5" s="24">
        <v>38</v>
      </c>
      <c r="L5" s="24">
        <v>21</v>
      </c>
      <c r="M5" s="24">
        <v>8</v>
      </c>
      <c r="N5" s="24">
        <v>9</v>
      </c>
      <c r="O5" s="24">
        <v>83</v>
      </c>
      <c r="P5" s="24">
        <v>52</v>
      </c>
      <c r="Q5" s="24">
        <v>31</v>
      </c>
      <c r="R5" t="str">
        <f t="shared" ref="R5:R23" si="0">_xlfn.CONCAT(LEFT(I5,2),CODE(I5))</f>
        <v>Pa80</v>
      </c>
      <c r="S5" s="51">
        <v>67</v>
      </c>
      <c r="T5" s="23" t="s">
        <v>962</v>
      </c>
      <c r="U5" s="25" t="s">
        <v>962</v>
      </c>
      <c r="V5" s="25" t="s">
        <v>562</v>
      </c>
      <c r="W5" s="24">
        <v>24</v>
      </c>
    </row>
    <row r="6" spans="1:23" ht="15.75" thickBot="1" x14ac:dyDescent="0.3">
      <c r="G6" s="23">
        <v>9</v>
      </c>
      <c r="H6" s="24">
        <v>3</v>
      </c>
      <c r="I6" s="25" t="s">
        <v>565</v>
      </c>
      <c r="J6" s="24">
        <v>70</v>
      </c>
      <c r="K6" s="24">
        <v>38</v>
      </c>
      <c r="L6" s="24">
        <v>19</v>
      </c>
      <c r="M6" s="24">
        <v>13</v>
      </c>
      <c r="N6" s="24">
        <v>6</v>
      </c>
      <c r="O6" s="24">
        <v>75</v>
      </c>
      <c r="P6" s="24">
        <v>47</v>
      </c>
      <c r="Q6" s="24">
        <v>28</v>
      </c>
      <c r="R6" t="str">
        <f t="shared" si="0"/>
        <v>Ti84</v>
      </c>
      <c r="S6" s="51">
        <v>64</v>
      </c>
      <c r="T6" s="23" t="s">
        <v>787</v>
      </c>
      <c r="U6" s="25" t="s">
        <v>787</v>
      </c>
      <c r="V6" s="25" t="s">
        <v>563</v>
      </c>
      <c r="W6" s="24">
        <v>23</v>
      </c>
    </row>
    <row r="7" spans="1:23" ht="15.75" thickBot="1" x14ac:dyDescent="0.3">
      <c r="A7" t="s">
        <v>1445</v>
      </c>
      <c r="B7" t="str">
        <f>U4</f>
        <v>Kuasa</v>
      </c>
      <c r="C7" t="str">
        <f>V4</f>
        <v>Panther Prowlers</v>
      </c>
      <c r="G7" s="23">
        <v>16</v>
      </c>
      <c r="H7" s="24">
        <v>4</v>
      </c>
      <c r="I7" s="25" t="s">
        <v>563</v>
      </c>
      <c r="J7" s="24">
        <v>69</v>
      </c>
      <c r="K7" s="24">
        <v>38</v>
      </c>
      <c r="L7" s="24">
        <v>21</v>
      </c>
      <c r="M7" s="24">
        <v>6</v>
      </c>
      <c r="N7" s="24">
        <v>11</v>
      </c>
      <c r="O7" s="24">
        <v>80</v>
      </c>
      <c r="P7" s="24">
        <v>59</v>
      </c>
      <c r="Q7" s="24">
        <v>21</v>
      </c>
      <c r="R7" t="str">
        <f t="shared" si="0"/>
        <v>Ch67</v>
      </c>
      <c r="S7" s="51">
        <v>61</v>
      </c>
      <c r="T7" s="23" t="s">
        <v>794</v>
      </c>
      <c r="U7" s="25" t="s">
        <v>794</v>
      </c>
      <c r="V7" s="25" t="s">
        <v>563</v>
      </c>
      <c r="W7" s="24">
        <v>22</v>
      </c>
    </row>
    <row r="8" spans="1:23" ht="15.75" thickBot="1" x14ac:dyDescent="0.3">
      <c r="G8" s="23">
        <v>2</v>
      </c>
      <c r="H8" s="24">
        <v>5</v>
      </c>
      <c r="I8" s="25" t="s">
        <v>561</v>
      </c>
      <c r="J8" s="24">
        <v>69</v>
      </c>
      <c r="K8" s="24">
        <v>38</v>
      </c>
      <c r="L8" s="24">
        <v>20</v>
      </c>
      <c r="M8" s="24">
        <v>9</v>
      </c>
      <c r="N8" s="24">
        <v>9</v>
      </c>
      <c r="O8" s="24">
        <v>75</v>
      </c>
      <c r="P8" s="24">
        <v>56</v>
      </c>
      <c r="Q8" s="24">
        <v>19</v>
      </c>
      <c r="R8" t="str">
        <f t="shared" si="0"/>
        <v>Li76</v>
      </c>
      <c r="S8" s="51">
        <v>58</v>
      </c>
      <c r="T8" s="23" t="s">
        <v>1285</v>
      </c>
      <c r="U8" s="25" t="s">
        <v>1285</v>
      </c>
      <c r="V8" s="25" t="s">
        <v>561</v>
      </c>
      <c r="W8" s="24">
        <v>20</v>
      </c>
    </row>
    <row r="9" spans="1:23" ht="15.75" thickBot="1" x14ac:dyDescent="0.3">
      <c r="A9" t="s">
        <v>1451</v>
      </c>
      <c r="C9">
        <f>MAX(B13:B32)</f>
        <v>7</v>
      </c>
      <c r="G9" s="23">
        <v>14</v>
      </c>
      <c r="H9" s="24">
        <v>6</v>
      </c>
      <c r="I9" s="25" t="s">
        <v>564</v>
      </c>
      <c r="J9" s="24">
        <v>69</v>
      </c>
      <c r="K9" s="24">
        <v>38</v>
      </c>
      <c r="L9" s="24">
        <v>20</v>
      </c>
      <c r="M9" s="24">
        <v>9</v>
      </c>
      <c r="N9" s="24">
        <v>9</v>
      </c>
      <c r="O9" s="24">
        <v>67</v>
      </c>
      <c r="P9" s="24">
        <v>48</v>
      </c>
      <c r="Q9" s="24">
        <v>19</v>
      </c>
      <c r="R9" t="str">
        <f t="shared" si="0"/>
        <v>Ja74</v>
      </c>
      <c r="S9" s="51">
        <v>55</v>
      </c>
      <c r="T9" s="23" t="s">
        <v>1042</v>
      </c>
      <c r="U9" s="25" t="s">
        <v>1042</v>
      </c>
      <c r="V9" s="25" t="s">
        <v>565</v>
      </c>
      <c r="W9" s="24">
        <v>19</v>
      </c>
    </row>
    <row r="10" spans="1:23" ht="15.75" thickBot="1" x14ac:dyDescent="0.3">
      <c r="A10" t="s">
        <v>1452</v>
      </c>
      <c r="G10" s="23">
        <v>6</v>
      </c>
      <c r="H10" s="24">
        <v>7</v>
      </c>
      <c r="I10" s="25" t="s">
        <v>569</v>
      </c>
      <c r="J10" s="24">
        <v>62</v>
      </c>
      <c r="K10" s="24">
        <v>38</v>
      </c>
      <c r="L10" s="24">
        <v>19</v>
      </c>
      <c r="M10" s="24">
        <v>5</v>
      </c>
      <c r="N10" s="24">
        <v>14</v>
      </c>
      <c r="O10" s="24">
        <v>65</v>
      </c>
      <c r="P10" s="24">
        <v>53</v>
      </c>
      <c r="Q10" s="24">
        <v>12</v>
      </c>
      <c r="R10" t="str">
        <f t="shared" si="0"/>
        <v>Sh83</v>
      </c>
      <c r="S10" s="51">
        <v>52</v>
      </c>
      <c r="T10" s="23" t="s">
        <v>1161</v>
      </c>
      <c r="U10" s="25" t="s">
        <v>1161</v>
      </c>
      <c r="V10" s="25" t="s">
        <v>560</v>
      </c>
      <c r="W10" s="24">
        <v>18</v>
      </c>
    </row>
    <row r="11" spans="1:23" ht="15.75" thickBot="1" x14ac:dyDescent="0.3">
      <c r="G11" s="23">
        <v>11</v>
      </c>
      <c r="H11" s="24">
        <v>8</v>
      </c>
      <c r="I11" s="25" t="s">
        <v>562</v>
      </c>
      <c r="J11" s="24">
        <v>58</v>
      </c>
      <c r="K11" s="24">
        <v>38</v>
      </c>
      <c r="L11" s="24">
        <v>17</v>
      </c>
      <c r="M11" s="24">
        <v>7</v>
      </c>
      <c r="N11" s="24">
        <v>14</v>
      </c>
      <c r="O11" s="24">
        <v>64</v>
      </c>
      <c r="P11" s="24">
        <v>68</v>
      </c>
      <c r="Q11" s="24">
        <v>-4</v>
      </c>
      <c r="R11" t="str">
        <f t="shared" si="0"/>
        <v>Ha72</v>
      </c>
      <c r="S11" s="51">
        <v>49</v>
      </c>
      <c r="T11" s="23" t="s">
        <v>1126</v>
      </c>
      <c r="U11" s="25" t="s">
        <v>1126</v>
      </c>
      <c r="V11" s="25" t="s">
        <v>558</v>
      </c>
      <c r="W11" s="24">
        <v>18</v>
      </c>
    </row>
    <row r="12" spans="1:23" ht="15.75" thickBot="1" x14ac:dyDescent="0.3">
      <c r="B12" t="str">
        <f>J45</f>
        <v>Diff</v>
      </c>
      <c r="C12" t="str">
        <f>H45</f>
        <v>Expected Rank</v>
      </c>
      <c r="D12" t="str">
        <f>I45</f>
        <v>Actual Rank</v>
      </c>
      <c r="G12" s="23">
        <v>20</v>
      </c>
      <c r="H12" s="24">
        <v>9</v>
      </c>
      <c r="I12" s="25" t="s">
        <v>566</v>
      </c>
      <c r="J12" s="24">
        <v>54</v>
      </c>
      <c r="K12" s="24">
        <v>38</v>
      </c>
      <c r="L12" s="24">
        <v>14</v>
      </c>
      <c r="M12" s="24">
        <v>12</v>
      </c>
      <c r="N12" s="24">
        <v>12</v>
      </c>
      <c r="O12" s="24">
        <v>60</v>
      </c>
      <c r="P12" s="24">
        <v>54</v>
      </c>
      <c r="Q12" s="24">
        <v>6</v>
      </c>
      <c r="R12" t="str">
        <f t="shared" si="0"/>
        <v>Go71</v>
      </c>
      <c r="S12" s="51">
        <v>46</v>
      </c>
      <c r="T12" s="23" t="s">
        <v>661</v>
      </c>
      <c r="U12" s="25" t="s">
        <v>661</v>
      </c>
      <c r="V12" s="25" t="s">
        <v>566</v>
      </c>
      <c r="W12" s="24">
        <v>17</v>
      </c>
    </row>
    <row r="13" spans="1:23" ht="15.75" thickBot="1" x14ac:dyDescent="0.3">
      <c r="A13" t="s">
        <v>23</v>
      </c>
      <c r="B13">
        <f>J46</f>
        <v>-4</v>
      </c>
      <c r="C13">
        <f>H46</f>
        <v>1</v>
      </c>
      <c r="D13">
        <f>I46</f>
        <v>5</v>
      </c>
      <c r="G13" s="23">
        <v>12</v>
      </c>
      <c r="H13" s="24">
        <v>10</v>
      </c>
      <c r="I13" s="25" t="s">
        <v>574</v>
      </c>
      <c r="J13" s="24">
        <v>49</v>
      </c>
      <c r="K13" s="24">
        <v>38</v>
      </c>
      <c r="L13" s="24">
        <v>11</v>
      </c>
      <c r="M13" s="24">
        <v>16</v>
      </c>
      <c r="N13" s="24">
        <v>11</v>
      </c>
      <c r="O13" s="24">
        <v>59</v>
      </c>
      <c r="P13" s="24">
        <v>58</v>
      </c>
      <c r="Q13" s="24">
        <v>1</v>
      </c>
      <c r="R13" t="str">
        <f t="shared" si="0"/>
        <v>Py80</v>
      </c>
      <c r="S13" s="51">
        <v>43</v>
      </c>
      <c r="T13" s="23" t="s">
        <v>1165</v>
      </c>
      <c r="U13" s="25" t="s">
        <v>1165</v>
      </c>
      <c r="V13" s="25" t="s">
        <v>560</v>
      </c>
      <c r="W13" s="24">
        <v>17</v>
      </c>
    </row>
    <row r="14" spans="1:23" ht="15.75" thickBot="1" x14ac:dyDescent="0.3">
      <c r="A14" t="s">
        <v>27</v>
      </c>
      <c r="B14">
        <f>J47</f>
        <v>0</v>
      </c>
      <c r="C14">
        <f>H47</f>
        <v>2</v>
      </c>
      <c r="D14">
        <f>I47</f>
        <v>2</v>
      </c>
      <c r="G14" s="23">
        <v>4</v>
      </c>
      <c r="H14" s="24">
        <v>11</v>
      </c>
      <c r="I14" s="25" t="s">
        <v>570</v>
      </c>
      <c r="J14" s="24">
        <v>48</v>
      </c>
      <c r="K14" s="24">
        <v>38</v>
      </c>
      <c r="L14" s="24">
        <v>14</v>
      </c>
      <c r="M14" s="24">
        <v>6</v>
      </c>
      <c r="N14" s="24">
        <v>18</v>
      </c>
      <c r="O14" s="24">
        <v>68</v>
      </c>
      <c r="P14" s="24">
        <v>68</v>
      </c>
      <c r="Q14" s="24">
        <v>0</v>
      </c>
      <c r="R14" t="str">
        <f t="shared" si="0"/>
        <v>Fa70</v>
      </c>
      <c r="S14" s="51">
        <v>40</v>
      </c>
      <c r="T14" s="23" t="s">
        <v>918</v>
      </c>
      <c r="U14" s="25" t="s">
        <v>918</v>
      </c>
      <c r="V14" s="25" t="s">
        <v>574</v>
      </c>
      <c r="W14" s="24">
        <v>17</v>
      </c>
    </row>
    <row r="15" spans="1:23" ht="15.75" thickBot="1" x14ac:dyDescent="0.3">
      <c r="A15" t="s">
        <v>31</v>
      </c>
      <c r="B15">
        <f>J48</f>
        <v>0</v>
      </c>
      <c r="C15">
        <f>H48</f>
        <v>3</v>
      </c>
      <c r="D15">
        <f>I48</f>
        <v>3</v>
      </c>
      <c r="G15" s="23">
        <v>13</v>
      </c>
      <c r="H15" s="24">
        <v>12</v>
      </c>
      <c r="I15" s="25" t="s">
        <v>567</v>
      </c>
      <c r="J15" s="24">
        <v>48</v>
      </c>
      <c r="K15" s="24">
        <v>38</v>
      </c>
      <c r="L15" s="24">
        <v>12</v>
      </c>
      <c r="M15" s="24">
        <v>12</v>
      </c>
      <c r="N15" s="24">
        <v>14</v>
      </c>
      <c r="O15" s="24">
        <v>66</v>
      </c>
      <c r="P15" s="24">
        <v>72</v>
      </c>
      <c r="Q15" s="24">
        <v>-6</v>
      </c>
      <c r="R15" t="str">
        <f t="shared" si="0"/>
        <v>Do68</v>
      </c>
      <c r="S15" s="51">
        <v>37</v>
      </c>
      <c r="T15" s="23" t="s">
        <v>954</v>
      </c>
      <c r="U15" s="25" t="s">
        <v>954</v>
      </c>
      <c r="V15" s="25" t="s">
        <v>562</v>
      </c>
      <c r="W15" s="24">
        <v>17</v>
      </c>
    </row>
    <row r="16" spans="1:23" ht="15.75" thickBot="1" x14ac:dyDescent="0.3">
      <c r="A16" t="s">
        <v>29</v>
      </c>
      <c r="B16">
        <f>J49</f>
        <v>3</v>
      </c>
      <c r="C16">
        <f>H49</f>
        <v>4</v>
      </c>
      <c r="D16">
        <f>I49</f>
        <v>1</v>
      </c>
      <c r="G16" s="23">
        <v>18</v>
      </c>
      <c r="H16" s="24">
        <v>13</v>
      </c>
      <c r="I16" s="25" t="s">
        <v>571</v>
      </c>
      <c r="J16" s="24">
        <v>48</v>
      </c>
      <c r="K16" s="24">
        <v>38</v>
      </c>
      <c r="L16" s="24">
        <v>12</v>
      </c>
      <c r="M16" s="24">
        <v>12</v>
      </c>
      <c r="N16" s="24">
        <v>14</v>
      </c>
      <c r="O16" s="24">
        <v>61</v>
      </c>
      <c r="P16" s="24">
        <v>70</v>
      </c>
      <c r="Q16" s="24">
        <v>-9</v>
      </c>
      <c r="R16" t="str">
        <f t="shared" si="0"/>
        <v>St83</v>
      </c>
      <c r="S16" s="51">
        <v>34</v>
      </c>
      <c r="T16" s="23" t="s">
        <v>1308</v>
      </c>
      <c r="U16" s="25" t="s">
        <v>1308</v>
      </c>
      <c r="V16" s="25" t="s">
        <v>561</v>
      </c>
      <c r="W16" s="24">
        <v>16</v>
      </c>
    </row>
    <row r="17" spans="1:23" ht="15.75" thickBot="1" x14ac:dyDescent="0.3">
      <c r="A17" t="s">
        <v>36</v>
      </c>
      <c r="B17">
        <f>J50</f>
        <v>-1</v>
      </c>
      <c r="C17">
        <f>H50</f>
        <v>5</v>
      </c>
      <c r="D17">
        <f>I50</f>
        <v>6</v>
      </c>
      <c r="G17" s="23">
        <v>15</v>
      </c>
      <c r="H17" s="24">
        <v>14</v>
      </c>
      <c r="I17" s="25" t="s">
        <v>575</v>
      </c>
      <c r="J17" s="24">
        <v>47</v>
      </c>
      <c r="K17" s="24">
        <v>38</v>
      </c>
      <c r="L17" s="24">
        <v>12</v>
      </c>
      <c r="M17" s="24">
        <v>11</v>
      </c>
      <c r="N17" s="24">
        <v>15</v>
      </c>
      <c r="O17" s="24">
        <v>45</v>
      </c>
      <c r="P17" s="24">
        <v>60</v>
      </c>
      <c r="Q17" s="24">
        <v>-15</v>
      </c>
      <c r="R17" t="str">
        <f t="shared" si="0"/>
        <v>El69</v>
      </c>
      <c r="S17" s="51">
        <v>31</v>
      </c>
      <c r="T17" s="23" t="s">
        <v>1275</v>
      </c>
      <c r="U17" s="25" t="s">
        <v>1275</v>
      </c>
      <c r="V17" s="25" t="s">
        <v>576</v>
      </c>
      <c r="W17" s="24">
        <v>15</v>
      </c>
    </row>
    <row r="18" spans="1:23" ht="15.75" thickBot="1" x14ac:dyDescent="0.3">
      <c r="A18" t="s">
        <v>42</v>
      </c>
      <c r="B18">
        <f>J51</f>
        <v>-3</v>
      </c>
      <c r="C18">
        <f>H51</f>
        <v>6</v>
      </c>
      <c r="D18">
        <f>I51</f>
        <v>9</v>
      </c>
      <c r="G18" s="23">
        <v>1</v>
      </c>
      <c r="H18" s="24">
        <v>15</v>
      </c>
      <c r="I18" s="25" t="s">
        <v>559</v>
      </c>
      <c r="J18" s="24">
        <v>44</v>
      </c>
      <c r="K18" s="24">
        <v>38</v>
      </c>
      <c r="L18" s="24">
        <v>11</v>
      </c>
      <c r="M18" s="24">
        <v>11</v>
      </c>
      <c r="N18" s="24">
        <v>16</v>
      </c>
      <c r="O18" s="24">
        <v>58</v>
      </c>
      <c r="P18" s="24">
        <v>61</v>
      </c>
      <c r="Q18" s="24">
        <v>-3</v>
      </c>
      <c r="R18" t="str">
        <f t="shared" si="0"/>
        <v>Ea69</v>
      </c>
      <c r="S18" s="51">
        <v>28</v>
      </c>
      <c r="T18" s="23" t="s">
        <v>1045</v>
      </c>
      <c r="U18" s="25" t="s">
        <v>1045</v>
      </c>
      <c r="V18" s="25" t="s">
        <v>565</v>
      </c>
      <c r="W18" s="24">
        <v>15</v>
      </c>
    </row>
    <row r="19" spans="1:23" ht="15.75" thickBot="1" x14ac:dyDescent="0.3">
      <c r="A19" t="s">
        <v>21</v>
      </c>
      <c r="B19">
        <f>J52</f>
        <v>-8</v>
      </c>
      <c r="C19">
        <f>H52</f>
        <v>7</v>
      </c>
      <c r="D19">
        <f>I52</f>
        <v>15</v>
      </c>
      <c r="G19" s="23">
        <v>3</v>
      </c>
      <c r="H19" s="24">
        <v>16</v>
      </c>
      <c r="I19" s="25" t="s">
        <v>576</v>
      </c>
      <c r="J19" s="24">
        <v>42</v>
      </c>
      <c r="K19" s="24">
        <v>38</v>
      </c>
      <c r="L19" s="24">
        <v>11</v>
      </c>
      <c r="M19" s="24">
        <v>9</v>
      </c>
      <c r="N19" s="24">
        <v>18</v>
      </c>
      <c r="O19" s="24">
        <v>55</v>
      </c>
      <c r="P19" s="24">
        <v>68</v>
      </c>
      <c r="Q19" s="24">
        <v>-13</v>
      </c>
      <c r="R19" t="str">
        <f t="shared" si="0"/>
        <v>Co67</v>
      </c>
      <c r="S19" s="51">
        <v>25</v>
      </c>
      <c r="T19" s="23" t="s">
        <v>1312</v>
      </c>
      <c r="U19" s="25" t="s">
        <v>1312</v>
      </c>
      <c r="V19" s="25" t="s">
        <v>561</v>
      </c>
      <c r="W19" s="24">
        <v>15</v>
      </c>
    </row>
    <row r="20" spans="1:23" ht="15.75" thickBot="1" x14ac:dyDescent="0.3">
      <c r="A20" t="s">
        <v>28</v>
      </c>
      <c r="B20">
        <f>J53</f>
        <v>1</v>
      </c>
      <c r="C20">
        <f>H53</f>
        <v>8</v>
      </c>
      <c r="D20">
        <f>I53</f>
        <v>7</v>
      </c>
      <c r="G20" s="23">
        <v>10</v>
      </c>
      <c r="H20" s="24">
        <v>17</v>
      </c>
      <c r="I20" s="25" t="s">
        <v>572</v>
      </c>
      <c r="J20" s="24">
        <v>40</v>
      </c>
      <c r="K20" s="24">
        <v>38</v>
      </c>
      <c r="L20" s="24">
        <v>11</v>
      </c>
      <c r="M20" s="24">
        <v>7</v>
      </c>
      <c r="N20" s="24">
        <v>20</v>
      </c>
      <c r="O20" s="24">
        <v>51</v>
      </c>
      <c r="P20" s="24">
        <v>70</v>
      </c>
      <c r="Q20" s="24">
        <v>-19</v>
      </c>
      <c r="R20" t="str">
        <f t="shared" si="0"/>
        <v>Be66</v>
      </c>
      <c r="S20" s="51">
        <v>22</v>
      </c>
      <c r="T20" s="23" t="s">
        <v>1122</v>
      </c>
      <c r="U20" s="25" t="s">
        <v>1122</v>
      </c>
      <c r="V20" s="25" t="s">
        <v>558</v>
      </c>
      <c r="W20" s="24">
        <v>15</v>
      </c>
    </row>
    <row r="21" spans="1:23" ht="15.75" thickBot="1" x14ac:dyDescent="0.3">
      <c r="A21" t="s">
        <v>33</v>
      </c>
      <c r="B21">
        <f>J54</f>
        <v>1</v>
      </c>
      <c r="C21">
        <f>H54</f>
        <v>9</v>
      </c>
      <c r="D21">
        <f>I54</f>
        <v>8</v>
      </c>
      <c r="G21" s="23">
        <v>17</v>
      </c>
      <c r="H21" s="24">
        <v>18</v>
      </c>
      <c r="I21" s="25" t="s">
        <v>568</v>
      </c>
      <c r="J21" s="24">
        <v>33</v>
      </c>
      <c r="K21" s="24">
        <v>38</v>
      </c>
      <c r="L21" s="24">
        <v>8</v>
      </c>
      <c r="M21" s="24">
        <v>9</v>
      </c>
      <c r="N21" s="24">
        <v>21</v>
      </c>
      <c r="O21" s="24">
        <v>50</v>
      </c>
      <c r="P21" s="24">
        <v>73</v>
      </c>
      <c r="Q21" s="24">
        <v>-23</v>
      </c>
      <c r="R21" t="str">
        <f t="shared" si="0"/>
        <v>Ra82</v>
      </c>
      <c r="S21" s="51">
        <v>19</v>
      </c>
      <c r="T21" s="23" t="s">
        <v>1228</v>
      </c>
      <c r="U21" s="25" t="s">
        <v>1228</v>
      </c>
      <c r="V21" s="25" t="s">
        <v>570</v>
      </c>
      <c r="W21" s="24">
        <v>14</v>
      </c>
    </row>
    <row r="22" spans="1:23" ht="15.75" thickBot="1" x14ac:dyDescent="0.3">
      <c r="A22" t="s">
        <v>38</v>
      </c>
      <c r="B22">
        <f>J55</f>
        <v>6</v>
      </c>
      <c r="C22">
        <f>H55</f>
        <v>10</v>
      </c>
      <c r="D22">
        <f>I55</f>
        <v>4</v>
      </c>
      <c r="G22" s="23">
        <v>8</v>
      </c>
      <c r="H22" s="24">
        <v>19</v>
      </c>
      <c r="I22" s="25" t="s">
        <v>573</v>
      </c>
      <c r="J22" s="24">
        <v>28</v>
      </c>
      <c r="K22" s="24">
        <v>38</v>
      </c>
      <c r="L22" s="24">
        <v>6</v>
      </c>
      <c r="M22" s="24">
        <v>10</v>
      </c>
      <c r="N22" s="24">
        <v>22</v>
      </c>
      <c r="O22" s="24">
        <v>42</v>
      </c>
      <c r="P22" s="24">
        <v>67</v>
      </c>
      <c r="Q22" s="24">
        <v>-25</v>
      </c>
      <c r="R22" t="str">
        <f t="shared" si="0"/>
        <v>Rh82</v>
      </c>
      <c r="S22" s="51">
        <v>16</v>
      </c>
      <c r="T22" s="23" t="s">
        <v>950</v>
      </c>
      <c r="U22" s="25" t="s">
        <v>950</v>
      </c>
      <c r="V22" s="25" t="s">
        <v>570</v>
      </c>
      <c r="W22" s="24">
        <v>14</v>
      </c>
    </row>
    <row r="23" spans="1:23" ht="15.75" thickBot="1" x14ac:dyDescent="0.3">
      <c r="A23" t="s">
        <v>35</v>
      </c>
      <c r="B23">
        <f>J56</f>
        <v>-1</v>
      </c>
      <c r="C23">
        <f>H56</f>
        <v>11</v>
      </c>
      <c r="D23">
        <f>I56</f>
        <v>12</v>
      </c>
      <c r="G23" s="23">
        <v>19</v>
      </c>
      <c r="H23" s="24">
        <v>20</v>
      </c>
      <c r="I23" s="25" t="s">
        <v>577</v>
      </c>
      <c r="J23" s="24">
        <v>21</v>
      </c>
      <c r="K23" s="24">
        <v>38</v>
      </c>
      <c r="L23" s="24">
        <v>5</v>
      </c>
      <c r="M23" s="24">
        <v>6</v>
      </c>
      <c r="N23" s="24">
        <v>27</v>
      </c>
      <c r="O23" s="24">
        <v>41</v>
      </c>
      <c r="P23" s="24">
        <v>85</v>
      </c>
      <c r="Q23" s="24">
        <v>-44</v>
      </c>
      <c r="R23" t="str">
        <f t="shared" si="0"/>
        <v>Bu66</v>
      </c>
      <c r="S23" s="51">
        <v>13</v>
      </c>
      <c r="T23" s="23" t="s">
        <v>1043</v>
      </c>
      <c r="U23" s="25" t="s">
        <v>1043</v>
      </c>
      <c r="V23" s="25" t="s">
        <v>565</v>
      </c>
      <c r="W23" s="24">
        <v>14</v>
      </c>
    </row>
    <row r="24" spans="1:23" ht="19.5" customHeight="1" thickBot="1" x14ac:dyDescent="0.3">
      <c r="A24" t="s">
        <v>40</v>
      </c>
      <c r="B24">
        <f>J57</f>
        <v>-1</v>
      </c>
      <c r="C24">
        <f>H57</f>
        <v>12</v>
      </c>
      <c r="D24">
        <f>I57</f>
        <v>13</v>
      </c>
      <c r="T24" s="23" t="s">
        <v>966</v>
      </c>
      <c r="U24" s="25" t="s">
        <v>966</v>
      </c>
      <c r="V24" s="25" t="s">
        <v>562</v>
      </c>
      <c r="W24" s="24">
        <v>14</v>
      </c>
    </row>
    <row r="25" spans="1:23" ht="15.75" thickBot="1" x14ac:dyDescent="0.3">
      <c r="A25" t="s">
        <v>25</v>
      </c>
      <c r="B25">
        <f>J58</f>
        <v>-3</v>
      </c>
      <c r="C25">
        <f>H58</f>
        <v>13</v>
      </c>
      <c r="D25">
        <f>I58</f>
        <v>16</v>
      </c>
      <c r="T25" s="23" t="s">
        <v>1441</v>
      </c>
      <c r="U25" s="25" t="s">
        <v>1441</v>
      </c>
      <c r="V25" s="25" t="s">
        <v>570</v>
      </c>
      <c r="W25" s="24">
        <v>14</v>
      </c>
    </row>
    <row r="26" spans="1:23" ht="15.75" thickBot="1" x14ac:dyDescent="0.3">
      <c r="A26" t="s">
        <v>26</v>
      </c>
      <c r="B26">
        <f>J59</f>
        <v>3</v>
      </c>
      <c r="C26">
        <f>H59</f>
        <v>14</v>
      </c>
      <c r="D26">
        <f>I59</f>
        <v>11</v>
      </c>
      <c r="T26" s="23" t="s">
        <v>756</v>
      </c>
      <c r="U26" s="25" t="s">
        <v>756</v>
      </c>
      <c r="V26" s="25" t="s">
        <v>563</v>
      </c>
      <c r="W26" s="24">
        <v>14</v>
      </c>
    </row>
    <row r="27" spans="1:23" ht="15.75" thickBot="1" x14ac:dyDescent="0.3">
      <c r="A27" t="s">
        <v>39</v>
      </c>
      <c r="B27">
        <f>J60</f>
        <v>-3</v>
      </c>
      <c r="C27">
        <f>H60</f>
        <v>15</v>
      </c>
      <c r="D27">
        <f>I60</f>
        <v>18</v>
      </c>
      <c r="T27" s="23" t="s">
        <v>834</v>
      </c>
      <c r="U27" s="25" t="s">
        <v>834</v>
      </c>
      <c r="V27" s="25" t="s">
        <v>575</v>
      </c>
      <c r="W27" s="24">
        <v>13</v>
      </c>
    </row>
    <row r="28" spans="1:23" ht="15.75" thickBot="1" x14ac:dyDescent="0.3">
      <c r="A28" t="s">
        <v>32</v>
      </c>
      <c r="B28">
        <f>J61</f>
        <v>-1</v>
      </c>
      <c r="C28">
        <f>H61</f>
        <v>16</v>
      </c>
      <c r="D28">
        <f>I61</f>
        <v>17</v>
      </c>
      <c r="T28" s="23" t="s">
        <v>1386</v>
      </c>
      <c r="U28" s="25" t="s">
        <v>1386</v>
      </c>
      <c r="V28" s="25" t="s">
        <v>564</v>
      </c>
      <c r="W28" s="24">
        <v>13</v>
      </c>
    </row>
    <row r="29" spans="1:23" ht="15.75" thickBot="1" x14ac:dyDescent="0.3">
      <c r="A29" t="s">
        <v>34</v>
      </c>
      <c r="B29">
        <f>J62</f>
        <v>7</v>
      </c>
      <c r="C29">
        <f>H62</f>
        <v>17</v>
      </c>
      <c r="D29">
        <f>I62</f>
        <v>10</v>
      </c>
      <c r="T29" s="23" t="s">
        <v>1341</v>
      </c>
      <c r="U29" s="25" t="s">
        <v>1341</v>
      </c>
      <c r="V29" s="25" t="s">
        <v>559</v>
      </c>
      <c r="W29" s="24">
        <v>13</v>
      </c>
    </row>
    <row r="30" spans="1:23" ht="15.75" thickBot="1" x14ac:dyDescent="0.3">
      <c r="A30" t="s">
        <v>37</v>
      </c>
      <c r="B30">
        <f>J63</f>
        <v>4</v>
      </c>
      <c r="C30">
        <f>H63</f>
        <v>18</v>
      </c>
      <c r="D30">
        <f>I63</f>
        <v>14</v>
      </c>
      <c r="T30" s="23" t="s">
        <v>870</v>
      </c>
      <c r="U30" s="25" t="s">
        <v>870</v>
      </c>
      <c r="V30" s="25" t="s">
        <v>567</v>
      </c>
      <c r="W30" s="24">
        <v>13</v>
      </c>
    </row>
    <row r="31" spans="1:23" ht="15.75" thickBot="1" x14ac:dyDescent="0.3">
      <c r="A31" t="s">
        <v>30</v>
      </c>
      <c r="B31">
        <f>J64</f>
        <v>0</v>
      </c>
      <c r="C31">
        <f>H64</f>
        <v>19</v>
      </c>
      <c r="D31">
        <f>I64</f>
        <v>19</v>
      </c>
      <c r="T31" s="23" t="s">
        <v>1442</v>
      </c>
      <c r="U31" s="25" t="s">
        <v>1442</v>
      </c>
      <c r="V31" s="25" t="s">
        <v>567</v>
      </c>
      <c r="W31" s="24">
        <v>13</v>
      </c>
    </row>
    <row r="32" spans="1:23" ht="15.75" thickBot="1" x14ac:dyDescent="0.3">
      <c r="A32" t="s">
        <v>41</v>
      </c>
      <c r="B32">
        <f>J65</f>
        <v>0</v>
      </c>
      <c r="C32">
        <f>H65</f>
        <v>20</v>
      </c>
      <c r="D32">
        <f>I65</f>
        <v>20</v>
      </c>
      <c r="T32" s="23" t="s">
        <v>1353</v>
      </c>
      <c r="U32" s="25" t="s">
        <v>1353</v>
      </c>
      <c r="V32" s="25" t="s">
        <v>559</v>
      </c>
      <c r="W32" s="24">
        <v>13</v>
      </c>
    </row>
    <row r="33" spans="1:23" ht="15.75" thickBot="1" x14ac:dyDescent="0.3">
      <c r="T33" s="23" t="s">
        <v>1412</v>
      </c>
      <c r="U33" s="25" t="s">
        <v>1412</v>
      </c>
      <c r="V33" s="25" t="s">
        <v>564</v>
      </c>
      <c r="W33" s="24">
        <v>12</v>
      </c>
    </row>
    <row r="34" spans="1:23" ht="15.75" thickBot="1" x14ac:dyDescent="0.3">
      <c r="T34" s="23" t="s">
        <v>657</v>
      </c>
      <c r="U34" s="25" t="s">
        <v>657</v>
      </c>
      <c r="V34" s="25" t="s">
        <v>566</v>
      </c>
      <c r="W34" s="24">
        <v>12</v>
      </c>
    </row>
    <row r="35" spans="1:23" ht="15.75" thickBot="1" x14ac:dyDescent="0.3">
      <c r="T35" s="23" t="s">
        <v>1231</v>
      </c>
      <c r="U35" s="25" t="s">
        <v>1231</v>
      </c>
      <c r="V35" s="25" t="s">
        <v>570</v>
      </c>
      <c r="W35" s="24">
        <v>12</v>
      </c>
    </row>
    <row r="36" spans="1:23" ht="15.75" thickBot="1" x14ac:dyDescent="0.3">
      <c r="T36" s="23" t="s">
        <v>1345</v>
      </c>
      <c r="U36" s="25" t="s">
        <v>1345</v>
      </c>
      <c r="V36" s="25" t="s">
        <v>559</v>
      </c>
      <c r="W36" s="24">
        <v>11</v>
      </c>
    </row>
    <row r="37" spans="1:23" ht="15.75" thickBot="1" x14ac:dyDescent="0.3">
      <c r="T37" s="23" t="s">
        <v>1271</v>
      </c>
      <c r="U37" s="25" t="s">
        <v>1271</v>
      </c>
      <c r="V37" s="25" t="s">
        <v>576</v>
      </c>
      <c r="W37" s="24">
        <v>11</v>
      </c>
    </row>
    <row r="38" spans="1:23" ht="15.75" thickBot="1" x14ac:dyDescent="0.3">
      <c r="T38" s="23" t="s">
        <v>1193</v>
      </c>
      <c r="U38" s="25" t="s">
        <v>1193</v>
      </c>
      <c r="V38" s="25" t="s">
        <v>569</v>
      </c>
      <c r="W38" s="24">
        <v>11</v>
      </c>
    </row>
    <row r="39" spans="1:23" ht="15.75" thickBot="1" x14ac:dyDescent="0.3">
      <c r="T39" s="23" t="s">
        <v>922</v>
      </c>
      <c r="U39" s="25" t="s">
        <v>922</v>
      </c>
      <c r="V39" s="25" t="s">
        <v>574</v>
      </c>
      <c r="W39" s="24">
        <v>11</v>
      </c>
    </row>
    <row r="40" spans="1:23" ht="15.75" thickBot="1" x14ac:dyDescent="0.3">
      <c r="T40" s="23" t="s">
        <v>1407</v>
      </c>
      <c r="U40" s="25" t="s">
        <v>1407</v>
      </c>
      <c r="V40" s="25" t="s">
        <v>571</v>
      </c>
      <c r="W40" s="24">
        <v>10</v>
      </c>
    </row>
    <row r="41" spans="1:23" ht="15.75" thickBot="1" x14ac:dyDescent="0.3">
      <c r="T41" s="23" t="s">
        <v>1423</v>
      </c>
      <c r="U41" s="25" t="s">
        <v>1423</v>
      </c>
      <c r="V41" s="25" t="s">
        <v>571</v>
      </c>
      <c r="W41" s="24">
        <v>10</v>
      </c>
    </row>
    <row r="42" spans="1:23" ht="15.75" thickBot="1" x14ac:dyDescent="0.3">
      <c r="T42" s="23" t="s">
        <v>749</v>
      </c>
      <c r="U42" s="25" t="s">
        <v>749</v>
      </c>
      <c r="V42" s="25" t="s">
        <v>568</v>
      </c>
      <c r="W42" s="24">
        <v>10</v>
      </c>
    </row>
    <row r="43" spans="1:23" ht="15.75" thickBot="1" x14ac:dyDescent="0.3">
      <c r="T43" s="23" t="s">
        <v>911</v>
      </c>
      <c r="U43" s="25" t="s">
        <v>911</v>
      </c>
      <c r="V43" s="25" t="s">
        <v>574</v>
      </c>
      <c r="W43" s="24">
        <v>10</v>
      </c>
    </row>
    <row r="44" spans="1:23" ht="15.75" thickBot="1" x14ac:dyDescent="0.3">
      <c r="B44" t="s">
        <v>1449</v>
      </c>
      <c r="T44" s="23" t="s">
        <v>1002</v>
      </c>
      <c r="U44" s="25" t="s">
        <v>1002</v>
      </c>
      <c r="V44" s="25" t="s">
        <v>572</v>
      </c>
      <c r="W44" s="24">
        <v>10</v>
      </c>
    </row>
    <row r="45" spans="1:23" ht="15.75" thickBot="1" x14ac:dyDescent="0.3">
      <c r="A45" t="s">
        <v>6</v>
      </c>
      <c r="B45" t="s">
        <v>0</v>
      </c>
      <c r="C45" t="s">
        <v>1</v>
      </c>
      <c r="D45" t="s">
        <v>2</v>
      </c>
      <c r="E45" t="s">
        <v>3</v>
      </c>
      <c r="F45" t="s">
        <v>4</v>
      </c>
      <c r="H45" t="s">
        <v>1463</v>
      </c>
      <c r="I45" t="s">
        <v>1464</v>
      </c>
      <c r="J45" t="s">
        <v>1462</v>
      </c>
      <c r="T45" s="23" t="s">
        <v>1006</v>
      </c>
      <c r="U45" s="25" t="s">
        <v>1006</v>
      </c>
      <c r="V45" s="25" t="s">
        <v>572</v>
      </c>
      <c r="W45" s="24">
        <v>10</v>
      </c>
    </row>
    <row r="46" spans="1:23" ht="15.75" thickBot="1" x14ac:dyDescent="0.3">
      <c r="A46">
        <v>2</v>
      </c>
      <c r="B46" t="s">
        <v>23</v>
      </c>
      <c r="C46" s="2">
        <v>83.77000000000001</v>
      </c>
      <c r="D46" s="2">
        <v>82.329999999999984</v>
      </c>
      <c r="E46" s="2">
        <v>61.86363636363636</v>
      </c>
      <c r="F46" s="2">
        <v>83.05</v>
      </c>
      <c r="H46">
        <v>1</v>
      </c>
      <c r="I46">
        <f>M68</f>
        <v>5</v>
      </c>
      <c r="J46">
        <f>L68-M68</f>
        <v>-4</v>
      </c>
      <c r="T46" s="23" t="s">
        <v>665</v>
      </c>
      <c r="U46" s="25" t="s">
        <v>665</v>
      </c>
      <c r="V46" s="25" t="s">
        <v>566</v>
      </c>
      <c r="W46" s="24">
        <v>10</v>
      </c>
    </row>
    <row r="47" spans="1:23" ht="15.75" thickBot="1" x14ac:dyDescent="0.3">
      <c r="A47">
        <v>5</v>
      </c>
      <c r="B47" t="s">
        <v>27</v>
      </c>
      <c r="C47" s="2">
        <v>84.714333333333329</v>
      </c>
      <c r="D47" s="2">
        <v>80.509</v>
      </c>
      <c r="E47" s="2">
        <v>60.68181818181818</v>
      </c>
      <c r="F47" s="2">
        <v>82.611666666666665</v>
      </c>
      <c r="H47">
        <v>2</v>
      </c>
      <c r="I47">
        <f>M69</f>
        <v>2</v>
      </c>
      <c r="J47">
        <f>L69-M69</f>
        <v>0</v>
      </c>
      <c r="T47" s="23" t="s">
        <v>1373</v>
      </c>
      <c r="U47" s="25" t="s">
        <v>1373</v>
      </c>
      <c r="V47" s="25" t="s">
        <v>564</v>
      </c>
      <c r="W47" s="24">
        <v>10</v>
      </c>
    </row>
    <row r="48" spans="1:23" ht="15.75" thickBot="1" x14ac:dyDescent="0.3">
      <c r="A48">
        <v>9</v>
      </c>
      <c r="B48" t="s">
        <v>31</v>
      </c>
      <c r="C48" s="2">
        <v>82.463083333333344</v>
      </c>
      <c r="D48" s="2">
        <v>79.847749999999991</v>
      </c>
      <c r="E48" s="2">
        <v>59.590909090909093</v>
      </c>
      <c r="F48" s="2">
        <v>81.155416666666667</v>
      </c>
      <c r="H48">
        <v>3</v>
      </c>
      <c r="I48">
        <f>M70</f>
        <v>3</v>
      </c>
      <c r="J48">
        <f>L70-M70</f>
        <v>0</v>
      </c>
      <c r="T48" s="23" t="s">
        <v>1201</v>
      </c>
      <c r="U48" s="25" t="s">
        <v>1201</v>
      </c>
      <c r="V48" s="25" t="s">
        <v>569</v>
      </c>
      <c r="W48" s="24">
        <v>10</v>
      </c>
    </row>
    <row r="49" spans="1:23" ht="15.75" thickBot="1" x14ac:dyDescent="0.3">
      <c r="A49">
        <v>7</v>
      </c>
      <c r="B49" t="s">
        <v>29</v>
      </c>
      <c r="C49" s="2">
        <v>80.23308333333334</v>
      </c>
      <c r="D49" s="2">
        <v>73.777749999999997</v>
      </c>
      <c r="E49" s="2">
        <v>86.590909090909093</v>
      </c>
      <c r="F49" s="2">
        <v>77.005416666666662</v>
      </c>
      <c r="H49">
        <v>4</v>
      </c>
      <c r="I49">
        <f>M71</f>
        <v>1</v>
      </c>
      <c r="J49">
        <f>L71-M71</f>
        <v>3</v>
      </c>
      <c r="T49" s="23" t="s">
        <v>1278</v>
      </c>
      <c r="U49" s="25" t="s">
        <v>1278</v>
      </c>
      <c r="V49" s="25" t="s">
        <v>576</v>
      </c>
      <c r="W49" s="24">
        <v>10</v>
      </c>
    </row>
    <row r="50" spans="1:23" ht="15.75" thickBot="1" x14ac:dyDescent="0.3">
      <c r="A50">
        <v>14</v>
      </c>
      <c r="B50" t="s">
        <v>36</v>
      </c>
      <c r="C50" s="2">
        <v>72.445000000000007</v>
      </c>
      <c r="D50" s="2">
        <v>74.004999999999981</v>
      </c>
      <c r="E50" s="2">
        <v>56.13636363636364</v>
      </c>
      <c r="F50" s="2">
        <v>73.224999999999994</v>
      </c>
      <c r="H50">
        <v>5</v>
      </c>
      <c r="I50">
        <f>M72</f>
        <v>6</v>
      </c>
      <c r="J50">
        <f>L72-M72</f>
        <v>-1</v>
      </c>
      <c r="T50" s="23" t="s">
        <v>1209</v>
      </c>
      <c r="U50" s="25" t="s">
        <v>1209</v>
      </c>
      <c r="V50" s="25" t="s">
        <v>569</v>
      </c>
      <c r="W50" s="24">
        <v>10</v>
      </c>
    </row>
    <row r="51" spans="1:23" ht="15.75" thickBot="1" x14ac:dyDescent="0.3">
      <c r="A51">
        <v>20</v>
      </c>
      <c r="B51" t="s">
        <v>42</v>
      </c>
      <c r="C51" s="2">
        <v>65.365750000000006</v>
      </c>
      <c r="D51" s="2">
        <v>76.051750000000013</v>
      </c>
      <c r="E51" s="2">
        <v>41.81818181818182</v>
      </c>
      <c r="F51" s="2">
        <v>70.708750000000009</v>
      </c>
      <c r="H51">
        <v>6</v>
      </c>
      <c r="I51">
        <f>M73</f>
        <v>9</v>
      </c>
      <c r="J51">
        <f>L73-M73</f>
        <v>-3</v>
      </c>
      <c r="T51" s="23" t="s">
        <v>1118</v>
      </c>
      <c r="U51" s="25" t="s">
        <v>1118</v>
      </c>
      <c r="V51" s="25" t="s">
        <v>558</v>
      </c>
      <c r="W51" s="24">
        <v>10</v>
      </c>
    </row>
    <row r="52" spans="1:23" ht="15.75" thickBot="1" x14ac:dyDescent="0.3">
      <c r="A52">
        <v>1</v>
      </c>
      <c r="B52" t="s">
        <v>21</v>
      </c>
      <c r="C52" s="2">
        <v>79.290333333333336</v>
      </c>
      <c r="D52" s="2">
        <v>60.173000000000002</v>
      </c>
      <c r="E52" s="2">
        <v>56.545454545454547</v>
      </c>
      <c r="F52" s="2">
        <v>69.731666666666669</v>
      </c>
      <c r="H52">
        <v>7</v>
      </c>
      <c r="I52">
        <f>M74</f>
        <v>15</v>
      </c>
      <c r="J52">
        <f>L74-M74</f>
        <v>-8</v>
      </c>
      <c r="T52" s="23" t="s">
        <v>958</v>
      </c>
      <c r="U52" s="25" t="s">
        <v>958</v>
      </c>
      <c r="V52" s="25" t="s">
        <v>562</v>
      </c>
      <c r="W52" s="24">
        <v>10</v>
      </c>
    </row>
    <row r="53" spans="1:23" ht="15.75" thickBot="1" x14ac:dyDescent="0.3">
      <c r="A53">
        <v>6</v>
      </c>
      <c r="B53" t="s">
        <v>28</v>
      </c>
      <c r="C53" s="2">
        <v>66.669750000000008</v>
      </c>
      <c r="D53" s="2">
        <v>71.307749999999999</v>
      </c>
      <c r="E53" s="2">
        <v>34.5</v>
      </c>
      <c r="F53" s="2">
        <v>68.98875000000001</v>
      </c>
      <c r="H53">
        <v>8</v>
      </c>
      <c r="I53">
        <f>M75</f>
        <v>7</v>
      </c>
      <c r="J53">
        <f>L75-M75</f>
        <v>1</v>
      </c>
      <c r="T53" s="23" t="s">
        <v>1399</v>
      </c>
      <c r="U53" s="25" t="s">
        <v>1399</v>
      </c>
      <c r="V53" s="25" t="s">
        <v>564</v>
      </c>
      <c r="W53" s="24">
        <v>10</v>
      </c>
    </row>
    <row r="54" spans="1:23" ht="15.75" thickBot="1" x14ac:dyDescent="0.3">
      <c r="A54">
        <v>11</v>
      </c>
      <c r="B54" t="s">
        <v>33</v>
      </c>
      <c r="C54" s="2">
        <v>78.33241666666666</v>
      </c>
      <c r="D54" s="2">
        <v>58.751750000000001</v>
      </c>
      <c r="E54" s="2">
        <v>80</v>
      </c>
      <c r="F54" s="2">
        <v>68.542083333333323</v>
      </c>
      <c r="H54">
        <v>9</v>
      </c>
      <c r="I54">
        <f>M76</f>
        <v>8</v>
      </c>
      <c r="J54">
        <f>L76-M76</f>
        <v>1</v>
      </c>
      <c r="T54" s="23" t="s">
        <v>741</v>
      </c>
      <c r="U54" s="25" t="s">
        <v>741</v>
      </c>
      <c r="V54" s="25" t="s">
        <v>568</v>
      </c>
      <c r="W54" s="24">
        <v>9</v>
      </c>
    </row>
    <row r="55" spans="1:23" ht="15.75" thickBot="1" x14ac:dyDescent="0.3">
      <c r="A55">
        <v>16</v>
      </c>
      <c r="B55" t="s">
        <v>38</v>
      </c>
      <c r="C55" s="2">
        <v>73.079583333333332</v>
      </c>
      <c r="D55" s="2">
        <v>58.116250000000008</v>
      </c>
      <c r="E55" s="2">
        <v>58.181818181818187</v>
      </c>
      <c r="F55" s="2">
        <v>65.597916666666663</v>
      </c>
      <c r="H55">
        <v>10</v>
      </c>
      <c r="I55">
        <f>M77</f>
        <v>4</v>
      </c>
      <c r="J55">
        <f>L77-M77</f>
        <v>6</v>
      </c>
      <c r="T55" s="23" t="s">
        <v>752</v>
      </c>
      <c r="U55" s="25" t="s">
        <v>752</v>
      </c>
      <c r="V55" s="25" t="s">
        <v>568</v>
      </c>
      <c r="W55" s="24">
        <v>9</v>
      </c>
    </row>
    <row r="56" spans="1:23" ht="15.75" thickBot="1" x14ac:dyDescent="0.3">
      <c r="A56">
        <v>13</v>
      </c>
      <c r="B56" t="s">
        <v>35</v>
      </c>
      <c r="C56" s="2">
        <v>68.518833333333347</v>
      </c>
      <c r="D56" s="2">
        <v>56.109499999999997</v>
      </c>
      <c r="E56" s="2">
        <v>87.681818181818187</v>
      </c>
      <c r="F56" s="2">
        <v>62.314166666666672</v>
      </c>
      <c r="H56">
        <v>11</v>
      </c>
      <c r="I56">
        <f>M78</f>
        <v>12</v>
      </c>
      <c r="J56">
        <f>L78-M78</f>
        <v>-1</v>
      </c>
      <c r="T56" s="23" t="s">
        <v>1225</v>
      </c>
      <c r="U56" s="25" t="s">
        <v>1225</v>
      </c>
      <c r="V56" s="25" t="s">
        <v>570</v>
      </c>
      <c r="W56" s="24">
        <v>9</v>
      </c>
    </row>
    <row r="57" spans="1:23" ht="15.75" thickBot="1" x14ac:dyDescent="0.3">
      <c r="A57">
        <v>18</v>
      </c>
      <c r="B57" t="s">
        <v>40</v>
      </c>
      <c r="C57" s="2">
        <v>59.274916666666677</v>
      </c>
      <c r="D57" s="2">
        <v>65.234250000000003</v>
      </c>
      <c r="E57" s="2">
        <v>69.318181818181813</v>
      </c>
      <c r="F57" s="2">
        <v>62.254583333333343</v>
      </c>
      <c r="H57">
        <v>12</v>
      </c>
      <c r="I57">
        <f>M79</f>
        <v>13</v>
      </c>
      <c r="J57">
        <f>L79-M79</f>
        <v>-1</v>
      </c>
      <c r="T57" s="23" t="s">
        <v>1086</v>
      </c>
      <c r="U57" s="25" t="s">
        <v>1086</v>
      </c>
      <c r="V57" s="25" t="s">
        <v>573</v>
      </c>
      <c r="W57" s="24">
        <v>9</v>
      </c>
    </row>
    <row r="58" spans="1:23" ht="15.75" thickBot="1" x14ac:dyDescent="0.3">
      <c r="A58">
        <v>3</v>
      </c>
      <c r="B58" t="s">
        <v>25</v>
      </c>
      <c r="C58" s="2">
        <v>67.463916666666663</v>
      </c>
      <c r="D58" s="2">
        <v>55.255249999999997</v>
      </c>
      <c r="E58" s="2">
        <v>56.227272727272734</v>
      </c>
      <c r="F58" s="2">
        <v>61.359583333333333</v>
      </c>
      <c r="H58">
        <v>13</v>
      </c>
      <c r="I58">
        <f>M80</f>
        <v>16</v>
      </c>
      <c r="J58">
        <f>L80-M80</f>
        <v>-3</v>
      </c>
      <c r="T58" s="23" t="s">
        <v>693</v>
      </c>
      <c r="U58" s="25" t="s">
        <v>693</v>
      </c>
      <c r="V58" s="25" t="s">
        <v>577</v>
      </c>
      <c r="W58" s="24">
        <v>9</v>
      </c>
    </row>
    <row r="59" spans="1:23" ht="15.75" thickBot="1" x14ac:dyDescent="0.3">
      <c r="A59">
        <v>4</v>
      </c>
      <c r="B59" t="s">
        <v>26</v>
      </c>
      <c r="C59" s="2">
        <v>70.841083333333344</v>
      </c>
      <c r="D59" s="2">
        <v>51.489750000000001</v>
      </c>
      <c r="E59" s="2">
        <v>60.227272727272727</v>
      </c>
      <c r="F59" s="2">
        <v>61.165416666666673</v>
      </c>
      <c r="H59">
        <v>14</v>
      </c>
      <c r="I59">
        <f>M81</f>
        <v>11</v>
      </c>
      <c r="J59">
        <f>L81-M81</f>
        <v>3</v>
      </c>
      <c r="T59" s="23" t="s">
        <v>1032</v>
      </c>
      <c r="U59" s="25" t="s">
        <v>1032</v>
      </c>
      <c r="V59" s="25" t="s">
        <v>565</v>
      </c>
      <c r="W59" s="24">
        <v>9</v>
      </c>
    </row>
    <row r="60" spans="1:23" ht="15.75" thickBot="1" x14ac:dyDescent="0.3">
      <c r="A60">
        <v>17</v>
      </c>
      <c r="B60" t="s">
        <v>39</v>
      </c>
      <c r="C60" s="2">
        <v>67.455416666666665</v>
      </c>
      <c r="D60" s="2">
        <v>53.098749999999995</v>
      </c>
      <c r="E60" s="2">
        <v>97.63636363636364</v>
      </c>
      <c r="F60" s="2">
        <v>60.27708333333333</v>
      </c>
      <c r="H60">
        <v>15</v>
      </c>
      <c r="I60">
        <f>M82</f>
        <v>18</v>
      </c>
      <c r="J60">
        <f>L82-M82</f>
        <v>-3</v>
      </c>
      <c r="T60" s="23" t="s">
        <v>866</v>
      </c>
      <c r="U60" s="25" t="s">
        <v>866</v>
      </c>
      <c r="V60" s="25" t="s">
        <v>567</v>
      </c>
      <c r="W60" s="24">
        <v>9</v>
      </c>
    </row>
    <row r="61" spans="1:23" ht="15.75" thickBot="1" x14ac:dyDescent="0.3">
      <c r="A61">
        <v>10</v>
      </c>
      <c r="B61" t="s">
        <v>32</v>
      </c>
      <c r="C61" s="2">
        <v>52.087250000000004</v>
      </c>
      <c r="D61" s="2">
        <v>67.66525</v>
      </c>
      <c r="E61" s="2">
        <v>54.954545454545453</v>
      </c>
      <c r="F61" s="2">
        <v>59.876249999999999</v>
      </c>
      <c r="H61">
        <v>16</v>
      </c>
      <c r="I61">
        <f>M83</f>
        <v>17</v>
      </c>
      <c r="J61">
        <f>L83-M83</f>
        <v>-1</v>
      </c>
      <c r="T61" s="23" t="s">
        <v>1205</v>
      </c>
      <c r="U61" s="25" t="s">
        <v>1205</v>
      </c>
      <c r="V61" s="25" t="s">
        <v>569</v>
      </c>
      <c r="W61" s="24">
        <v>9</v>
      </c>
    </row>
    <row r="62" spans="1:23" ht="15.75" thickBot="1" x14ac:dyDescent="0.3">
      <c r="A62">
        <v>12</v>
      </c>
      <c r="B62" t="s">
        <v>34</v>
      </c>
      <c r="C62" s="2">
        <v>57.381416666666674</v>
      </c>
      <c r="D62" s="2">
        <v>53.312750000000001</v>
      </c>
      <c r="E62" s="2">
        <v>56.818181818181813</v>
      </c>
      <c r="F62" s="2">
        <v>55.347083333333337</v>
      </c>
      <c r="H62">
        <v>17</v>
      </c>
      <c r="I62">
        <f>M84</f>
        <v>10</v>
      </c>
      <c r="J62">
        <f>L84-M84</f>
        <v>7</v>
      </c>
      <c r="T62" s="23" t="s">
        <v>1304</v>
      </c>
      <c r="U62" s="25" t="s">
        <v>1304</v>
      </c>
      <c r="V62" s="25" t="s">
        <v>561</v>
      </c>
      <c r="W62" s="24">
        <v>8</v>
      </c>
    </row>
    <row r="63" spans="1:23" ht="15.75" thickBot="1" x14ac:dyDescent="0.3">
      <c r="A63">
        <v>15</v>
      </c>
      <c r="B63" t="s">
        <v>37</v>
      </c>
      <c r="C63" s="2">
        <v>47.263750000000009</v>
      </c>
      <c r="D63" s="2">
        <v>63.373749999999987</v>
      </c>
      <c r="E63" s="2">
        <v>80.318181818181813</v>
      </c>
      <c r="F63" s="2">
        <v>55.318749999999994</v>
      </c>
      <c r="H63">
        <v>18</v>
      </c>
      <c r="I63">
        <f>M85</f>
        <v>14</v>
      </c>
      <c r="J63">
        <f>L85-M85</f>
        <v>4</v>
      </c>
      <c r="T63" s="23" t="s">
        <v>1114</v>
      </c>
      <c r="U63" s="25" t="s">
        <v>1114</v>
      </c>
      <c r="V63" s="25" t="s">
        <v>558</v>
      </c>
      <c r="W63" s="24">
        <v>8</v>
      </c>
    </row>
    <row r="64" spans="1:23" ht="15.75" thickBot="1" x14ac:dyDescent="0.3">
      <c r="A64">
        <v>8</v>
      </c>
      <c r="B64" t="s">
        <v>30</v>
      </c>
      <c r="C64" s="2">
        <v>41.128250000000008</v>
      </c>
      <c r="D64" s="2">
        <v>57.914249999999996</v>
      </c>
      <c r="E64" s="2">
        <v>35.090909090909093</v>
      </c>
      <c r="F64" s="2">
        <v>49.521250000000002</v>
      </c>
      <c r="H64">
        <v>19</v>
      </c>
      <c r="I64">
        <f>M86</f>
        <v>19</v>
      </c>
      <c r="J64">
        <f>L86-M86</f>
        <v>0</v>
      </c>
      <c r="T64" s="23" t="s">
        <v>878</v>
      </c>
      <c r="U64" s="25" t="s">
        <v>878</v>
      </c>
      <c r="V64" s="25" t="s">
        <v>567</v>
      </c>
      <c r="W64" s="24">
        <v>8</v>
      </c>
    </row>
    <row r="65" spans="1:23" ht="15.75" thickBot="1" x14ac:dyDescent="0.3">
      <c r="A65">
        <v>19</v>
      </c>
      <c r="B65" t="s">
        <v>41</v>
      </c>
      <c r="C65" s="2">
        <v>27.46125</v>
      </c>
      <c r="D65" s="2">
        <v>47.551249999999996</v>
      </c>
      <c r="E65" s="2">
        <v>76.590909090909093</v>
      </c>
      <c r="F65" s="2">
        <v>37.506249999999994</v>
      </c>
      <c r="H65">
        <v>20</v>
      </c>
      <c r="I65">
        <f>M87</f>
        <v>20</v>
      </c>
      <c r="J65">
        <f>L87-M87</f>
        <v>0</v>
      </c>
      <c r="T65" s="23" t="s">
        <v>745</v>
      </c>
      <c r="U65" s="25" t="s">
        <v>745</v>
      </c>
      <c r="V65" s="25" t="s">
        <v>568</v>
      </c>
      <c r="W65" s="24">
        <v>8</v>
      </c>
    </row>
    <row r="66" spans="1:23" ht="15.75" thickBot="1" x14ac:dyDescent="0.3">
      <c r="T66" s="23" t="s">
        <v>783</v>
      </c>
      <c r="U66" s="25" t="s">
        <v>783</v>
      </c>
      <c r="V66" s="25" t="s">
        <v>563</v>
      </c>
      <c r="W66" s="24">
        <v>8</v>
      </c>
    </row>
    <row r="67" spans="1:23" ht="15.75" thickBot="1" x14ac:dyDescent="0.3">
      <c r="B67" t="s">
        <v>1453</v>
      </c>
      <c r="D67" t="s">
        <v>1454</v>
      </c>
      <c r="T67" s="23" t="s">
        <v>709</v>
      </c>
      <c r="U67" s="25" t="s">
        <v>709</v>
      </c>
      <c r="V67" s="25" t="s">
        <v>577</v>
      </c>
      <c r="W67" s="24">
        <v>8</v>
      </c>
    </row>
    <row r="68" spans="1:23" ht="15.75" thickBot="1" x14ac:dyDescent="0.3">
      <c r="A68" t="s">
        <v>23</v>
      </c>
      <c r="B68">
        <f>H46</f>
        <v>1</v>
      </c>
      <c r="C68" t="s">
        <v>558</v>
      </c>
      <c r="D68">
        <f>H4</f>
        <v>1</v>
      </c>
      <c r="J68" t="str">
        <f>_xlfn.CONCAT(LEFT(A68,2),CODE(A68))</f>
        <v>Li76</v>
      </c>
      <c r="K68" t="str">
        <f>_xlfn.CONCAT(LEFT(C68,2),CODE(C68))</f>
        <v>Wo87</v>
      </c>
      <c r="L68">
        <f>B68</f>
        <v>1</v>
      </c>
      <c r="M68">
        <f>MATCH(J68, K$68:K$87, 0)</f>
        <v>5</v>
      </c>
      <c r="T68" s="23" t="s">
        <v>649</v>
      </c>
      <c r="U68" s="25" t="s">
        <v>649</v>
      </c>
      <c r="V68" s="25" t="s">
        <v>566</v>
      </c>
      <c r="W68" s="24">
        <v>8</v>
      </c>
    </row>
    <row r="69" spans="1:23" ht="15.75" thickBot="1" x14ac:dyDescent="0.3">
      <c r="A69" t="s">
        <v>27</v>
      </c>
      <c r="B69">
        <f>H47</f>
        <v>2</v>
      </c>
      <c r="C69" t="s">
        <v>560</v>
      </c>
      <c r="D69">
        <f>H5</f>
        <v>2</v>
      </c>
      <c r="J69" t="str">
        <f t="shared" ref="J69:J87" si="1">_xlfn.CONCAT(LEFT(A69,2),CODE(A69))</f>
        <v>Pa80</v>
      </c>
      <c r="K69" t="str">
        <f t="shared" ref="K69:K87" si="2">_xlfn.CONCAT(LEFT(C69,2),CODE(C69))</f>
        <v>Pa80</v>
      </c>
      <c r="L69">
        <f t="shared" ref="L69:L87" si="3">B69</f>
        <v>2</v>
      </c>
      <c r="M69">
        <f>MATCH(J69, K$68:K$87, 0)</f>
        <v>2</v>
      </c>
      <c r="T69" s="23" t="s">
        <v>1427</v>
      </c>
      <c r="U69" s="25" t="s">
        <v>1427</v>
      </c>
      <c r="V69" s="25" t="s">
        <v>571</v>
      </c>
      <c r="W69" s="24">
        <v>8</v>
      </c>
    </row>
    <row r="70" spans="1:23" ht="15.75" thickBot="1" x14ac:dyDescent="0.3">
      <c r="A70" t="s">
        <v>31</v>
      </c>
      <c r="B70">
        <f>H48</f>
        <v>3</v>
      </c>
      <c r="C70" t="s">
        <v>565</v>
      </c>
      <c r="D70">
        <f>H6</f>
        <v>3</v>
      </c>
      <c r="J70" t="str">
        <f t="shared" si="1"/>
        <v>Ti84</v>
      </c>
      <c r="K70" t="str">
        <f t="shared" si="2"/>
        <v>Ti84</v>
      </c>
      <c r="L70">
        <f t="shared" si="3"/>
        <v>3</v>
      </c>
      <c r="M70">
        <f>MATCH(J70, K$68:K$87, 0)</f>
        <v>3</v>
      </c>
      <c r="T70" s="23" t="s">
        <v>1298</v>
      </c>
      <c r="U70" s="25" t="s">
        <v>1298</v>
      </c>
      <c r="V70" s="25" t="s">
        <v>561</v>
      </c>
      <c r="W70" s="24">
        <v>8</v>
      </c>
    </row>
    <row r="71" spans="1:23" ht="15.75" thickBot="1" x14ac:dyDescent="0.3">
      <c r="A71" t="s">
        <v>29</v>
      </c>
      <c r="B71">
        <f>H49</f>
        <v>4</v>
      </c>
      <c r="C71" t="s">
        <v>563</v>
      </c>
      <c r="D71">
        <f>H7</f>
        <v>4</v>
      </c>
      <c r="J71" t="str">
        <f t="shared" si="1"/>
        <v>Wo87</v>
      </c>
      <c r="K71" t="str">
        <f t="shared" si="2"/>
        <v>Ch67</v>
      </c>
      <c r="L71">
        <f t="shared" si="3"/>
        <v>4</v>
      </c>
      <c r="M71">
        <f>MATCH(J71, K$68:K$87, 0)</f>
        <v>1</v>
      </c>
      <c r="T71" s="23" t="s">
        <v>1431</v>
      </c>
      <c r="U71" s="25" t="s">
        <v>1431</v>
      </c>
      <c r="V71" s="25" t="s">
        <v>571</v>
      </c>
      <c r="W71" s="24">
        <v>8</v>
      </c>
    </row>
    <row r="72" spans="1:23" ht="15.75" thickBot="1" x14ac:dyDescent="0.3">
      <c r="A72" t="s">
        <v>36</v>
      </c>
      <c r="B72">
        <f>H50</f>
        <v>5</v>
      </c>
      <c r="C72" t="s">
        <v>561</v>
      </c>
      <c r="D72">
        <f>H8</f>
        <v>5</v>
      </c>
      <c r="J72" t="str">
        <f t="shared" si="1"/>
        <v>Ja74</v>
      </c>
      <c r="K72" t="str">
        <f t="shared" si="2"/>
        <v>Li76</v>
      </c>
      <c r="L72">
        <f t="shared" si="3"/>
        <v>5</v>
      </c>
      <c r="M72">
        <f>MATCH(J72, K$68:K$87, 0)</f>
        <v>6</v>
      </c>
      <c r="T72" s="23" t="s">
        <v>1435</v>
      </c>
      <c r="U72" s="25" t="s">
        <v>1435</v>
      </c>
      <c r="V72" s="25" t="s">
        <v>571</v>
      </c>
      <c r="W72" s="24">
        <v>7</v>
      </c>
    </row>
    <row r="73" spans="1:23" ht="15.75" thickBot="1" x14ac:dyDescent="0.3">
      <c r="A73" t="s">
        <v>42</v>
      </c>
      <c r="B73">
        <f>H51</f>
        <v>6</v>
      </c>
      <c r="C73" t="s">
        <v>564</v>
      </c>
      <c r="D73">
        <f>H9</f>
        <v>6</v>
      </c>
      <c r="J73" t="str">
        <f t="shared" si="1"/>
        <v>Go71</v>
      </c>
      <c r="K73" t="str">
        <f t="shared" si="2"/>
        <v>Ja74</v>
      </c>
      <c r="L73">
        <f t="shared" si="3"/>
        <v>6</v>
      </c>
      <c r="M73">
        <f>MATCH(J73, K$68:K$87, 0)</f>
        <v>9</v>
      </c>
      <c r="T73" s="23" t="s">
        <v>1413</v>
      </c>
      <c r="U73" s="25" t="s">
        <v>1413</v>
      </c>
      <c r="V73" s="25" t="s">
        <v>564</v>
      </c>
      <c r="W73" s="24">
        <v>7</v>
      </c>
    </row>
    <row r="74" spans="1:23" ht="15.75" thickBot="1" x14ac:dyDescent="0.3">
      <c r="A74" t="s">
        <v>21</v>
      </c>
      <c r="B74">
        <f>H52</f>
        <v>7</v>
      </c>
      <c r="C74" t="s">
        <v>569</v>
      </c>
      <c r="D74">
        <f>H10</f>
        <v>7</v>
      </c>
      <c r="J74" t="str">
        <f t="shared" si="1"/>
        <v>Ea69</v>
      </c>
      <c r="K74" t="str">
        <f t="shared" si="2"/>
        <v>Sh83</v>
      </c>
      <c r="L74">
        <f t="shared" si="3"/>
        <v>7</v>
      </c>
      <c r="M74">
        <f>MATCH(J74, K$68:K$87, 0)</f>
        <v>15</v>
      </c>
      <c r="T74" s="23" t="s">
        <v>1378</v>
      </c>
      <c r="U74" s="25" t="s">
        <v>1378</v>
      </c>
      <c r="V74" s="25" t="s">
        <v>564</v>
      </c>
      <c r="W74" s="24">
        <v>7</v>
      </c>
    </row>
    <row r="75" spans="1:23" ht="15.75" thickBot="1" x14ac:dyDescent="0.3">
      <c r="A75" t="s">
        <v>28</v>
      </c>
      <c r="B75">
        <f>H53</f>
        <v>8</v>
      </c>
      <c r="C75" t="s">
        <v>562</v>
      </c>
      <c r="D75">
        <f>H11</f>
        <v>8</v>
      </c>
      <c r="J75" t="str">
        <f t="shared" si="1"/>
        <v>Sh83</v>
      </c>
      <c r="K75" t="str">
        <f t="shared" si="2"/>
        <v>Ha72</v>
      </c>
      <c r="L75">
        <f t="shared" si="3"/>
        <v>8</v>
      </c>
      <c r="M75">
        <f>MATCH(J75, K$68:K$87, 0)</f>
        <v>7</v>
      </c>
      <c r="T75" s="23" t="s">
        <v>1110</v>
      </c>
      <c r="U75" s="25" t="s">
        <v>1110</v>
      </c>
      <c r="V75" s="25" t="s">
        <v>558</v>
      </c>
      <c r="W75" s="24">
        <v>7</v>
      </c>
    </row>
    <row r="76" spans="1:23" ht="15.75" thickBot="1" x14ac:dyDescent="0.3">
      <c r="A76" t="s">
        <v>33</v>
      </c>
      <c r="B76">
        <f>H54</f>
        <v>9</v>
      </c>
      <c r="C76" t="s">
        <v>566</v>
      </c>
      <c r="D76">
        <f>H12</f>
        <v>9</v>
      </c>
      <c r="J76" t="str">
        <f t="shared" si="1"/>
        <v>Ha72</v>
      </c>
      <c r="K76" t="str">
        <f t="shared" si="2"/>
        <v>Go71</v>
      </c>
      <c r="L76">
        <f t="shared" si="3"/>
        <v>9</v>
      </c>
      <c r="M76">
        <f>MATCH(J76, K$68:K$87, 0)</f>
        <v>8</v>
      </c>
      <c r="T76" s="23" t="s">
        <v>1075</v>
      </c>
      <c r="U76" s="25" t="s">
        <v>1075</v>
      </c>
      <c r="V76" s="25" t="s">
        <v>573</v>
      </c>
      <c r="W76" s="24">
        <v>7</v>
      </c>
    </row>
    <row r="77" spans="1:23" ht="15.75" thickBot="1" x14ac:dyDescent="0.3">
      <c r="A77" t="s">
        <v>38</v>
      </c>
      <c r="B77">
        <f>H55</f>
        <v>10</v>
      </c>
      <c r="C77" t="s">
        <v>574</v>
      </c>
      <c r="D77">
        <f>H13</f>
        <v>10</v>
      </c>
      <c r="J77" t="str">
        <f t="shared" si="1"/>
        <v>Ch67</v>
      </c>
      <c r="K77" t="str">
        <f t="shared" si="2"/>
        <v>Py80</v>
      </c>
      <c r="L77">
        <f t="shared" si="3"/>
        <v>10</v>
      </c>
      <c r="M77">
        <f>MATCH(J77, K$68:K$87, 0)</f>
        <v>4</v>
      </c>
      <c r="T77" s="23" t="s">
        <v>1036</v>
      </c>
      <c r="U77" s="25" t="s">
        <v>1036</v>
      </c>
      <c r="V77" s="25" t="s">
        <v>565</v>
      </c>
      <c r="W77" s="24">
        <v>7</v>
      </c>
    </row>
    <row r="78" spans="1:23" ht="15.75" thickBot="1" x14ac:dyDescent="0.3">
      <c r="A78" t="s">
        <v>35</v>
      </c>
      <c r="B78">
        <f>H56</f>
        <v>11</v>
      </c>
      <c r="C78" t="s">
        <v>570</v>
      </c>
      <c r="D78">
        <f>H14</f>
        <v>11</v>
      </c>
      <c r="J78" t="str">
        <f t="shared" si="1"/>
        <v>Do68</v>
      </c>
      <c r="K78" t="str">
        <f t="shared" si="2"/>
        <v>Fa70</v>
      </c>
      <c r="L78">
        <f t="shared" si="3"/>
        <v>11</v>
      </c>
      <c r="M78">
        <f>MATCH(J78, K$68:K$87, 0)</f>
        <v>12</v>
      </c>
      <c r="T78" s="23" t="s">
        <v>862</v>
      </c>
      <c r="U78" s="25" t="s">
        <v>862</v>
      </c>
      <c r="V78" s="25" t="s">
        <v>567</v>
      </c>
      <c r="W78" s="24">
        <v>7</v>
      </c>
    </row>
    <row r="79" spans="1:23" ht="15.75" thickBot="1" x14ac:dyDescent="0.3">
      <c r="A79" t="s">
        <v>40</v>
      </c>
      <c r="B79">
        <f>H57</f>
        <v>12</v>
      </c>
      <c r="C79" t="s">
        <v>567</v>
      </c>
      <c r="D79">
        <f>H15</f>
        <v>12</v>
      </c>
      <c r="J79" t="str">
        <f t="shared" si="1"/>
        <v>St83</v>
      </c>
      <c r="K79" t="str">
        <f t="shared" si="2"/>
        <v>Do68</v>
      </c>
      <c r="L79">
        <f t="shared" si="3"/>
        <v>12</v>
      </c>
      <c r="M79">
        <f>MATCH(J79, K$68:K$87, 0)</f>
        <v>13</v>
      </c>
      <c r="T79" s="23" t="s">
        <v>874</v>
      </c>
      <c r="U79" s="25" t="s">
        <v>874</v>
      </c>
      <c r="V79" s="25" t="s">
        <v>567</v>
      </c>
      <c r="W79" s="24">
        <v>7</v>
      </c>
    </row>
    <row r="80" spans="1:23" ht="15.75" thickBot="1" x14ac:dyDescent="0.3">
      <c r="A80" t="s">
        <v>25</v>
      </c>
      <c r="B80">
        <f>H58</f>
        <v>13</v>
      </c>
      <c r="C80" t="s">
        <v>571</v>
      </c>
      <c r="D80">
        <f>H16</f>
        <v>13</v>
      </c>
      <c r="J80" t="str">
        <f t="shared" si="1"/>
        <v>Co67</v>
      </c>
      <c r="K80" t="str">
        <f t="shared" si="2"/>
        <v>St83</v>
      </c>
      <c r="L80">
        <f t="shared" si="3"/>
        <v>13</v>
      </c>
      <c r="M80">
        <f>MATCH(J80, K$68:K$87, 0)</f>
        <v>16</v>
      </c>
      <c r="T80" s="23" t="s">
        <v>1130</v>
      </c>
      <c r="U80" s="25" t="s">
        <v>1130</v>
      </c>
      <c r="V80" s="25" t="s">
        <v>558</v>
      </c>
      <c r="W80" s="24">
        <v>7</v>
      </c>
    </row>
    <row r="81" spans="1:23" ht="15.75" thickBot="1" x14ac:dyDescent="0.3">
      <c r="A81" t="s">
        <v>26</v>
      </c>
      <c r="B81">
        <f>H59</f>
        <v>14</v>
      </c>
      <c r="C81" t="s">
        <v>575</v>
      </c>
      <c r="D81">
        <f>H17</f>
        <v>14</v>
      </c>
      <c r="J81" t="str">
        <f t="shared" si="1"/>
        <v>Fa70</v>
      </c>
      <c r="K81" t="str">
        <f t="shared" si="2"/>
        <v>El69</v>
      </c>
      <c r="L81">
        <f t="shared" si="3"/>
        <v>14</v>
      </c>
      <c r="M81">
        <f>MATCH(J81, K$68:K$87, 0)</f>
        <v>11</v>
      </c>
      <c r="T81" s="23" t="s">
        <v>1175</v>
      </c>
      <c r="U81" s="25" t="s">
        <v>1175</v>
      </c>
      <c r="V81" s="25" t="s">
        <v>569</v>
      </c>
      <c r="W81" s="24">
        <v>7</v>
      </c>
    </row>
    <row r="82" spans="1:23" ht="15.75" thickBot="1" x14ac:dyDescent="0.3">
      <c r="A82" t="s">
        <v>39</v>
      </c>
      <c r="B82">
        <f>H60</f>
        <v>15</v>
      </c>
      <c r="C82" t="s">
        <v>559</v>
      </c>
      <c r="D82">
        <f>H18</f>
        <v>15</v>
      </c>
      <c r="J82" t="str">
        <f t="shared" si="1"/>
        <v>Ra82</v>
      </c>
      <c r="K82" t="str">
        <f t="shared" si="2"/>
        <v>Ea69</v>
      </c>
      <c r="L82">
        <f t="shared" si="3"/>
        <v>15</v>
      </c>
      <c r="M82">
        <f>MATCH(J82, K$68:K$87, 0)</f>
        <v>18</v>
      </c>
      <c r="T82" s="23" t="s">
        <v>814</v>
      </c>
      <c r="U82" s="25" t="s">
        <v>814</v>
      </c>
      <c r="V82" s="25" t="s">
        <v>575</v>
      </c>
      <c r="W82" s="24">
        <v>7</v>
      </c>
    </row>
    <row r="83" spans="1:23" ht="15.75" thickBot="1" x14ac:dyDescent="0.3">
      <c r="A83" t="s">
        <v>32</v>
      </c>
      <c r="B83">
        <f>H61</f>
        <v>16</v>
      </c>
      <c r="C83" t="s">
        <v>576</v>
      </c>
      <c r="D83">
        <f>H19</f>
        <v>16</v>
      </c>
      <c r="J83" t="str">
        <f t="shared" si="1"/>
        <v>Be66</v>
      </c>
      <c r="K83" t="str">
        <f t="shared" si="2"/>
        <v>Co67</v>
      </c>
      <c r="L83">
        <f t="shared" si="3"/>
        <v>16</v>
      </c>
      <c r="M83">
        <f>MATCH(J83, K$68:K$87, 0)</f>
        <v>17</v>
      </c>
      <c r="T83" s="23" t="s">
        <v>994</v>
      </c>
      <c r="U83" s="25" t="s">
        <v>994</v>
      </c>
      <c r="V83" s="25" t="s">
        <v>572</v>
      </c>
      <c r="W83" s="24">
        <v>7</v>
      </c>
    </row>
    <row r="84" spans="1:23" ht="15.75" thickBot="1" x14ac:dyDescent="0.3">
      <c r="A84" t="s">
        <v>34</v>
      </c>
      <c r="B84">
        <f>H62</f>
        <v>17</v>
      </c>
      <c r="C84" t="s">
        <v>572</v>
      </c>
      <c r="D84">
        <f>H20</f>
        <v>17</v>
      </c>
      <c r="J84" t="str">
        <f t="shared" si="1"/>
        <v>Py80</v>
      </c>
      <c r="K84" t="str">
        <f t="shared" si="2"/>
        <v>Be66</v>
      </c>
      <c r="L84">
        <f t="shared" si="3"/>
        <v>17</v>
      </c>
      <c r="M84">
        <f>MATCH(J84, K$68:K$87, 0)</f>
        <v>10</v>
      </c>
      <c r="T84" s="23" t="s">
        <v>641</v>
      </c>
      <c r="U84" s="25" t="s">
        <v>641</v>
      </c>
      <c r="V84" s="25" t="s">
        <v>573</v>
      </c>
      <c r="W84" s="24">
        <v>7</v>
      </c>
    </row>
    <row r="85" spans="1:23" ht="15.75" thickBot="1" x14ac:dyDescent="0.3">
      <c r="A85" t="s">
        <v>37</v>
      </c>
      <c r="B85">
        <f>H63</f>
        <v>18</v>
      </c>
      <c r="C85" t="s">
        <v>568</v>
      </c>
      <c r="D85">
        <f>H21</f>
        <v>18</v>
      </c>
      <c r="J85" t="str">
        <f t="shared" si="1"/>
        <v>El69</v>
      </c>
      <c r="K85" t="str">
        <f t="shared" si="2"/>
        <v>Ra82</v>
      </c>
      <c r="L85">
        <f t="shared" si="3"/>
        <v>18</v>
      </c>
      <c r="M85">
        <f>MATCH(J85, K$68:K$87, 0)</f>
        <v>14</v>
      </c>
      <c r="T85" s="23" t="s">
        <v>1083</v>
      </c>
      <c r="U85" s="25" t="s">
        <v>1083</v>
      </c>
      <c r="V85" s="25" t="s">
        <v>573</v>
      </c>
      <c r="W85" s="24">
        <v>7</v>
      </c>
    </row>
    <row r="86" spans="1:23" ht="15.75" thickBot="1" x14ac:dyDescent="0.3">
      <c r="A86" t="s">
        <v>30</v>
      </c>
      <c r="B86">
        <f>H64</f>
        <v>19</v>
      </c>
      <c r="C86" t="s">
        <v>573</v>
      </c>
      <c r="D86">
        <f>H22</f>
        <v>19</v>
      </c>
      <c r="J86" t="str">
        <f t="shared" si="1"/>
        <v>Rh82</v>
      </c>
      <c r="K86" t="str">
        <f t="shared" si="2"/>
        <v>Rh82</v>
      </c>
      <c r="L86">
        <f t="shared" si="3"/>
        <v>19</v>
      </c>
      <c r="M86">
        <f>MATCH(J86, K$68:K$87, 0)</f>
        <v>19</v>
      </c>
      <c r="T86" s="23" t="s">
        <v>1010</v>
      </c>
      <c r="U86" s="25" t="s">
        <v>1010</v>
      </c>
      <c r="V86" s="25" t="s">
        <v>572</v>
      </c>
      <c r="W86" s="24">
        <v>7</v>
      </c>
    </row>
    <row r="87" spans="1:23" ht="15.75" thickBot="1" x14ac:dyDescent="0.3">
      <c r="A87" t="s">
        <v>41</v>
      </c>
      <c r="B87">
        <f>H65</f>
        <v>20</v>
      </c>
      <c r="C87" t="s">
        <v>577</v>
      </c>
      <c r="D87">
        <f>H23</f>
        <v>20</v>
      </c>
      <c r="J87" t="str">
        <f t="shared" si="1"/>
        <v>Bu66</v>
      </c>
      <c r="K87" t="str">
        <f t="shared" si="2"/>
        <v>Bu66</v>
      </c>
      <c r="L87">
        <f t="shared" si="3"/>
        <v>20</v>
      </c>
      <c r="M87">
        <f>MATCH(J87, K$68:K$87, 0)</f>
        <v>20</v>
      </c>
      <c r="T87" s="23" t="s">
        <v>1157</v>
      </c>
      <c r="U87" s="25" t="s">
        <v>1157</v>
      </c>
      <c r="V87" s="25" t="s">
        <v>560</v>
      </c>
      <c r="W87" s="24">
        <v>6</v>
      </c>
    </row>
    <row r="88" spans="1:23" ht="15.75" thickBot="1" x14ac:dyDescent="0.3">
      <c r="T88" s="23" t="s">
        <v>838</v>
      </c>
      <c r="U88" s="25" t="s">
        <v>838</v>
      </c>
      <c r="V88" s="25" t="s">
        <v>575</v>
      </c>
      <c r="W88" s="24">
        <v>6</v>
      </c>
    </row>
    <row r="89" spans="1:23" ht="15.75" thickBot="1" x14ac:dyDescent="0.3">
      <c r="T89" s="23" t="s">
        <v>998</v>
      </c>
      <c r="U89" s="25" t="s">
        <v>998</v>
      </c>
      <c r="V89" s="25" t="s">
        <v>572</v>
      </c>
      <c r="W89" s="24">
        <v>6</v>
      </c>
    </row>
    <row r="90" spans="1:23" ht="15.75" thickBot="1" x14ac:dyDescent="0.3">
      <c r="T90" s="23" t="s">
        <v>1349</v>
      </c>
      <c r="U90" s="25" t="s">
        <v>1349</v>
      </c>
      <c r="V90" s="25" t="s">
        <v>559</v>
      </c>
      <c r="W90" s="24">
        <v>6</v>
      </c>
    </row>
    <row r="91" spans="1:23" ht="15.75" thickBot="1" x14ac:dyDescent="0.3">
      <c r="T91" s="23" t="s">
        <v>1197</v>
      </c>
      <c r="U91" s="25" t="s">
        <v>1197</v>
      </c>
      <c r="V91" s="25" t="s">
        <v>569</v>
      </c>
      <c r="W91" s="24">
        <v>6</v>
      </c>
    </row>
    <row r="92" spans="1:23" ht="15.75" thickBot="1" x14ac:dyDescent="0.3">
      <c r="T92" s="23" t="s">
        <v>705</v>
      </c>
      <c r="U92" s="25" t="s">
        <v>705</v>
      </c>
      <c r="V92" s="25" t="s">
        <v>577</v>
      </c>
      <c r="W92" s="24">
        <v>6</v>
      </c>
    </row>
    <row r="93" spans="1:23" ht="15.75" thickBot="1" x14ac:dyDescent="0.3">
      <c r="T93" s="23" t="s">
        <v>1334</v>
      </c>
      <c r="U93" s="25" t="s">
        <v>1334</v>
      </c>
      <c r="V93" s="25" t="s">
        <v>559</v>
      </c>
      <c r="W93" s="24">
        <v>6</v>
      </c>
    </row>
    <row r="94" spans="1:23" ht="15.75" thickBot="1" x14ac:dyDescent="0.3">
      <c r="T94" s="23" t="s">
        <v>1393</v>
      </c>
      <c r="U94" s="25" t="s">
        <v>1393</v>
      </c>
      <c r="V94" s="25" t="s">
        <v>571</v>
      </c>
      <c r="W94" s="24">
        <v>6</v>
      </c>
    </row>
    <row r="95" spans="1:23" ht="15.75" thickBot="1" x14ac:dyDescent="0.3">
      <c r="T95" s="23" t="s">
        <v>830</v>
      </c>
      <c r="U95" s="25" t="s">
        <v>830</v>
      </c>
      <c r="V95" s="25" t="s">
        <v>575</v>
      </c>
      <c r="W95" s="24">
        <v>6</v>
      </c>
    </row>
    <row r="96" spans="1:23" ht="15.75" thickBot="1" x14ac:dyDescent="0.3">
      <c r="T96" s="23" t="s">
        <v>946</v>
      </c>
      <c r="U96" s="25" t="s">
        <v>946</v>
      </c>
      <c r="V96" s="25" t="s">
        <v>562</v>
      </c>
      <c r="W96" s="24">
        <v>6</v>
      </c>
    </row>
    <row r="97" spans="20:23" ht="15.75" thickBot="1" x14ac:dyDescent="0.3">
      <c r="T97" s="23" t="s">
        <v>645</v>
      </c>
      <c r="U97" s="25" t="s">
        <v>645</v>
      </c>
      <c r="V97" s="25" t="s">
        <v>566</v>
      </c>
      <c r="W97" s="24">
        <v>6</v>
      </c>
    </row>
    <row r="98" spans="20:23" ht="15.75" thickBot="1" x14ac:dyDescent="0.3">
      <c r="T98" s="23" t="s">
        <v>1263</v>
      </c>
      <c r="U98" s="25" t="s">
        <v>1263</v>
      </c>
      <c r="V98" s="25" t="s">
        <v>576</v>
      </c>
      <c r="W98" s="24">
        <v>6</v>
      </c>
    </row>
    <row r="99" spans="20:23" ht="15.75" thickBot="1" x14ac:dyDescent="0.3">
      <c r="T99" s="23" t="s">
        <v>914</v>
      </c>
      <c r="U99" s="25" t="s">
        <v>914</v>
      </c>
      <c r="V99" s="25" t="s">
        <v>574</v>
      </c>
      <c r="W99" s="24">
        <v>6</v>
      </c>
    </row>
    <row r="100" spans="20:23" ht="15.75" thickBot="1" x14ac:dyDescent="0.3">
      <c r="T100" s="23" t="s">
        <v>653</v>
      </c>
      <c r="U100" s="25" t="s">
        <v>653</v>
      </c>
      <c r="V100" s="25" t="s">
        <v>566</v>
      </c>
      <c r="W100" s="24">
        <v>6</v>
      </c>
    </row>
    <row r="101" spans="20:23" ht="15.75" thickBot="1" x14ac:dyDescent="0.3">
      <c r="T101" s="23" t="s">
        <v>1185</v>
      </c>
      <c r="U101" s="25" t="s">
        <v>1185</v>
      </c>
      <c r="V101" s="25" t="s">
        <v>569</v>
      </c>
      <c r="W101" s="24">
        <v>5</v>
      </c>
    </row>
    <row r="102" spans="20:23" ht="15.75" thickBot="1" x14ac:dyDescent="0.3">
      <c r="T102" s="23" t="s">
        <v>1018</v>
      </c>
      <c r="U102" s="25" t="s">
        <v>1018</v>
      </c>
      <c r="V102" s="25" t="s">
        <v>565</v>
      </c>
      <c r="W102" s="24">
        <v>5</v>
      </c>
    </row>
    <row r="103" spans="20:23" ht="15.75" thickBot="1" x14ac:dyDescent="0.3">
      <c r="T103" s="23" t="s">
        <v>1403</v>
      </c>
      <c r="U103" s="25" t="s">
        <v>1403</v>
      </c>
      <c r="V103" s="25" t="s">
        <v>571</v>
      </c>
      <c r="W103" s="24">
        <v>5</v>
      </c>
    </row>
    <row r="104" spans="20:23" ht="15.75" thickBot="1" x14ac:dyDescent="0.3">
      <c r="T104" s="23" t="s">
        <v>822</v>
      </c>
      <c r="U104" s="25" t="s">
        <v>822</v>
      </c>
      <c r="V104" s="25" t="s">
        <v>575</v>
      </c>
      <c r="W104" s="24">
        <v>5</v>
      </c>
    </row>
    <row r="105" spans="20:23" ht="15.75" thickBot="1" x14ac:dyDescent="0.3">
      <c r="T105" s="23" t="s">
        <v>1301</v>
      </c>
      <c r="U105" s="25" t="s">
        <v>1301</v>
      </c>
      <c r="V105" s="25" t="s">
        <v>561</v>
      </c>
      <c r="W105" s="24">
        <v>5</v>
      </c>
    </row>
    <row r="106" spans="20:23" ht="15.75" thickBot="1" x14ac:dyDescent="0.3">
      <c r="T106" s="23" t="s">
        <v>779</v>
      </c>
      <c r="U106" s="25" t="s">
        <v>779</v>
      </c>
      <c r="V106" s="25" t="s">
        <v>563</v>
      </c>
      <c r="W106" s="24">
        <v>5</v>
      </c>
    </row>
    <row r="107" spans="20:23" ht="15.75" thickBot="1" x14ac:dyDescent="0.3">
      <c r="T107" s="23" t="s">
        <v>1106</v>
      </c>
      <c r="U107" s="25" t="s">
        <v>1106</v>
      </c>
      <c r="V107" s="25" t="s">
        <v>558</v>
      </c>
      <c r="W107" s="24">
        <v>5</v>
      </c>
    </row>
    <row r="108" spans="20:23" ht="15.75" thickBot="1" x14ac:dyDescent="0.3">
      <c r="T108" s="23" t="s">
        <v>689</v>
      </c>
      <c r="U108" s="25" t="s">
        <v>689</v>
      </c>
      <c r="V108" s="25" t="s">
        <v>577</v>
      </c>
      <c r="W108" s="24">
        <v>4</v>
      </c>
    </row>
    <row r="109" spans="20:23" ht="15.75" thickBot="1" x14ac:dyDescent="0.3">
      <c r="T109" s="23" t="s">
        <v>697</v>
      </c>
      <c r="U109" s="25" t="s">
        <v>697</v>
      </c>
      <c r="V109" s="25" t="s">
        <v>577</v>
      </c>
      <c r="W109" s="24">
        <v>4</v>
      </c>
    </row>
    <row r="110" spans="20:23" ht="15.75" thickBot="1" x14ac:dyDescent="0.3">
      <c r="T110" s="23" t="s">
        <v>729</v>
      </c>
      <c r="U110" s="25" t="s">
        <v>729</v>
      </c>
      <c r="V110" s="25" t="s">
        <v>568</v>
      </c>
      <c r="W110" s="24">
        <v>4</v>
      </c>
    </row>
    <row r="111" spans="20:23" ht="15.75" thickBot="1" x14ac:dyDescent="0.3">
      <c r="T111" s="23" t="s">
        <v>904</v>
      </c>
      <c r="U111" s="25" t="s">
        <v>904</v>
      </c>
      <c r="V111" s="25" t="s">
        <v>574</v>
      </c>
      <c r="W111" s="24">
        <v>4</v>
      </c>
    </row>
    <row r="112" spans="20:23" ht="15.75" thickBot="1" x14ac:dyDescent="0.3">
      <c r="T112" s="23" t="s">
        <v>864</v>
      </c>
      <c r="U112" s="25" t="s">
        <v>864</v>
      </c>
      <c r="V112" s="25" t="s">
        <v>560</v>
      </c>
      <c r="W112" s="24">
        <v>4</v>
      </c>
    </row>
    <row r="113" spans="20:23" ht="15.75" thickBot="1" x14ac:dyDescent="0.3">
      <c r="T113" s="23" t="s">
        <v>1068</v>
      </c>
      <c r="U113" s="25" t="s">
        <v>1068</v>
      </c>
      <c r="V113" s="25" t="s">
        <v>573</v>
      </c>
      <c r="W113" s="24">
        <v>4</v>
      </c>
    </row>
    <row r="114" spans="20:23" ht="15.75" thickBot="1" x14ac:dyDescent="0.3">
      <c r="T114" s="23" t="s">
        <v>908</v>
      </c>
      <c r="U114" s="25" t="s">
        <v>908</v>
      </c>
      <c r="V114" s="25" t="s">
        <v>574</v>
      </c>
      <c r="W114" s="24">
        <v>4</v>
      </c>
    </row>
    <row r="115" spans="20:23" ht="15.75" thickBot="1" x14ac:dyDescent="0.3">
      <c r="T115" s="23" t="s">
        <v>858</v>
      </c>
      <c r="U115" s="25" t="s">
        <v>858</v>
      </c>
      <c r="V115" s="25" t="s">
        <v>567</v>
      </c>
      <c r="W115" s="24">
        <v>4</v>
      </c>
    </row>
    <row r="116" spans="20:23" ht="15.75" thickBot="1" x14ac:dyDescent="0.3">
      <c r="T116" s="23" t="s">
        <v>1259</v>
      </c>
      <c r="U116" s="25" t="s">
        <v>1259</v>
      </c>
      <c r="V116" s="25" t="s">
        <v>576</v>
      </c>
      <c r="W116" s="24">
        <v>4</v>
      </c>
    </row>
    <row r="117" spans="20:23" ht="15.75" thickBot="1" x14ac:dyDescent="0.3">
      <c r="T117" s="23" t="s">
        <v>826</v>
      </c>
      <c r="U117" s="25" t="s">
        <v>826</v>
      </c>
      <c r="V117" s="25" t="s">
        <v>575</v>
      </c>
      <c r="W117" s="24">
        <v>4</v>
      </c>
    </row>
    <row r="118" spans="20:23" ht="15.75" thickBot="1" x14ac:dyDescent="0.3">
      <c r="T118" s="23" t="s">
        <v>818</v>
      </c>
      <c r="U118" s="25" t="s">
        <v>818</v>
      </c>
      <c r="V118" s="25" t="s">
        <v>575</v>
      </c>
      <c r="W118" s="24">
        <v>4</v>
      </c>
    </row>
    <row r="119" spans="20:23" ht="15.75" thickBot="1" x14ac:dyDescent="0.3">
      <c r="T119" s="23" t="s">
        <v>1152</v>
      </c>
      <c r="U119" s="25" t="s">
        <v>1152</v>
      </c>
      <c r="V119" s="25" t="s">
        <v>560</v>
      </c>
      <c r="W119" s="24">
        <v>4</v>
      </c>
    </row>
    <row r="120" spans="20:23" ht="15.75" thickBot="1" x14ac:dyDescent="0.3">
      <c r="T120" s="23" t="s">
        <v>990</v>
      </c>
      <c r="U120" s="25" t="s">
        <v>990</v>
      </c>
      <c r="V120" s="25" t="s">
        <v>572</v>
      </c>
      <c r="W120" s="24">
        <v>4</v>
      </c>
    </row>
    <row r="121" spans="20:23" ht="15.75" thickBot="1" x14ac:dyDescent="0.3">
      <c r="T121" s="23" t="s">
        <v>1267</v>
      </c>
      <c r="U121" s="25" t="s">
        <v>1267</v>
      </c>
      <c r="V121" s="25" t="s">
        <v>576</v>
      </c>
      <c r="W121" s="24">
        <v>4</v>
      </c>
    </row>
    <row r="122" spans="20:23" ht="15.75" thickBot="1" x14ac:dyDescent="0.3">
      <c r="T122" s="23" t="s">
        <v>1411</v>
      </c>
      <c r="U122" s="25" t="s">
        <v>1411</v>
      </c>
      <c r="V122" s="25" t="s">
        <v>571</v>
      </c>
      <c r="W122" s="24">
        <v>4</v>
      </c>
    </row>
    <row r="123" spans="20:23" ht="15.75" thickBot="1" x14ac:dyDescent="0.3">
      <c r="T123" s="23" t="s">
        <v>901</v>
      </c>
      <c r="U123" s="25" t="s">
        <v>901</v>
      </c>
      <c r="V123" s="25" t="s">
        <v>574</v>
      </c>
      <c r="W123" s="24">
        <v>3</v>
      </c>
    </row>
    <row r="124" spans="20:23" ht="15.75" thickBot="1" x14ac:dyDescent="0.3">
      <c r="T124" s="23" t="s">
        <v>1337</v>
      </c>
      <c r="U124" s="25" t="s">
        <v>1337</v>
      </c>
      <c r="V124" s="25" t="s">
        <v>559</v>
      </c>
      <c r="W124" s="24">
        <v>3</v>
      </c>
    </row>
    <row r="125" spans="20:23" ht="15.75" thickBot="1" x14ac:dyDescent="0.3">
      <c r="T125" s="23" t="s">
        <v>1189</v>
      </c>
      <c r="U125" s="25" t="s">
        <v>1189</v>
      </c>
      <c r="V125" s="25" t="s">
        <v>569</v>
      </c>
      <c r="W125" s="24">
        <v>3</v>
      </c>
    </row>
    <row r="126" spans="20:23" ht="15.75" thickBot="1" x14ac:dyDescent="0.3">
      <c r="T126" s="23" t="s">
        <v>673</v>
      </c>
      <c r="U126" s="25" t="s">
        <v>673</v>
      </c>
      <c r="V126" s="25" t="s">
        <v>577</v>
      </c>
      <c r="W126" s="24">
        <v>3</v>
      </c>
    </row>
    <row r="127" spans="20:23" ht="15.75" thickBot="1" x14ac:dyDescent="0.3">
      <c r="T127" s="23" t="s">
        <v>1148</v>
      </c>
      <c r="U127" s="25" t="s">
        <v>1148</v>
      </c>
      <c r="V127" s="25" t="s">
        <v>560</v>
      </c>
      <c r="W127" s="24">
        <v>3</v>
      </c>
    </row>
    <row r="128" spans="20:23" ht="15.75" thickBot="1" x14ac:dyDescent="0.3">
      <c r="T128" s="23" t="s">
        <v>1178</v>
      </c>
      <c r="U128" s="25" t="s">
        <v>1178</v>
      </c>
      <c r="V128" s="25" t="s">
        <v>569</v>
      </c>
      <c r="W128" s="24">
        <v>3</v>
      </c>
    </row>
    <row r="129" spans="20:23" ht="15.75" thickBot="1" x14ac:dyDescent="0.3">
      <c r="T129" s="23" t="s">
        <v>717</v>
      </c>
      <c r="U129" s="25" t="s">
        <v>717</v>
      </c>
      <c r="V129" s="25" t="s">
        <v>568</v>
      </c>
      <c r="W129" s="24">
        <v>3</v>
      </c>
    </row>
    <row r="130" spans="20:23" ht="15.75" thickBot="1" x14ac:dyDescent="0.3">
      <c r="T130" s="23" t="s">
        <v>854</v>
      </c>
      <c r="U130" s="25" t="s">
        <v>854</v>
      </c>
      <c r="V130" s="25" t="s">
        <v>567</v>
      </c>
      <c r="W130" s="24">
        <v>3</v>
      </c>
    </row>
    <row r="131" spans="20:23" ht="15.75" thickBot="1" x14ac:dyDescent="0.3">
      <c r="T131" s="23" t="s">
        <v>982</v>
      </c>
      <c r="U131" s="25" t="s">
        <v>982</v>
      </c>
      <c r="V131" s="25" t="s">
        <v>572</v>
      </c>
      <c r="W131" s="24">
        <v>3</v>
      </c>
    </row>
    <row r="132" spans="20:23" ht="15.75" thickBot="1" x14ac:dyDescent="0.3">
      <c r="T132" s="23" t="s">
        <v>733</v>
      </c>
      <c r="U132" s="25" t="s">
        <v>733</v>
      </c>
      <c r="V132" s="25" t="s">
        <v>568</v>
      </c>
      <c r="W132" s="24">
        <v>3</v>
      </c>
    </row>
    <row r="133" spans="20:23" ht="15.75" thickBot="1" x14ac:dyDescent="0.3">
      <c r="T133" s="23" t="s">
        <v>890</v>
      </c>
      <c r="U133" s="25" t="s">
        <v>890</v>
      </c>
      <c r="V133" s="25" t="s">
        <v>574</v>
      </c>
      <c r="W133" s="24">
        <v>3</v>
      </c>
    </row>
    <row r="134" spans="20:23" ht="15.75" thickBot="1" x14ac:dyDescent="0.3">
      <c r="T134" s="23" t="s">
        <v>1079</v>
      </c>
      <c r="U134" s="25" t="s">
        <v>1079</v>
      </c>
      <c r="V134" s="25" t="s">
        <v>573</v>
      </c>
      <c r="W134" s="24">
        <v>3</v>
      </c>
    </row>
    <row r="135" spans="20:23" ht="15.75" thickBot="1" x14ac:dyDescent="0.3">
      <c r="T135" s="23" t="s">
        <v>760</v>
      </c>
      <c r="U135" s="25" t="s">
        <v>760</v>
      </c>
      <c r="V135" s="25" t="s">
        <v>563</v>
      </c>
      <c r="W135" s="24">
        <v>3</v>
      </c>
    </row>
    <row r="136" spans="20:23" ht="15.75" thickBot="1" x14ac:dyDescent="0.3">
      <c r="T136" s="23" t="s">
        <v>1024</v>
      </c>
      <c r="U136" s="25" t="s">
        <v>1024</v>
      </c>
      <c r="V136" s="25" t="s">
        <v>565</v>
      </c>
      <c r="W136" s="24">
        <v>3</v>
      </c>
    </row>
    <row r="137" spans="20:23" ht="15.75" thickBot="1" x14ac:dyDescent="0.3">
      <c r="T137" s="23" t="s">
        <v>1140</v>
      </c>
      <c r="U137" s="25" t="s">
        <v>1140</v>
      </c>
      <c r="V137" s="25" t="s">
        <v>560</v>
      </c>
      <c r="W137" s="24">
        <v>3</v>
      </c>
    </row>
    <row r="138" spans="20:23" ht="15.75" thickBot="1" x14ac:dyDescent="0.3">
      <c r="T138" s="23" t="s">
        <v>771</v>
      </c>
      <c r="U138" s="25" t="s">
        <v>771</v>
      </c>
      <c r="V138" s="25" t="s">
        <v>563</v>
      </c>
      <c r="W138" s="24">
        <v>3</v>
      </c>
    </row>
    <row r="139" spans="20:23" ht="15.75" thickBot="1" x14ac:dyDescent="0.3">
      <c r="T139" s="23" t="s">
        <v>701</v>
      </c>
      <c r="U139" s="25" t="s">
        <v>701</v>
      </c>
      <c r="V139" s="25" t="s">
        <v>577</v>
      </c>
      <c r="W139" s="24">
        <v>3</v>
      </c>
    </row>
    <row r="140" spans="20:23" ht="15.75" thickBot="1" x14ac:dyDescent="0.3">
      <c r="T140" s="23" t="s">
        <v>1295</v>
      </c>
      <c r="U140" s="25" t="s">
        <v>1295</v>
      </c>
      <c r="V140" s="25" t="s">
        <v>561</v>
      </c>
      <c r="W140" s="24">
        <v>2</v>
      </c>
    </row>
    <row r="141" spans="20:23" ht="15.75" thickBot="1" x14ac:dyDescent="0.3">
      <c r="T141" s="23" t="s">
        <v>725</v>
      </c>
      <c r="U141" s="25" t="s">
        <v>725</v>
      </c>
      <c r="V141" s="25" t="s">
        <v>568</v>
      </c>
      <c r="W141" s="24">
        <v>2</v>
      </c>
    </row>
    <row r="142" spans="20:23" ht="15.75" thickBot="1" x14ac:dyDescent="0.3">
      <c r="T142" s="23" t="s">
        <v>1038</v>
      </c>
      <c r="U142" s="25" t="s">
        <v>1038</v>
      </c>
      <c r="V142" s="25" t="s">
        <v>565</v>
      </c>
      <c r="W142" s="24">
        <v>2</v>
      </c>
    </row>
    <row r="143" spans="20:23" ht="15.75" thickBot="1" x14ac:dyDescent="0.3">
      <c r="T143" s="23" t="s">
        <v>1094</v>
      </c>
      <c r="U143" s="25" t="s">
        <v>1094</v>
      </c>
      <c r="V143" s="25" t="s">
        <v>558</v>
      </c>
      <c r="W143" s="24">
        <v>2</v>
      </c>
    </row>
    <row r="144" spans="20:23" ht="15.75" thickBot="1" x14ac:dyDescent="0.3">
      <c r="T144" s="23" t="s">
        <v>846</v>
      </c>
      <c r="U144" s="25" t="s">
        <v>846</v>
      </c>
      <c r="V144" s="25" t="s">
        <v>567</v>
      </c>
      <c r="W144" s="24">
        <v>2</v>
      </c>
    </row>
    <row r="145" spans="20:23" ht="15.75" thickBot="1" x14ac:dyDescent="0.3">
      <c r="T145" s="23" t="s">
        <v>1328</v>
      </c>
      <c r="U145" s="25" t="s">
        <v>1328</v>
      </c>
      <c r="V145" s="25" t="s">
        <v>559</v>
      </c>
      <c r="W145" s="24">
        <v>2</v>
      </c>
    </row>
    <row r="146" spans="20:23" ht="15.75" thickBot="1" x14ac:dyDescent="0.3">
      <c r="T146" s="23" t="s">
        <v>681</v>
      </c>
      <c r="U146" s="25" t="s">
        <v>681</v>
      </c>
      <c r="V146" s="25" t="s">
        <v>577</v>
      </c>
      <c r="W146" s="24">
        <v>2</v>
      </c>
    </row>
    <row r="147" spans="20:23" ht="15.75" thickBot="1" x14ac:dyDescent="0.3">
      <c r="T147" s="23" t="s">
        <v>1255</v>
      </c>
      <c r="U147" s="25" t="s">
        <v>1255</v>
      </c>
      <c r="V147" s="25" t="s">
        <v>576</v>
      </c>
      <c r="W147" s="24">
        <v>2</v>
      </c>
    </row>
    <row r="148" spans="20:23" ht="15.75" thickBot="1" x14ac:dyDescent="0.3">
      <c r="T148" s="23" t="s">
        <v>1137</v>
      </c>
      <c r="U148" s="25" t="s">
        <v>1137</v>
      </c>
      <c r="V148" s="25" t="s">
        <v>560</v>
      </c>
      <c r="W148" s="24">
        <v>2</v>
      </c>
    </row>
    <row r="149" spans="20:23" ht="15.75" thickBot="1" x14ac:dyDescent="0.3">
      <c r="T149" s="23" t="s">
        <v>737</v>
      </c>
      <c r="U149" s="25" t="s">
        <v>737</v>
      </c>
      <c r="V149" s="25" t="s">
        <v>568</v>
      </c>
      <c r="W149" s="24">
        <v>2</v>
      </c>
    </row>
    <row r="150" spans="20:23" ht="15.75" thickBot="1" x14ac:dyDescent="0.3">
      <c r="T150" s="23" t="s">
        <v>775</v>
      </c>
      <c r="U150" s="25" t="s">
        <v>775</v>
      </c>
      <c r="V150" s="25" t="s">
        <v>563</v>
      </c>
      <c r="W150" s="24">
        <v>2</v>
      </c>
    </row>
    <row r="151" spans="20:23" ht="15.75" thickBot="1" x14ac:dyDescent="0.3">
      <c r="T151" s="23" t="s">
        <v>1417</v>
      </c>
      <c r="U151" s="25" t="s">
        <v>1417</v>
      </c>
      <c r="V151" s="25" t="s">
        <v>571</v>
      </c>
      <c r="W151" s="24">
        <v>2</v>
      </c>
    </row>
    <row r="152" spans="20:23" ht="15.75" thickBot="1" x14ac:dyDescent="0.3">
      <c r="T152" s="23" t="s">
        <v>1060</v>
      </c>
      <c r="U152" s="25" t="s">
        <v>1060</v>
      </c>
      <c r="V152" s="25" t="s">
        <v>573</v>
      </c>
      <c r="W152" s="24">
        <v>2</v>
      </c>
    </row>
    <row r="153" spans="20:23" ht="15.75" thickBot="1" x14ac:dyDescent="0.3">
      <c r="T153" s="23" t="s">
        <v>1218</v>
      </c>
      <c r="U153" s="25" t="s">
        <v>1218</v>
      </c>
      <c r="V153" s="25" t="s">
        <v>570</v>
      </c>
      <c r="W153" s="24">
        <v>2</v>
      </c>
    </row>
    <row r="154" spans="20:23" ht="15.75" thickBot="1" x14ac:dyDescent="0.3">
      <c r="T154" s="23" t="s">
        <v>629</v>
      </c>
      <c r="U154" s="25" t="s">
        <v>629</v>
      </c>
      <c r="V154" s="25" t="s">
        <v>564</v>
      </c>
      <c r="W154" s="24">
        <v>2</v>
      </c>
    </row>
    <row r="155" spans="20:23" ht="15.75" thickBot="1" x14ac:dyDescent="0.3">
      <c r="T155" s="23" t="s">
        <v>974</v>
      </c>
      <c r="U155" s="25" t="s">
        <v>974</v>
      </c>
      <c r="V155" s="25" t="s">
        <v>572</v>
      </c>
      <c r="W155" s="24">
        <v>2</v>
      </c>
    </row>
    <row r="156" spans="20:23" ht="15.75" thickBot="1" x14ac:dyDescent="0.3">
      <c r="T156" s="23" t="s">
        <v>637</v>
      </c>
      <c r="U156" s="25" t="s">
        <v>637</v>
      </c>
      <c r="V156" s="25" t="s">
        <v>566</v>
      </c>
      <c r="W156" s="24">
        <v>1</v>
      </c>
    </row>
    <row r="157" spans="20:23" ht="15.75" thickBot="1" x14ac:dyDescent="0.3">
      <c r="T157" s="23" t="s">
        <v>1028</v>
      </c>
      <c r="U157" s="25" t="s">
        <v>1028</v>
      </c>
      <c r="V157" s="25" t="s">
        <v>565</v>
      </c>
      <c r="W157" s="24">
        <v>1</v>
      </c>
    </row>
    <row r="158" spans="20:23" ht="15.75" thickBot="1" x14ac:dyDescent="0.3">
      <c r="T158" s="23" t="s">
        <v>802</v>
      </c>
      <c r="U158" s="25" t="s">
        <v>802</v>
      </c>
      <c r="V158" s="25" t="s">
        <v>575</v>
      </c>
      <c r="W158" s="24">
        <v>1</v>
      </c>
    </row>
    <row r="159" spans="20:23" ht="15.75" thickBot="1" x14ac:dyDescent="0.3">
      <c r="T159" s="23" t="s">
        <v>978</v>
      </c>
      <c r="U159" s="25" t="s">
        <v>978</v>
      </c>
      <c r="V159" s="25" t="s">
        <v>572</v>
      </c>
      <c r="W159" s="24">
        <v>1</v>
      </c>
    </row>
    <row r="160" spans="20:23" ht="15.75" thickBot="1" x14ac:dyDescent="0.3">
      <c r="T160" s="23" t="s">
        <v>1443</v>
      </c>
      <c r="U160" s="25" t="s">
        <v>1443</v>
      </c>
      <c r="V160" s="25" t="s">
        <v>559</v>
      </c>
      <c r="W160" s="24">
        <v>1</v>
      </c>
    </row>
    <row r="161" spans="20:23" ht="15.75" thickBot="1" x14ac:dyDescent="0.3">
      <c r="T161" s="23" t="s">
        <v>1214</v>
      </c>
      <c r="U161" s="25" t="s">
        <v>1214</v>
      </c>
      <c r="V161" s="25" t="s">
        <v>570</v>
      </c>
      <c r="W161" s="24">
        <v>1</v>
      </c>
    </row>
    <row r="162" spans="20:23" ht="15.75" thickBot="1" x14ac:dyDescent="0.3">
      <c r="T162" s="23" t="s">
        <v>1251</v>
      </c>
      <c r="U162" s="25" t="s">
        <v>1251</v>
      </c>
      <c r="V162" s="25" t="s">
        <v>576</v>
      </c>
      <c r="W162" s="24">
        <v>1</v>
      </c>
    </row>
    <row r="163" spans="20:23" ht="15.75" thickBot="1" x14ac:dyDescent="0.3">
      <c r="T163" s="23" t="s">
        <v>685</v>
      </c>
      <c r="U163" s="25" t="s">
        <v>685</v>
      </c>
      <c r="V163" s="25" t="s">
        <v>577</v>
      </c>
      <c r="W163" s="24">
        <v>1</v>
      </c>
    </row>
    <row r="164" spans="20:23" ht="15.75" thickBot="1" x14ac:dyDescent="0.3">
      <c r="T164" s="23" t="s">
        <v>1247</v>
      </c>
      <c r="U164" s="25" t="s">
        <v>1247</v>
      </c>
      <c r="V164" s="25" t="s">
        <v>576</v>
      </c>
      <c r="W164" s="24">
        <v>1</v>
      </c>
    </row>
    <row r="165" spans="20:23" ht="15.75" thickBot="1" x14ac:dyDescent="0.3">
      <c r="T165" s="23" t="s">
        <v>930</v>
      </c>
      <c r="U165" s="25" t="s">
        <v>930</v>
      </c>
      <c r="V165" s="25" t="s">
        <v>562</v>
      </c>
      <c r="W165" s="24">
        <v>1</v>
      </c>
    </row>
    <row r="166" spans="20:23" ht="15.75" thickBot="1" x14ac:dyDescent="0.3">
      <c r="T166" s="23" t="s">
        <v>1243</v>
      </c>
      <c r="U166" s="25" t="s">
        <v>1243</v>
      </c>
      <c r="V166" s="25" t="s">
        <v>576</v>
      </c>
      <c r="W166" s="24">
        <v>1</v>
      </c>
    </row>
    <row r="167" spans="20:23" ht="15.75" thickBot="1" x14ac:dyDescent="0.3">
      <c r="T167" s="23" t="s">
        <v>942</v>
      </c>
      <c r="U167" s="25" t="s">
        <v>942</v>
      </c>
      <c r="V167" s="25" t="s">
        <v>562</v>
      </c>
      <c r="W167" s="24">
        <v>1</v>
      </c>
    </row>
    <row r="168" spans="20:23" ht="15.75" thickBot="1" x14ac:dyDescent="0.3">
      <c r="T168" s="23" t="s">
        <v>1056</v>
      </c>
      <c r="U168" s="25" t="s">
        <v>1056</v>
      </c>
      <c r="V168" s="25" t="s">
        <v>573</v>
      </c>
      <c r="W168" s="24">
        <v>1</v>
      </c>
    </row>
    <row r="169" spans="20:23" ht="15.75" thickBot="1" x14ac:dyDescent="0.3">
      <c r="T169" s="23" t="s">
        <v>1064</v>
      </c>
      <c r="U169" s="25" t="s">
        <v>1064</v>
      </c>
      <c r="V169" s="25" t="s">
        <v>573</v>
      </c>
      <c r="W169" s="24">
        <v>1</v>
      </c>
    </row>
    <row r="170" spans="20:23" ht="15.75" thickBot="1" x14ac:dyDescent="0.3">
      <c r="T170" s="23" t="s">
        <v>806</v>
      </c>
      <c r="U170" s="25" t="s">
        <v>806</v>
      </c>
      <c r="V170" s="25" t="s">
        <v>575</v>
      </c>
      <c r="W170" s="24">
        <v>1</v>
      </c>
    </row>
    <row r="171" spans="20:23" ht="15.75" thickBot="1" x14ac:dyDescent="0.3">
      <c r="T171" s="23" t="s">
        <v>677</v>
      </c>
      <c r="U171" s="25" t="s">
        <v>677</v>
      </c>
      <c r="V171" s="25" t="s">
        <v>577</v>
      </c>
      <c r="W171" s="24">
        <v>1</v>
      </c>
    </row>
    <row r="172" spans="20:23" ht="15.75" thickBot="1" x14ac:dyDescent="0.3">
      <c r="T172" s="23" t="s">
        <v>1286</v>
      </c>
      <c r="U172" s="25" t="s">
        <v>1286</v>
      </c>
      <c r="V172" s="25" t="s">
        <v>561</v>
      </c>
      <c r="W172" s="24">
        <v>1</v>
      </c>
    </row>
    <row r="173" spans="20:23" ht="15.75" thickBot="1" x14ac:dyDescent="0.3">
      <c r="T173" s="23" t="s">
        <v>898</v>
      </c>
      <c r="U173" s="25" t="s">
        <v>898</v>
      </c>
      <c r="V173" s="25" t="s">
        <v>574</v>
      </c>
      <c r="W173" s="24">
        <v>1</v>
      </c>
    </row>
    <row r="174" spans="20:23" ht="15.75" thickBot="1" x14ac:dyDescent="0.3">
      <c r="T174" s="23" t="s">
        <v>1384</v>
      </c>
      <c r="U174" s="25" t="s">
        <v>1384</v>
      </c>
      <c r="V174" s="25" t="s">
        <v>571</v>
      </c>
      <c r="W174" s="24">
        <v>1</v>
      </c>
    </row>
    <row r="175" spans="20:23" ht="15.75" thickBot="1" x14ac:dyDescent="0.3">
      <c r="T175" s="23" t="s">
        <v>986</v>
      </c>
      <c r="U175" s="25" t="s">
        <v>986</v>
      </c>
      <c r="V175" s="25" t="s">
        <v>572</v>
      </c>
      <c r="W175" s="24">
        <v>1</v>
      </c>
    </row>
    <row r="176" spans="20:23" ht="15.75" thickBot="1" x14ac:dyDescent="0.3">
      <c r="T176" s="23" t="s">
        <v>1182</v>
      </c>
      <c r="U176" s="25" t="s">
        <v>1182</v>
      </c>
      <c r="V176" s="25" t="s">
        <v>569</v>
      </c>
      <c r="W176" s="24">
        <v>1</v>
      </c>
    </row>
    <row r="177" spans="20:23" ht="15.75" thickBot="1" x14ac:dyDescent="0.3">
      <c r="T177" s="23" t="s">
        <v>1331</v>
      </c>
      <c r="U177" s="25" t="s">
        <v>1331</v>
      </c>
      <c r="V177" s="25" t="s">
        <v>559</v>
      </c>
      <c r="W177" s="24">
        <v>1</v>
      </c>
    </row>
    <row r="178" spans="20:23" ht="31.5" x14ac:dyDescent="0.25">
      <c r="T178" s="26" t="s">
        <v>1444</v>
      </c>
    </row>
  </sheetData>
  <conditionalFormatting sqref="J46:J6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3:B3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BB432-1722-407B-B065-DAAB0AF84DB0}">
  <sheetPr>
    <tabColor rgb="FFFF0000"/>
  </sheetPr>
  <dimension ref="A1:AC224"/>
  <sheetViews>
    <sheetView topLeftCell="G1" workbookViewId="0">
      <selection activeCell="X4" sqref="X4"/>
    </sheetView>
  </sheetViews>
  <sheetFormatPr defaultRowHeight="15" x14ac:dyDescent="0.25"/>
  <cols>
    <col min="1" max="1" width="10.28515625" bestFit="1" customWidth="1"/>
    <col min="2" max="2" width="20.140625" bestFit="1" customWidth="1"/>
    <col min="3" max="3" width="8.28515625" bestFit="1" customWidth="1"/>
    <col min="4" max="4" width="12.7109375" bestFit="1" customWidth="1"/>
    <col min="5" max="5" width="13.85546875" bestFit="1" customWidth="1"/>
    <col min="6" max="6" width="16.140625" bestFit="1" customWidth="1"/>
    <col min="7" max="7" width="13.42578125" bestFit="1" customWidth="1"/>
    <col min="20" max="20" width="11.140625" bestFit="1" customWidth="1"/>
    <col min="23" max="23" width="10.85546875" bestFit="1" customWidth="1"/>
    <col min="24" max="24" width="14.28515625" bestFit="1" customWidth="1"/>
    <col min="25" max="25" width="16.140625" customWidth="1"/>
    <col min="26" max="26" width="15.28515625" bestFit="1" customWidth="1"/>
    <col min="27" max="27" width="18.5703125" bestFit="1" customWidth="1"/>
    <col min="28" max="28" width="18.140625" bestFit="1" customWidth="1"/>
  </cols>
  <sheetData>
    <row r="1" spans="1:29" x14ac:dyDescent="0.25">
      <c r="A1" t="s">
        <v>1369</v>
      </c>
      <c r="B1">
        <f>'Season 1 - League Table'!B1</f>
        <v>56</v>
      </c>
      <c r="C1" t="s">
        <v>1370</v>
      </c>
      <c r="D1" t="str">
        <f>'Season 1 - League Table'!B3</f>
        <v>Wolfpack Wanderers</v>
      </c>
      <c r="E1" t="s">
        <v>1371</v>
      </c>
      <c r="F1" t="str">
        <f>'Season 1 - League Table'!B7</f>
        <v>Kuasa</v>
      </c>
    </row>
    <row r="2" spans="1:29" x14ac:dyDescent="0.25">
      <c r="A2" s="3" t="s">
        <v>1365</v>
      </c>
      <c r="D2" t="str">
        <f>_xlfn.CONCAT(LEFT(D1,2),CODE(D1))</f>
        <v>Wo87</v>
      </c>
    </row>
    <row r="3" spans="1:29" x14ac:dyDescent="0.25">
      <c r="A3" t="s">
        <v>1359</v>
      </c>
      <c r="B3" t="s">
        <v>0</v>
      </c>
      <c r="C3" s="3" t="s">
        <v>7</v>
      </c>
      <c r="D3" s="3" t="s">
        <v>8</v>
      </c>
      <c r="E3" s="3" t="s">
        <v>9</v>
      </c>
      <c r="F3" s="3" t="s">
        <v>44</v>
      </c>
      <c r="G3" s="3" t="s">
        <v>50</v>
      </c>
      <c r="H3" s="3" t="s">
        <v>17</v>
      </c>
      <c r="I3" s="3" t="s">
        <v>14</v>
      </c>
      <c r="J3" s="3" t="s">
        <v>15</v>
      </c>
      <c r="K3" s="3" t="s">
        <v>16</v>
      </c>
      <c r="L3" s="3" t="s">
        <v>48</v>
      </c>
      <c r="M3" s="3" t="s">
        <v>3</v>
      </c>
      <c r="N3" s="3" t="s">
        <v>10</v>
      </c>
      <c r="O3" s="3" t="s">
        <v>1</v>
      </c>
      <c r="P3" s="3" t="s">
        <v>12</v>
      </c>
      <c r="Q3" s="3" t="s">
        <v>4</v>
      </c>
      <c r="R3" s="3" t="s">
        <v>49</v>
      </c>
      <c r="S3" s="3" t="s">
        <v>47</v>
      </c>
      <c r="T3" s="3" t="s">
        <v>138</v>
      </c>
      <c r="U3" s="3" t="s">
        <v>1354</v>
      </c>
      <c r="V3" s="3" t="s">
        <v>1355</v>
      </c>
      <c r="W3" s="3" t="s">
        <v>1356</v>
      </c>
      <c r="X3" s="3" t="s">
        <v>1466</v>
      </c>
      <c r="Y3" s="3" t="s">
        <v>1366</v>
      </c>
      <c r="Z3" s="3" t="s">
        <v>1368</v>
      </c>
      <c r="AA3" s="3" t="s">
        <v>1367</v>
      </c>
      <c r="AB3" s="3" t="s">
        <v>1456</v>
      </c>
      <c r="AC3" s="3" t="s">
        <v>1457</v>
      </c>
    </row>
    <row r="4" spans="1:29" x14ac:dyDescent="0.25">
      <c r="A4" s="8">
        <v>36</v>
      </c>
      <c r="B4" s="7" t="s">
        <v>26</v>
      </c>
      <c r="C4" s="8" t="s">
        <v>56</v>
      </c>
      <c r="D4" s="7" t="s">
        <v>931</v>
      </c>
      <c r="E4" s="7" t="s">
        <v>932</v>
      </c>
      <c r="F4" s="7" t="s">
        <v>933</v>
      </c>
      <c r="G4" s="7" t="s">
        <v>1213</v>
      </c>
      <c r="H4">
        <v>75</v>
      </c>
      <c r="I4">
        <v>28</v>
      </c>
      <c r="J4">
        <v>22</v>
      </c>
      <c r="K4">
        <v>92</v>
      </c>
      <c r="L4" s="5">
        <v>54.25</v>
      </c>
      <c r="M4">
        <v>74</v>
      </c>
      <c r="N4">
        <v>49</v>
      </c>
      <c r="O4" s="5">
        <v>12.007499999999999</v>
      </c>
      <c r="P4" s="5">
        <v>40.024999999999999</v>
      </c>
      <c r="Q4" s="11">
        <v>40.024999999999999</v>
      </c>
      <c r="R4" s="10">
        <v>1.8335403514369714E-2</v>
      </c>
      <c r="S4" s="10">
        <v>0.17651024999999998</v>
      </c>
      <c r="T4" t="s">
        <v>145</v>
      </c>
      <c r="U4">
        <v>31</v>
      </c>
      <c r="V4">
        <v>41</v>
      </c>
      <c r="W4" s="49" t="s">
        <v>1358</v>
      </c>
      <c r="X4" t="str">
        <f>_xlfn.CONCAT(LEFT(B4,2),CODE(B4))</f>
        <v>Fa70</v>
      </c>
      <c r="Y4">
        <f>IFERROR(VLOOKUP('Season 1 - Player Stats'!G4,'Season 1 - League Table'!$T$2:$W$177,4,FALSE),0)</f>
        <v>0</v>
      </c>
      <c r="Z4">
        <f>38</f>
        <v>38</v>
      </c>
      <c r="AA4">
        <f>Y4</f>
        <v>0</v>
      </c>
      <c r="AB4">
        <f>IF($D$2=X4,1,0)</f>
        <v>0</v>
      </c>
      <c r="AC4">
        <f>AB4</f>
        <v>0</v>
      </c>
    </row>
    <row r="5" spans="1:29" x14ac:dyDescent="0.25">
      <c r="A5" s="8">
        <v>85</v>
      </c>
      <c r="B5" s="7" t="s">
        <v>30</v>
      </c>
      <c r="C5" s="8" t="s">
        <v>46</v>
      </c>
      <c r="D5" s="7" t="s">
        <v>1072</v>
      </c>
      <c r="E5" s="7" t="s">
        <v>1073</v>
      </c>
      <c r="F5" s="7" t="s">
        <v>1074</v>
      </c>
      <c r="G5" s="7" t="s">
        <v>1075</v>
      </c>
      <c r="H5">
        <v>22</v>
      </c>
      <c r="I5">
        <v>30</v>
      </c>
      <c r="J5">
        <v>83</v>
      </c>
      <c r="K5">
        <v>36</v>
      </c>
      <c r="L5" s="5">
        <v>42.75</v>
      </c>
      <c r="M5">
        <v>37</v>
      </c>
      <c r="N5">
        <v>28</v>
      </c>
      <c r="O5" s="5">
        <v>27.945</v>
      </c>
      <c r="P5" s="5">
        <v>18.63</v>
      </c>
      <c r="Q5" s="11">
        <v>31.05</v>
      </c>
      <c r="R5" s="10">
        <v>9.103792025019547E-2</v>
      </c>
      <c r="S5" s="10">
        <v>0.234738</v>
      </c>
      <c r="T5" t="s">
        <v>139</v>
      </c>
      <c r="U5">
        <v>31</v>
      </c>
      <c r="V5">
        <v>34</v>
      </c>
      <c r="W5" s="49" t="s">
        <v>1358</v>
      </c>
      <c r="X5" t="str">
        <f t="shared" ref="X5:X68" si="0">_xlfn.CONCAT(LEFT(B5,2),CODE(B5))</f>
        <v>Rh82</v>
      </c>
      <c r="Y5">
        <f>IFERROR(VLOOKUP('Season 1 - Player Stats'!G5,'Season 1 - League Table'!$T$2:$W$177,4,FALSE),0)</f>
        <v>7</v>
      </c>
      <c r="Z5">
        <f>38</f>
        <v>38</v>
      </c>
      <c r="AA5">
        <f t="shared" ref="AA5:AA68" si="1">Y5</f>
        <v>7</v>
      </c>
      <c r="AB5">
        <f t="shared" ref="AB5:AB68" si="2">IF($D$2=X5,1,0)</f>
        <v>0</v>
      </c>
      <c r="AC5">
        <f t="shared" ref="AC5:AC68" si="3">AB5</f>
        <v>0</v>
      </c>
    </row>
    <row r="6" spans="1:29" x14ac:dyDescent="0.25">
      <c r="A6" s="8">
        <v>88</v>
      </c>
      <c r="B6" s="7" t="s">
        <v>30</v>
      </c>
      <c r="C6" s="8" t="s">
        <v>53</v>
      </c>
      <c r="D6" s="7" t="s">
        <v>1084</v>
      </c>
      <c r="E6" s="7" t="s">
        <v>1072</v>
      </c>
      <c r="F6" s="7" t="s">
        <v>1085</v>
      </c>
      <c r="G6" s="7" t="s">
        <v>1086</v>
      </c>
      <c r="H6">
        <v>12</v>
      </c>
      <c r="I6">
        <v>40</v>
      </c>
      <c r="J6">
        <v>79</v>
      </c>
      <c r="K6">
        <v>49</v>
      </c>
      <c r="L6" s="5">
        <v>45</v>
      </c>
      <c r="M6">
        <v>45</v>
      </c>
      <c r="N6">
        <v>28</v>
      </c>
      <c r="O6" s="5">
        <v>36.200000000000003</v>
      </c>
      <c r="P6" s="5">
        <v>10.860000000000001</v>
      </c>
      <c r="Q6" s="11">
        <v>36.200000000000003</v>
      </c>
      <c r="R6" s="10">
        <v>0.15684779775866564</v>
      </c>
      <c r="S6" s="10">
        <v>0.30408000000000007</v>
      </c>
      <c r="T6" t="s">
        <v>139</v>
      </c>
      <c r="U6">
        <v>21</v>
      </c>
      <c r="V6">
        <v>38</v>
      </c>
      <c r="W6" s="49" t="s">
        <v>1358</v>
      </c>
      <c r="X6" t="str">
        <f t="shared" si="0"/>
        <v>Rh82</v>
      </c>
      <c r="Y6">
        <f>IFERROR(VLOOKUP('Season 1 - Player Stats'!G6,'Season 1 - League Table'!$T$2:$W$177,4,FALSE),0)</f>
        <v>9</v>
      </c>
      <c r="Z6">
        <f>38</f>
        <v>38</v>
      </c>
      <c r="AA6">
        <f t="shared" si="1"/>
        <v>9</v>
      </c>
      <c r="AB6">
        <f t="shared" si="2"/>
        <v>0</v>
      </c>
      <c r="AC6">
        <f t="shared" si="3"/>
        <v>0</v>
      </c>
    </row>
    <row r="7" spans="1:29" x14ac:dyDescent="0.25">
      <c r="A7" s="8">
        <v>113</v>
      </c>
      <c r="B7" s="7" t="s">
        <v>33</v>
      </c>
      <c r="C7" s="8" t="s">
        <v>56</v>
      </c>
      <c r="D7" s="7" t="s">
        <v>931</v>
      </c>
      <c r="E7" s="7" t="s">
        <v>932</v>
      </c>
      <c r="F7" s="7" t="s">
        <v>933</v>
      </c>
      <c r="G7" s="7" t="s">
        <v>934</v>
      </c>
      <c r="H7">
        <v>100</v>
      </c>
      <c r="I7">
        <v>90</v>
      </c>
      <c r="J7">
        <v>2</v>
      </c>
      <c r="K7">
        <v>78</v>
      </c>
      <c r="L7" s="5">
        <v>67.5</v>
      </c>
      <c r="M7">
        <v>81</v>
      </c>
      <c r="N7">
        <v>77</v>
      </c>
      <c r="O7" s="5">
        <v>11.654999999999998</v>
      </c>
      <c r="P7" s="5">
        <v>38.849999999999994</v>
      </c>
      <c r="Q7" s="11">
        <v>38.849999999999994</v>
      </c>
      <c r="R7" s="10">
        <v>1.5944075219748242E-2</v>
      </c>
      <c r="S7" s="10">
        <v>0.26923049999999993</v>
      </c>
      <c r="T7" t="s">
        <v>148</v>
      </c>
      <c r="U7">
        <v>32</v>
      </c>
      <c r="V7">
        <v>43</v>
      </c>
      <c r="W7" s="49" t="s">
        <v>1358</v>
      </c>
      <c r="X7" t="str">
        <f t="shared" si="0"/>
        <v>Ha72</v>
      </c>
      <c r="Y7">
        <f>IFERROR(VLOOKUP('Season 1 - Player Stats'!G7,'Season 1 - League Table'!$T$2:$W$177,4,FALSE),0)</f>
        <v>0</v>
      </c>
      <c r="Z7">
        <f>38</f>
        <v>38</v>
      </c>
      <c r="AA7">
        <f t="shared" si="1"/>
        <v>0</v>
      </c>
      <c r="AB7">
        <f t="shared" si="2"/>
        <v>0</v>
      </c>
      <c r="AC7">
        <f t="shared" si="3"/>
        <v>0</v>
      </c>
    </row>
    <row r="8" spans="1:29" x14ac:dyDescent="0.25">
      <c r="A8" s="8">
        <v>135</v>
      </c>
      <c r="B8" s="7" t="s">
        <v>35</v>
      </c>
      <c r="C8" s="8" t="s">
        <v>56</v>
      </c>
      <c r="D8" s="7" t="s">
        <v>847</v>
      </c>
      <c r="E8" s="7" t="s">
        <v>848</v>
      </c>
      <c r="F8" s="7" t="s">
        <v>849</v>
      </c>
      <c r="G8" s="7" t="s">
        <v>850</v>
      </c>
      <c r="H8">
        <v>43</v>
      </c>
      <c r="I8">
        <v>83</v>
      </c>
      <c r="J8">
        <v>14</v>
      </c>
      <c r="K8">
        <v>77</v>
      </c>
      <c r="L8" s="5">
        <v>54.25</v>
      </c>
      <c r="M8">
        <v>78</v>
      </c>
      <c r="N8">
        <v>91</v>
      </c>
      <c r="O8" s="5">
        <v>11.227499999999999</v>
      </c>
      <c r="P8" s="5">
        <v>37.424999999999997</v>
      </c>
      <c r="Q8" s="11">
        <v>37.424999999999997</v>
      </c>
      <c r="R8" s="10">
        <v>1.7489842537534658E-2</v>
      </c>
      <c r="S8" s="10">
        <v>0.30651074999999994</v>
      </c>
      <c r="T8" t="s">
        <v>158</v>
      </c>
      <c r="U8">
        <v>29</v>
      </c>
      <c r="V8">
        <v>44</v>
      </c>
      <c r="W8" s="49" t="s">
        <v>1358</v>
      </c>
      <c r="X8" t="str">
        <f t="shared" si="0"/>
        <v>Do68</v>
      </c>
      <c r="Y8">
        <f>IFERROR(VLOOKUP('Season 1 - Player Stats'!G8,'Season 1 - League Table'!$T$2:$W$177,4,FALSE),0)</f>
        <v>0</v>
      </c>
      <c r="Z8">
        <f>38</f>
        <v>38</v>
      </c>
      <c r="AA8">
        <f t="shared" si="1"/>
        <v>0</v>
      </c>
      <c r="AB8">
        <f t="shared" si="2"/>
        <v>0</v>
      </c>
      <c r="AC8">
        <f t="shared" si="3"/>
        <v>0</v>
      </c>
    </row>
    <row r="9" spans="1:29" x14ac:dyDescent="0.25">
      <c r="A9" s="8">
        <v>163</v>
      </c>
      <c r="B9" s="7" t="s">
        <v>37</v>
      </c>
      <c r="C9" s="8" t="s">
        <v>52</v>
      </c>
      <c r="D9" s="7" t="s">
        <v>827</v>
      </c>
      <c r="E9" s="7" t="s">
        <v>828</v>
      </c>
      <c r="F9" s="7" t="s">
        <v>829</v>
      </c>
      <c r="G9" s="7" t="s">
        <v>830</v>
      </c>
      <c r="H9">
        <v>22</v>
      </c>
      <c r="I9">
        <v>95</v>
      </c>
      <c r="J9">
        <v>100</v>
      </c>
      <c r="K9">
        <v>16</v>
      </c>
      <c r="L9" s="5">
        <v>58.25</v>
      </c>
      <c r="M9">
        <v>68</v>
      </c>
      <c r="N9">
        <v>91</v>
      </c>
      <c r="O9" s="5">
        <v>34.15</v>
      </c>
      <c r="P9" s="5">
        <v>10.244999999999999</v>
      </c>
      <c r="Q9" s="11">
        <v>34.15</v>
      </c>
      <c r="R9" s="10">
        <v>0.13493612596553775</v>
      </c>
      <c r="S9" s="10">
        <v>0.93229499999999987</v>
      </c>
      <c r="T9" t="s">
        <v>151</v>
      </c>
      <c r="U9">
        <v>28</v>
      </c>
      <c r="V9">
        <v>38</v>
      </c>
      <c r="W9" s="49" t="s">
        <v>1358</v>
      </c>
      <c r="X9" t="str">
        <f t="shared" si="0"/>
        <v>El69</v>
      </c>
      <c r="Y9">
        <f>IFERROR(VLOOKUP('Season 1 - Player Stats'!G9,'Season 1 - League Table'!$T$2:$W$177,4,FALSE),0)</f>
        <v>6</v>
      </c>
      <c r="Z9">
        <f>38</f>
        <v>38</v>
      </c>
      <c r="AA9">
        <f t="shared" si="1"/>
        <v>6</v>
      </c>
      <c r="AB9">
        <f t="shared" si="2"/>
        <v>0</v>
      </c>
      <c r="AC9">
        <f t="shared" si="3"/>
        <v>0</v>
      </c>
    </row>
    <row r="10" spans="1:29" x14ac:dyDescent="0.25">
      <c r="A10" s="8">
        <v>165</v>
      </c>
      <c r="B10" s="7" t="s">
        <v>37</v>
      </c>
      <c r="C10" s="8" t="s">
        <v>53</v>
      </c>
      <c r="D10" s="7" t="s">
        <v>835</v>
      </c>
      <c r="E10" s="7" t="s">
        <v>836</v>
      </c>
      <c r="F10" s="7" t="s">
        <v>837</v>
      </c>
      <c r="G10" s="7" t="s">
        <v>838</v>
      </c>
      <c r="H10">
        <v>7</v>
      </c>
      <c r="I10">
        <v>100</v>
      </c>
      <c r="J10">
        <v>100</v>
      </c>
      <c r="K10">
        <v>6</v>
      </c>
      <c r="L10" s="5">
        <v>53.25</v>
      </c>
      <c r="M10">
        <v>74</v>
      </c>
      <c r="N10">
        <v>85</v>
      </c>
      <c r="O10" s="5">
        <v>25.15</v>
      </c>
      <c r="P10" s="5">
        <v>7.544999999999999</v>
      </c>
      <c r="Q10" s="11">
        <v>25.15</v>
      </c>
      <c r="R10" s="10">
        <v>9.9374628639334522E-2</v>
      </c>
      <c r="S10" s="10">
        <v>0.64132499999999992</v>
      </c>
      <c r="T10" t="s">
        <v>151</v>
      </c>
      <c r="U10">
        <v>33</v>
      </c>
      <c r="V10">
        <v>26</v>
      </c>
      <c r="W10" s="49" t="s">
        <v>1358</v>
      </c>
      <c r="X10" t="str">
        <f t="shared" si="0"/>
        <v>El69</v>
      </c>
      <c r="Y10">
        <f>IFERROR(VLOOKUP('Season 1 - Player Stats'!G10,'Season 1 - League Table'!$T$2:$W$177,4,FALSE),0)</f>
        <v>6</v>
      </c>
      <c r="Z10">
        <f>38</f>
        <v>38</v>
      </c>
      <c r="AA10">
        <f t="shared" si="1"/>
        <v>6</v>
      </c>
      <c r="AB10">
        <f t="shared" si="2"/>
        <v>0</v>
      </c>
      <c r="AC10">
        <f t="shared" si="3"/>
        <v>0</v>
      </c>
    </row>
    <row r="11" spans="1:29" x14ac:dyDescent="0.25">
      <c r="A11" s="8">
        <v>169</v>
      </c>
      <c r="B11" s="7" t="s">
        <v>38</v>
      </c>
      <c r="C11" s="8" t="s">
        <v>56</v>
      </c>
      <c r="D11" s="7" t="s">
        <v>765</v>
      </c>
      <c r="E11" s="7" t="s">
        <v>766</v>
      </c>
      <c r="F11" s="7" t="s">
        <v>767</v>
      </c>
      <c r="G11" s="7" t="s">
        <v>756</v>
      </c>
      <c r="H11">
        <v>100</v>
      </c>
      <c r="I11">
        <v>26</v>
      </c>
      <c r="J11">
        <v>12</v>
      </c>
      <c r="K11">
        <v>100</v>
      </c>
      <c r="L11" s="5">
        <v>59.5</v>
      </c>
      <c r="M11">
        <v>27</v>
      </c>
      <c r="N11">
        <v>81</v>
      </c>
      <c r="O11" s="5">
        <v>11.489999999999998</v>
      </c>
      <c r="P11" s="5">
        <v>38.299999999999997</v>
      </c>
      <c r="Q11" s="11">
        <v>38.299999999999997</v>
      </c>
      <c r="R11" s="10">
        <v>1.6756015540827323E-2</v>
      </c>
      <c r="S11" s="10">
        <v>0.27920699999999998</v>
      </c>
      <c r="T11" t="s">
        <v>152</v>
      </c>
      <c r="U11">
        <v>35</v>
      </c>
      <c r="V11">
        <v>39</v>
      </c>
      <c r="W11" s="49" t="s">
        <v>1358</v>
      </c>
      <c r="X11" t="str">
        <f t="shared" si="0"/>
        <v>Ch67</v>
      </c>
      <c r="Y11">
        <f>IFERROR(VLOOKUP('Season 1 - Player Stats'!G11,'Season 1 - League Table'!$T$2:$W$177,4,FALSE),0)</f>
        <v>14</v>
      </c>
      <c r="Z11">
        <f>38</f>
        <v>38</v>
      </c>
      <c r="AA11">
        <f t="shared" si="1"/>
        <v>14</v>
      </c>
      <c r="AB11">
        <f t="shared" si="2"/>
        <v>0</v>
      </c>
      <c r="AC11">
        <f t="shared" si="3"/>
        <v>0</v>
      </c>
    </row>
    <row r="12" spans="1:29" x14ac:dyDescent="0.25">
      <c r="A12" s="8">
        <v>179</v>
      </c>
      <c r="B12" s="7" t="s">
        <v>39</v>
      </c>
      <c r="C12" s="8" t="s">
        <v>56</v>
      </c>
      <c r="D12" s="7" t="s">
        <v>718</v>
      </c>
      <c r="E12" s="7" t="s">
        <v>719</v>
      </c>
      <c r="F12" s="7" t="s">
        <v>720</v>
      </c>
      <c r="G12" s="7" t="s">
        <v>721</v>
      </c>
      <c r="H12">
        <v>73</v>
      </c>
      <c r="I12">
        <v>73</v>
      </c>
      <c r="J12">
        <v>0</v>
      </c>
      <c r="K12">
        <v>69</v>
      </c>
      <c r="L12" s="5">
        <v>53.75</v>
      </c>
      <c r="M12">
        <v>96</v>
      </c>
      <c r="N12">
        <v>97</v>
      </c>
      <c r="O12" s="5">
        <v>9.1274999999999995</v>
      </c>
      <c r="P12" s="5">
        <v>30.424999999999997</v>
      </c>
      <c r="Q12" s="11">
        <v>30.424999999999997</v>
      </c>
      <c r="R12" s="10">
        <v>1.4557329635734988E-2</v>
      </c>
      <c r="S12" s="10">
        <v>0.26561024999999999</v>
      </c>
      <c r="T12" t="s">
        <v>153</v>
      </c>
      <c r="U12">
        <v>24</v>
      </c>
      <c r="V12">
        <v>44</v>
      </c>
      <c r="W12" s="49" t="s">
        <v>1358</v>
      </c>
      <c r="X12" t="str">
        <f t="shared" si="0"/>
        <v>Ra82</v>
      </c>
      <c r="Y12">
        <f>IFERROR(VLOOKUP('Season 1 - Player Stats'!G12,'Season 1 - League Table'!$T$2:$W$177,4,FALSE),0)</f>
        <v>0</v>
      </c>
      <c r="Z12">
        <f>38</f>
        <v>38</v>
      </c>
      <c r="AA12">
        <f t="shared" si="1"/>
        <v>0</v>
      </c>
      <c r="AB12">
        <f t="shared" si="2"/>
        <v>0</v>
      </c>
      <c r="AC12">
        <f t="shared" si="3"/>
        <v>0</v>
      </c>
    </row>
    <row r="13" spans="1:29" x14ac:dyDescent="0.25">
      <c r="A13" s="8">
        <v>205</v>
      </c>
      <c r="B13" s="7" t="s">
        <v>41</v>
      </c>
      <c r="C13" s="8" t="s">
        <v>57</v>
      </c>
      <c r="D13" s="7" t="s">
        <v>690</v>
      </c>
      <c r="E13" s="7" t="s">
        <v>691</v>
      </c>
      <c r="F13" s="7" t="s">
        <v>692</v>
      </c>
      <c r="G13" s="7" t="s">
        <v>693</v>
      </c>
      <c r="H13">
        <v>13</v>
      </c>
      <c r="I13">
        <v>22</v>
      </c>
      <c r="J13">
        <v>90</v>
      </c>
      <c r="K13">
        <v>20</v>
      </c>
      <c r="L13" s="5">
        <v>36.25</v>
      </c>
      <c r="M13">
        <v>70</v>
      </c>
      <c r="N13">
        <v>75</v>
      </c>
      <c r="O13" s="5">
        <v>22.237499999999997</v>
      </c>
      <c r="P13" s="5">
        <v>22.237499999999997</v>
      </c>
      <c r="Q13" s="11">
        <v>29.65</v>
      </c>
      <c r="R13" s="10">
        <v>0.10178044259331302</v>
      </c>
      <c r="S13" s="10">
        <v>0.50034374999999986</v>
      </c>
      <c r="T13" t="s">
        <v>156</v>
      </c>
      <c r="U13">
        <v>29</v>
      </c>
      <c r="V13">
        <v>33</v>
      </c>
      <c r="W13" s="49" t="s">
        <v>1358</v>
      </c>
      <c r="X13" t="str">
        <f t="shared" si="0"/>
        <v>Bu66</v>
      </c>
      <c r="Y13">
        <f>IFERROR(VLOOKUP('Season 1 - Player Stats'!G13,'Season 1 - League Table'!$T$2:$W$177,4,FALSE),0)</f>
        <v>9</v>
      </c>
      <c r="Z13">
        <f>38</f>
        <v>38</v>
      </c>
      <c r="AA13">
        <f t="shared" si="1"/>
        <v>9</v>
      </c>
      <c r="AB13">
        <f t="shared" si="2"/>
        <v>0</v>
      </c>
      <c r="AC13">
        <f t="shared" si="3"/>
        <v>0</v>
      </c>
    </row>
    <row r="14" spans="1:29" x14ac:dyDescent="0.25">
      <c r="A14" s="8">
        <v>206</v>
      </c>
      <c r="B14" s="7" t="s">
        <v>41</v>
      </c>
      <c r="C14" s="8" t="s">
        <v>46</v>
      </c>
      <c r="D14" s="7" t="s">
        <v>694</v>
      </c>
      <c r="E14" s="7" t="s">
        <v>695</v>
      </c>
      <c r="F14" s="7" t="s">
        <v>696</v>
      </c>
      <c r="G14" s="7" t="s">
        <v>697</v>
      </c>
      <c r="H14">
        <v>21</v>
      </c>
      <c r="I14">
        <v>5</v>
      </c>
      <c r="J14">
        <v>78</v>
      </c>
      <c r="K14">
        <v>35</v>
      </c>
      <c r="L14" s="5">
        <v>34.75</v>
      </c>
      <c r="M14">
        <v>74</v>
      </c>
      <c r="N14">
        <v>76</v>
      </c>
      <c r="O14" s="5">
        <v>18.225000000000001</v>
      </c>
      <c r="P14" s="5">
        <v>12.15</v>
      </c>
      <c r="Q14" s="11">
        <v>20.25</v>
      </c>
      <c r="R14" s="10">
        <v>8.3415337437352674E-2</v>
      </c>
      <c r="S14" s="10">
        <v>0.41553000000000007</v>
      </c>
      <c r="T14" t="s">
        <v>156</v>
      </c>
      <c r="U14">
        <v>35</v>
      </c>
      <c r="V14">
        <v>21</v>
      </c>
      <c r="W14" s="49" t="s">
        <v>1358</v>
      </c>
      <c r="X14" t="str">
        <f t="shared" si="0"/>
        <v>Bu66</v>
      </c>
      <c r="Y14">
        <f>IFERROR(VLOOKUP('Season 1 - Player Stats'!G14,'Season 1 - League Table'!$T$2:$W$177,4,FALSE),0)</f>
        <v>4</v>
      </c>
      <c r="Z14">
        <f>38</f>
        <v>38</v>
      </c>
      <c r="AA14">
        <f t="shared" si="1"/>
        <v>4</v>
      </c>
      <c r="AB14">
        <f t="shared" si="2"/>
        <v>0</v>
      </c>
      <c r="AC14">
        <f t="shared" si="3"/>
        <v>0</v>
      </c>
    </row>
    <row r="15" spans="1:29" x14ac:dyDescent="0.25">
      <c r="A15" s="8">
        <v>207</v>
      </c>
      <c r="B15" s="7" t="s">
        <v>41</v>
      </c>
      <c r="C15" s="8" t="s">
        <v>52</v>
      </c>
      <c r="D15" s="7" t="s">
        <v>698</v>
      </c>
      <c r="E15" s="7" t="s">
        <v>699</v>
      </c>
      <c r="F15" s="7" t="s">
        <v>700</v>
      </c>
      <c r="G15" s="7" t="s">
        <v>701</v>
      </c>
      <c r="H15">
        <v>30</v>
      </c>
      <c r="I15">
        <v>18</v>
      </c>
      <c r="J15">
        <v>89</v>
      </c>
      <c r="K15">
        <v>12</v>
      </c>
      <c r="L15" s="5">
        <v>37.25</v>
      </c>
      <c r="M15">
        <v>74</v>
      </c>
      <c r="N15">
        <v>79</v>
      </c>
      <c r="O15" s="5">
        <v>23.049999999999997</v>
      </c>
      <c r="P15" s="5">
        <v>6.9149999999999991</v>
      </c>
      <c r="Q15" s="11">
        <v>23.049999999999997</v>
      </c>
      <c r="R15" s="10">
        <v>0.14031398036478476</v>
      </c>
      <c r="S15" s="10">
        <v>0.54628500000000002</v>
      </c>
      <c r="T15" t="s">
        <v>156</v>
      </c>
      <c r="U15">
        <v>31</v>
      </c>
      <c r="V15">
        <v>29</v>
      </c>
      <c r="W15" s="49" t="s">
        <v>1358</v>
      </c>
      <c r="X15" t="str">
        <f t="shared" si="0"/>
        <v>Bu66</v>
      </c>
      <c r="Y15">
        <f>IFERROR(VLOOKUP('Season 1 - Player Stats'!G15,'Season 1 - League Table'!$T$2:$W$177,4,FALSE),0)</f>
        <v>3</v>
      </c>
      <c r="Z15">
        <f>38</f>
        <v>38</v>
      </c>
      <c r="AA15">
        <f t="shared" si="1"/>
        <v>3</v>
      </c>
      <c r="AB15">
        <f t="shared" si="2"/>
        <v>0</v>
      </c>
      <c r="AC15">
        <f t="shared" si="3"/>
        <v>0</v>
      </c>
    </row>
    <row r="16" spans="1:29" x14ac:dyDescent="0.25">
      <c r="A16" s="8">
        <v>208</v>
      </c>
      <c r="B16" s="7" t="s">
        <v>41</v>
      </c>
      <c r="C16" s="8" t="s">
        <v>59</v>
      </c>
      <c r="D16" s="7" t="s">
        <v>702</v>
      </c>
      <c r="E16" s="7" t="s">
        <v>703</v>
      </c>
      <c r="F16" s="7" t="s">
        <v>704</v>
      </c>
      <c r="G16" s="7" t="s">
        <v>705</v>
      </c>
      <c r="H16">
        <v>12</v>
      </c>
      <c r="I16">
        <v>31</v>
      </c>
      <c r="J16">
        <v>89</v>
      </c>
      <c r="K16">
        <v>24</v>
      </c>
      <c r="L16" s="5">
        <v>39</v>
      </c>
      <c r="M16">
        <v>76</v>
      </c>
      <c r="N16">
        <v>79</v>
      </c>
      <c r="O16" s="5">
        <v>28.05</v>
      </c>
      <c r="P16" s="5">
        <v>8.4149999999999991</v>
      </c>
      <c r="Q16" s="11">
        <v>28.05</v>
      </c>
      <c r="R16" s="10">
        <v>0.17075085246126734</v>
      </c>
      <c r="S16" s="10">
        <v>0.66478500000000018</v>
      </c>
      <c r="T16" t="s">
        <v>156</v>
      </c>
      <c r="U16">
        <v>19</v>
      </c>
      <c r="V16">
        <v>41</v>
      </c>
      <c r="W16" s="49" t="s">
        <v>1358</v>
      </c>
      <c r="X16" t="str">
        <f t="shared" si="0"/>
        <v>Bu66</v>
      </c>
      <c r="Y16">
        <f>IFERROR(VLOOKUP('Season 1 - Player Stats'!G16,'Season 1 - League Table'!$T$2:$W$177,4,FALSE),0)</f>
        <v>6</v>
      </c>
      <c r="Z16">
        <f>38</f>
        <v>38</v>
      </c>
      <c r="AA16">
        <f t="shared" si="1"/>
        <v>6</v>
      </c>
      <c r="AB16">
        <f t="shared" si="2"/>
        <v>0</v>
      </c>
      <c r="AC16">
        <f t="shared" si="3"/>
        <v>0</v>
      </c>
    </row>
    <row r="17" spans="1:29" x14ac:dyDescent="0.25">
      <c r="A17" s="8">
        <v>209</v>
      </c>
      <c r="B17" s="7" t="s">
        <v>41</v>
      </c>
      <c r="C17" s="8" t="s">
        <v>53</v>
      </c>
      <c r="D17" s="7" t="s">
        <v>706</v>
      </c>
      <c r="E17" s="7" t="s">
        <v>707</v>
      </c>
      <c r="F17" s="7" t="s">
        <v>708</v>
      </c>
      <c r="G17" s="7" t="s">
        <v>709</v>
      </c>
      <c r="H17">
        <v>18</v>
      </c>
      <c r="I17">
        <v>18</v>
      </c>
      <c r="J17">
        <v>97</v>
      </c>
      <c r="K17">
        <v>22</v>
      </c>
      <c r="L17" s="5">
        <v>38.75</v>
      </c>
      <c r="M17">
        <v>78</v>
      </c>
      <c r="N17">
        <v>84</v>
      </c>
      <c r="O17" s="5">
        <v>23.75</v>
      </c>
      <c r="P17" s="5">
        <v>7.125</v>
      </c>
      <c r="Q17" s="11">
        <v>23.75</v>
      </c>
      <c r="R17" s="10">
        <v>0.14457514245829231</v>
      </c>
      <c r="S17" s="10">
        <v>0.59849999999999992</v>
      </c>
      <c r="T17" t="s">
        <v>156</v>
      </c>
      <c r="U17">
        <v>24</v>
      </c>
      <c r="V17">
        <v>26</v>
      </c>
      <c r="W17" s="49" t="s">
        <v>1358</v>
      </c>
      <c r="X17" t="str">
        <f t="shared" si="0"/>
        <v>Bu66</v>
      </c>
      <c r="Y17">
        <f>IFERROR(VLOOKUP('Season 1 - Player Stats'!G17,'Season 1 - League Table'!$T$2:$W$177,4,FALSE),0)</f>
        <v>8</v>
      </c>
      <c r="Z17">
        <f>38</f>
        <v>38</v>
      </c>
      <c r="AA17">
        <f t="shared" si="1"/>
        <v>8</v>
      </c>
      <c r="AB17">
        <f t="shared" si="2"/>
        <v>0</v>
      </c>
      <c r="AC17">
        <f t="shared" si="3"/>
        <v>0</v>
      </c>
    </row>
    <row r="18" spans="1:29" x14ac:dyDescent="0.25">
      <c r="A18" s="8">
        <v>73</v>
      </c>
      <c r="B18" s="7" t="s">
        <v>29</v>
      </c>
      <c r="C18" s="8" t="s">
        <v>57</v>
      </c>
      <c r="D18" s="7" t="s">
        <v>1111</v>
      </c>
      <c r="E18" s="7" t="s">
        <v>1112</v>
      </c>
      <c r="F18" s="7" t="s">
        <v>1113</v>
      </c>
      <c r="G18" s="7" t="s">
        <v>1114</v>
      </c>
      <c r="H18">
        <v>92</v>
      </c>
      <c r="I18">
        <v>97</v>
      </c>
      <c r="J18">
        <v>60</v>
      </c>
      <c r="K18">
        <v>70</v>
      </c>
      <c r="L18" s="5">
        <v>79.75</v>
      </c>
      <c r="M18">
        <v>81</v>
      </c>
      <c r="N18">
        <v>92</v>
      </c>
      <c r="O18" s="5">
        <v>64.612500000000011</v>
      </c>
      <c r="P18" s="5">
        <v>64.612500000000011</v>
      </c>
      <c r="Q18" s="11">
        <v>86.15</v>
      </c>
      <c r="R18" s="10">
        <v>0.12438756749992781</v>
      </c>
      <c r="S18" s="10">
        <v>1.7833050000000001</v>
      </c>
      <c r="T18" t="s">
        <v>147</v>
      </c>
      <c r="U18">
        <v>20</v>
      </c>
      <c r="V18">
        <v>109</v>
      </c>
      <c r="W18" s="49">
        <v>57.375</v>
      </c>
      <c r="X18" t="str">
        <f>_xlfn.CONCAT(LEFT(B18,2),CODE(B18))</f>
        <v>Wo87</v>
      </c>
      <c r="Y18">
        <f>IFERROR(VLOOKUP('Season 1 - Player Stats'!G18,'Season 1 - League Table'!$T$2:$W$177,4,FALSE),0)</f>
        <v>8</v>
      </c>
      <c r="Z18">
        <f>38</f>
        <v>38</v>
      </c>
      <c r="AA18">
        <f t="shared" si="1"/>
        <v>8</v>
      </c>
      <c r="AB18">
        <f t="shared" si="2"/>
        <v>1</v>
      </c>
      <c r="AC18">
        <f t="shared" si="3"/>
        <v>1</v>
      </c>
    </row>
    <row r="19" spans="1:29" x14ac:dyDescent="0.25">
      <c r="A19" s="8">
        <v>215</v>
      </c>
      <c r="B19" s="7" t="s">
        <v>42</v>
      </c>
      <c r="C19" s="8" t="s">
        <v>45</v>
      </c>
      <c r="D19" s="7" t="s">
        <v>642</v>
      </c>
      <c r="E19" s="7" t="s">
        <v>643</v>
      </c>
      <c r="F19" s="7" t="s">
        <v>644</v>
      </c>
      <c r="G19" s="7" t="s">
        <v>645</v>
      </c>
      <c r="H19">
        <v>59</v>
      </c>
      <c r="I19">
        <v>100</v>
      </c>
      <c r="J19">
        <v>100</v>
      </c>
      <c r="K19">
        <v>54</v>
      </c>
      <c r="L19" s="5">
        <v>78.25</v>
      </c>
      <c r="M19">
        <v>7</v>
      </c>
      <c r="N19">
        <v>77</v>
      </c>
      <c r="O19" s="5">
        <v>52.169999999999995</v>
      </c>
      <c r="P19" s="5">
        <v>78.254999999999995</v>
      </c>
      <c r="Q19" s="11">
        <v>86.949999999999989</v>
      </c>
      <c r="R19" s="10">
        <v>0.11445119041742763</v>
      </c>
      <c r="S19" s="10">
        <v>1.2051270000000001</v>
      </c>
      <c r="T19" t="s">
        <v>155</v>
      </c>
      <c r="U19">
        <v>25</v>
      </c>
      <c r="V19">
        <v>106</v>
      </c>
      <c r="W19" s="49">
        <v>55.774999999999991</v>
      </c>
      <c r="X19" t="str">
        <f t="shared" si="0"/>
        <v>Go71</v>
      </c>
      <c r="Y19">
        <f>IFERROR(VLOOKUP('Season 1 - Player Stats'!G19,'Season 1 - League Table'!$T$2:$W$177,4,FALSE),0)</f>
        <v>6</v>
      </c>
      <c r="Z19">
        <f>38</f>
        <v>38</v>
      </c>
      <c r="AA19">
        <f t="shared" si="1"/>
        <v>6</v>
      </c>
      <c r="AB19">
        <f t="shared" si="2"/>
        <v>0</v>
      </c>
      <c r="AC19">
        <f t="shared" si="3"/>
        <v>0</v>
      </c>
    </row>
    <row r="20" spans="1:29" x14ac:dyDescent="0.25">
      <c r="A20" s="8">
        <v>99</v>
      </c>
      <c r="B20" s="7" t="s">
        <v>31</v>
      </c>
      <c r="C20" s="8" t="s">
        <v>53</v>
      </c>
      <c r="D20" s="7" t="s">
        <v>1044</v>
      </c>
      <c r="E20" s="7" t="s">
        <v>695</v>
      </c>
      <c r="F20" s="7" t="s">
        <v>696</v>
      </c>
      <c r="G20" s="7" t="s">
        <v>1045</v>
      </c>
      <c r="H20">
        <v>83</v>
      </c>
      <c r="I20">
        <v>58</v>
      </c>
      <c r="J20">
        <v>77</v>
      </c>
      <c r="K20">
        <v>100</v>
      </c>
      <c r="L20" s="5">
        <v>79.5</v>
      </c>
      <c r="M20">
        <v>52</v>
      </c>
      <c r="N20">
        <v>71</v>
      </c>
      <c r="O20" s="5">
        <v>86.6</v>
      </c>
      <c r="P20" s="5">
        <v>25.979999999999997</v>
      </c>
      <c r="Q20" s="11">
        <v>86.6</v>
      </c>
      <c r="R20" s="10">
        <v>0.21327975631096274</v>
      </c>
      <c r="S20" s="10">
        <v>1.8445799999999999</v>
      </c>
      <c r="T20" t="s">
        <v>140</v>
      </c>
      <c r="U20">
        <v>19</v>
      </c>
      <c r="V20">
        <v>105</v>
      </c>
      <c r="W20" s="49">
        <v>55.699999999999989</v>
      </c>
      <c r="X20" t="str">
        <f t="shared" si="0"/>
        <v>Ti84</v>
      </c>
      <c r="Y20">
        <f>IFERROR(VLOOKUP('Season 1 - Player Stats'!G20,'Season 1 - League Table'!$T$2:$W$177,4,FALSE),0)</f>
        <v>15</v>
      </c>
      <c r="Z20">
        <f>38</f>
        <v>38</v>
      </c>
      <c r="AA20">
        <f t="shared" si="1"/>
        <v>15</v>
      </c>
      <c r="AB20">
        <f t="shared" si="2"/>
        <v>0</v>
      </c>
      <c r="AC20">
        <f t="shared" si="3"/>
        <v>0</v>
      </c>
    </row>
    <row r="21" spans="1:29" x14ac:dyDescent="0.25">
      <c r="A21" s="8">
        <v>61</v>
      </c>
      <c r="B21" s="7" t="s">
        <v>27</v>
      </c>
      <c r="C21" s="8" t="s">
        <v>45</v>
      </c>
      <c r="D21" s="7" t="s">
        <v>1149</v>
      </c>
      <c r="E21" s="7" t="s">
        <v>1150</v>
      </c>
      <c r="F21" s="7" t="s">
        <v>1151</v>
      </c>
      <c r="G21" s="7" t="s">
        <v>1152</v>
      </c>
      <c r="H21">
        <v>97</v>
      </c>
      <c r="I21">
        <v>85</v>
      </c>
      <c r="J21">
        <v>69</v>
      </c>
      <c r="K21">
        <v>92</v>
      </c>
      <c r="L21" s="5">
        <v>85.75</v>
      </c>
      <c r="M21">
        <v>82</v>
      </c>
      <c r="N21">
        <v>41</v>
      </c>
      <c r="O21" s="5">
        <v>48.87</v>
      </c>
      <c r="P21" s="5">
        <v>73.305000000000007</v>
      </c>
      <c r="Q21" s="11">
        <v>81.45</v>
      </c>
      <c r="R21" s="10">
        <v>8.7893312230785142E-2</v>
      </c>
      <c r="S21" s="10">
        <v>0.60110099999999989</v>
      </c>
      <c r="T21" t="s">
        <v>149</v>
      </c>
      <c r="U21">
        <v>21</v>
      </c>
      <c r="V21">
        <v>109</v>
      </c>
      <c r="W21" s="49">
        <v>54.925000000000011</v>
      </c>
      <c r="X21" t="str">
        <f t="shared" si="0"/>
        <v>Pa80</v>
      </c>
      <c r="Y21">
        <f>IFERROR(VLOOKUP('Season 1 - Player Stats'!G21,'Season 1 - League Table'!$T$2:$W$177,4,FALSE),0)</f>
        <v>4</v>
      </c>
      <c r="Z21">
        <f>38</f>
        <v>38</v>
      </c>
      <c r="AA21">
        <f t="shared" si="1"/>
        <v>4</v>
      </c>
      <c r="AB21">
        <f t="shared" si="2"/>
        <v>0</v>
      </c>
      <c r="AC21">
        <f t="shared" si="3"/>
        <v>0</v>
      </c>
    </row>
    <row r="22" spans="1:29" x14ac:dyDescent="0.25">
      <c r="A22" s="8">
        <v>92</v>
      </c>
      <c r="B22" s="7" t="s">
        <v>31</v>
      </c>
      <c r="C22" s="8" t="s">
        <v>56</v>
      </c>
      <c r="D22" s="7" t="s">
        <v>679</v>
      </c>
      <c r="E22" s="7" t="s">
        <v>1022</v>
      </c>
      <c r="F22" s="7" t="s">
        <v>1023</v>
      </c>
      <c r="G22" s="7" t="s">
        <v>1024</v>
      </c>
      <c r="H22">
        <v>93</v>
      </c>
      <c r="I22">
        <v>70</v>
      </c>
      <c r="J22">
        <v>94</v>
      </c>
      <c r="K22">
        <v>75</v>
      </c>
      <c r="L22" s="5">
        <v>83</v>
      </c>
      <c r="M22">
        <v>53</v>
      </c>
      <c r="N22">
        <v>69</v>
      </c>
      <c r="O22" s="5">
        <v>26.227499999999999</v>
      </c>
      <c r="P22" s="5">
        <v>87.424999999999997</v>
      </c>
      <c r="Q22" s="11">
        <v>87.424999999999997</v>
      </c>
      <c r="R22" s="10">
        <v>3.2539569377768932E-2</v>
      </c>
      <c r="S22" s="10">
        <v>0.5429092499999999</v>
      </c>
      <c r="T22" t="s">
        <v>140</v>
      </c>
      <c r="U22">
        <v>26</v>
      </c>
      <c r="V22">
        <v>102</v>
      </c>
      <c r="W22" s="49">
        <v>53.912499999999994</v>
      </c>
      <c r="X22" t="str">
        <f t="shared" si="0"/>
        <v>Ti84</v>
      </c>
      <c r="Y22">
        <f>IFERROR(VLOOKUP('Season 1 - Player Stats'!G22,'Season 1 - League Table'!$T$2:$W$177,4,FALSE),0)</f>
        <v>3</v>
      </c>
      <c r="Z22">
        <f>38</f>
        <v>38</v>
      </c>
      <c r="AA22">
        <f t="shared" si="1"/>
        <v>3</v>
      </c>
      <c r="AB22">
        <f t="shared" si="2"/>
        <v>0</v>
      </c>
      <c r="AC22">
        <f t="shared" si="3"/>
        <v>0</v>
      </c>
    </row>
    <row r="23" spans="1:29" x14ac:dyDescent="0.25">
      <c r="A23" s="8">
        <v>64</v>
      </c>
      <c r="B23" s="7" t="s">
        <v>27</v>
      </c>
      <c r="C23" s="8" t="s">
        <v>52</v>
      </c>
      <c r="D23" s="7" t="s">
        <v>1158</v>
      </c>
      <c r="E23" s="7" t="s">
        <v>1159</v>
      </c>
      <c r="F23" s="7" t="s">
        <v>1160</v>
      </c>
      <c r="G23" s="7" t="s">
        <v>1161</v>
      </c>
      <c r="H23">
        <v>84</v>
      </c>
      <c r="I23">
        <v>92</v>
      </c>
      <c r="J23">
        <v>53</v>
      </c>
      <c r="K23">
        <v>92</v>
      </c>
      <c r="L23" s="5">
        <v>80.25</v>
      </c>
      <c r="M23">
        <v>82</v>
      </c>
      <c r="N23">
        <v>37</v>
      </c>
      <c r="O23" s="5">
        <v>87.25</v>
      </c>
      <c r="P23" s="5">
        <v>26.175000000000001</v>
      </c>
      <c r="Q23" s="11">
        <v>87.25</v>
      </c>
      <c r="R23" s="10">
        <v>0.20870390187315091</v>
      </c>
      <c r="S23" s="10">
        <v>0.96847500000000009</v>
      </c>
      <c r="T23" t="s">
        <v>149</v>
      </c>
      <c r="U23">
        <v>26</v>
      </c>
      <c r="V23">
        <v>101</v>
      </c>
      <c r="W23" s="49">
        <v>53.325000000000003</v>
      </c>
      <c r="X23" t="str">
        <f t="shared" si="0"/>
        <v>Pa80</v>
      </c>
      <c r="Y23">
        <f>IFERROR(VLOOKUP('Season 1 - Player Stats'!G23,'Season 1 - League Table'!$T$2:$W$177,4,FALSE),0)</f>
        <v>18</v>
      </c>
      <c r="Z23">
        <f>38</f>
        <v>38</v>
      </c>
      <c r="AA23">
        <f t="shared" si="1"/>
        <v>18</v>
      </c>
      <c r="AB23">
        <f t="shared" si="2"/>
        <v>0</v>
      </c>
      <c r="AC23">
        <f t="shared" si="3"/>
        <v>0</v>
      </c>
    </row>
    <row r="24" spans="1:29" x14ac:dyDescent="0.25">
      <c r="A24" s="8">
        <v>11</v>
      </c>
      <c r="B24" s="7" t="s">
        <v>21</v>
      </c>
      <c r="C24" s="8" t="s">
        <v>53</v>
      </c>
      <c r="D24" s="7" t="s">
        <v>1350</v>
      </c>
      <c r="E24" s="7" t="s">
        <v>1351</v>
      </c>
      <c r="F24" s="7" t="s">
        <v>1352</v>
      </c>
      <c r="G24" s="7" t="s">
        <v>1353</v>
      </c>
      <c r="H24">
        <v>98</v>
      </c>
      <c r="I24">
        <v>94</v>
      </c>
      <c r="J24">
        <v>15</v>
      </c>
      <c r="K24">
        <v>85</v>
      </c>
      <c r="L24" s="5">
        <v>73</v>
      </c>
      <c r="M24">
        <v>85</v>
      </c>
      <c r="N24">
        <v>19</v>
      </c>
      <c r="O24" s="5">
        <v>87.4</v>
      </c>
      <c r="P24" s="5">
        <v>26.220000000000002</v>
      </c>
      <c r="Q24" s="11">
        <v>87.4</v>
      </c>
      <c r="R24" s="10">
        <v>0.23691671167544767</v>
      </c>
      <c r="S24" s="10">
        <v>0.49818000000000007</v>
      </c>
      <c r="T24" t="s">
        <v>143</v>
      </c>
      <c r="U24">
        <v>22</v>
      </c>
      <c r="V24">
        <v>100</v>
      </c>
      <c r="W24" s="49">
        <v>53.300000000000011</v>
      </c>
      <c r="X24" t="str">
        <f t="shared" si="0"/>
        <v>Ea69</v>
      </c>
      <c r="Y24">
        <f>IFERROR(VLOOKUP('Season 1 - Player Stats'!G24,'Season 1 - League Table'!$T$2:$W$177,4,FALSE),0)</f>
        <v>13</v>
      </c>
      <c r="Z24">
        <f>38</f>
        <v>38</v>
      </c>
      <c r="AA24">
        <f t="shared" si="1"/>
        <v>13</v>
      </c>
      <c r="AB24">
        <f t="shared" si="2"/>
        <v>0</v>
      </c>
      <c r="AC24">
        <f t="shared" si="3"/>
        <v>0</v>
      </c>
    </row>
    <row r="25" spans="1:29" x14ac:dyDescent="0.25">
      <c r="A25" s="8">
        <v>121</v>
      </c>
      <c r="B25" s="7" t="s">
        <v>33</v>
      </c>
      <c r="C25" s="8" t="s">
        <v>53</v>
      </c>
      <c r="D25" s="7" t="s">
        <v>963</v>
      </c>
      <c r="E25" s="7" t="s">
        <v>964</v>
      </c>
      <c r="F25" s="7" t="s">
        <v>965</v>
      </c>
      <c r="G25" s="7" t="s">
        <v>966</v>
      </c>
      <c r="H25">
        <v>100</v>
      </c>
      <c r="I25">
        <v>76</v>
      </c>
      <c r="J25">
        <v>18</v>
      </c>
      <c r="K25">
        <v>94</v>
      </c>
      <c r="L25" s="5">
        <v>72</v>
      </c>
      <c r="M25">
        <v>83</v>
      </c>
      <c r="N25">
        <v>72</v>
      </c>
      <c r="O25" s="5">
        <v>89.6</v>
      </c>
      <c r="P25" s="5">
        <v>26.88</v>
      </c>
      <c r="Q25" s="11">
        <v>89.6</v>
      </c>
      <c r="R25" s="10">
        <v>0.24331669269956002</v>
      </c>
      <c r="S25" s="10">
        <v>1.9353599999999997</v>
      </c>
      <c r="T25" t="s">
        <v>148</v>
      </c>
      <c r="U25">
        <v>28</v>
      </c>
      <c r="V25">
        <v>99</v>
      </c>
      <c r="W25" s="49">
        <v>53.3</v>
      </c>
      <c r="X25" t="str">
        <f t="shared" si="0"/>
        <v>Ha72</v>
      </c>
      <c r="Y25">
        <f>IFERROR(VLOOKUP('Season 1 - Player Stats'!G25,'Season 1 - League Table'!$T$2:$W$177,4,FALSE),0)</f>
        <v>14</v>
      </c>
      <c r="Z25">
        <f>38</f>
        <v>38</v>
      </c>
      <c r="AA25">
        <f t="shared" si="1"/>
        <v>14</v>
      </c>
      <c r="AB25">
        <f t="shared" si="2"/>
        <v>0</v>
      </c>
      <c r="AC25">
        <f t="shared" si="3"/>
        <v>0</v>
      </c>
    </row>
    <row r="26" spans="1:29" x14ac:dyDescent="0.25">
      <c r="A26" s="8">
        <v>20</v>
      </c>
      <c r="B26" s="7" t="s">
        <v>23</v>
      </c>
      <c r="C26" s="8" t="s">
        <v>52</v>
      </c>
      <c r="D26" s="7" t="s">
        <v>1305</v>
      </c>
      <c r="E26" s="7" t="s">
        <v>1306</v>
      </c>
      <c r="F26" s="7" t="s">
        <v>1307</v>
      </c>
      <c r="G26" s="7" t="s">
        <v>1308</v>
      </c>
      <c r="H26">
        <v>85</v>
      </c>
      <c r="I26">
        <v>72</v>
      </c>
      <c r="J26">
        <v>85</v>
      </c>
      <c r="K26">
        <v>90</v>
      </c>
      <c r="L26" s="5">
        <v>83</v>
      </c>
      <c r="M26">
        <v>51</v>
      </c>
      <c r="N26">
        <v>74</v>
      </c>
      <c r="O26" s="5">
        <v>85.3</v>
      </c>
      <c r="P26" s="5">
        <v>25.59</v>
      </c>
      <c r="Q26" s="11">
        <v>85.3</v>
      </c>
      <c r="R26" s="10">
        <v>0.20334641788102026</v>
      </c>
      <c r="S26" s="10">
        <v>1.8936600000000001</v>
      </c>
      <c r="T26" t="s">
        <v>144</v>
      </c>
      <c r="U26">
        <v>22</v>
      </c>
      <c r="V26">
        <v>101</v>
      </c>
      <c r="W26" s="49">
        <v>52.75</v>
      </c>
      <c r="X26" t="str">
        <f t="shared" si="0"/>
        <v>Li76</v>
      </c>
      <c r="Y26">
        <f>IFERROR(VLOOKUP('Season 1 - Player Stats'!G26,'Season 1 - League Table'!$T$2:$W$177,4,FALSE),0)</f>
        <v>16</v>
      </c>
      <c r="Z26">
        <f>38</f>
        <v>38</v>
      </c>
      <c r="AA26">
        <f t="shared" si="1"/>
        <v>16</v>
      </c>
      <c r="AB26">
        <f t="shared" si="2"/>
        <v>0</v>
      </c>
      <c r="AC26">
        <f t="shared" si="3"/>
        <v>0</v>
      </c>
    </row>
    <row r="27" spans="1:29" x14ac:dyDescent="0.25">
      <c r="A27" s="8">
        <v>96</v>
      </c>
      <c r="B27" s="7" t="s">
        <v>31</v>
      </c>
      <c r="C27" s="8" t="s">
        <v>46</v>
      </c>
      <c r="D27" s="7" t="s">
        <v>1037</v>
      </c>
      <c r="E27" s="7" t="s">
        <v>667</v>
      </c>
      <c r="F27" s="7" t="s">
        <v>668</v>
      </c>
      <c r="G27" s="7" t="s">
        <v>1038</v>
      </c>
      <c r="H27">
        <v>90</v>
      </c>
      <c r="I27">
        <v>90</v>
      </c>
      <c r="J27">
        <v>74</v>
      </c>
      <c r="K27">
        <v>88</v>
      </c>
      <c r="L27" s="5">
        <v>85.5</v>
      </c>
      <c r="M27">
        <v>52</v>
      </c>
      <c r="N27">
        <v>65</v>
      </c>
      <c r="O27" s="5">
        <v>79.920000000000016</v>
      </c>
      <c r="P27" s="5">
        <v>53.280000000000008</v>
      </c>
      <c r="Q27" s="11">
        <v>88.800000000000011</v>
      </c>
      <c r="R27" s="10">
        <v>0.14799109312865433</v>
      </c>
      <c r="S27" s="10">
        <v>1.55844</v>
      </c>
      <c r="T27" t="s">
        <v>140</v>
      </c>
      <c r="U27">
        <v>26</v>
      </c>
      <c r="V27">
        <v>97</v>
      </c>
      <c r="W27" s="49">
        <v>52.100000000000009</v>
      </c>
      <c r="X27" t="str">
        <f t="shared" si="0"/>
        <v>Ti84</v>
      </c>
      <c r="Y27">
        <f>IFERROR(VLOOKUP('Season 1 - Player Stats'!G27,'Season 1 - League Table'!$T$2:$W$177,4,FALSE),0)</f>
        <v>2</v>
      </c>
      <c r="Z27">
        <f>38</f>
        <v>38</v>
      </c>
      <c r="AA27">
        <f t="shared" si="1"/>
        <v>2</v>
      </c>
      <c r="AB27">
        <f t="shared" si="2"/>
        <v>0</v>
      </c>
      <c r="AC27">
        <f t="shared" si="3"/>
        <v>0</v>
      </c>
    </row>
    <row r="28" spans="1:29" x14ac:dyDescent="0.25">
      <c r="A28" s="8">
        <v>67</v>
      </c>
      <c r="B28" s="7" t="s">
        <v>29</v>
      </c>
      <c r="C28" s="8" t="s">
        <v>11</v>
      </c>
      <c r="D28" s="7" t="s">
        <v>1087</v>
      </c>
      <c r="E28" s="7" t="s">
        <v>1088</v>
      </c>
      <c r="F28" s="7" t="s">
        <v>1089</v>
      </c>
      <c r="G28" s="7" t="s">
        <v>1090</v>
      </c>
      <c r="H28">
        <v>91</v>
      </c>
      <c r="I28">
        <v>84</v>
      </c>
      <c r="J28">
        <v>51</v>
      </c>
      <c r="K28">
        <v>81</v>
      </c>
      <c r="L28" s="5">
        <v>76.75</v>
      </c>
      <c r="M28">
        <v>78</v>
      </c>
      <c r="N28">
        <v>93</v>
      </c>
      <c r="O28" s="5">
        <v>0</v>
      </c>
      <c r="P28" s="5">
        <v>83.05</v>
      </c>
      <c r="Q28" s="11">
        <v>83.05</v>
      </c>
      <c r="R28" s="10">
        <v>0</v>
      </c>
      <c r="S28" s="10">
        <v>0</v>
      </c>
      <c r="T28" t="s">
        <v>147</v>
      </c>
      <c r="U28">
        <v>23</v>
      </c>
      <c r="V28">
        <v>102</v>
      </c>
      <c r="W28" s="49">
        <v>52.025000000000006</v>
      </c>
      <c r="X28" t="str">
        <f t="shared" si="0"/>
        <v>Wo87</v>
      </c>
      <c r="Y28">
        <f>IFERROR(VLOOKUP('Season 1 - Player Stats'!G28,'Season 1 - League Table'!$T$2:$W$177,4,FALSE),0)</f>
        <v>0</v>
      </c>
      <c r="Z28">
        <f>38</f>
        <v>38</v>
      </c>
      <c r="AA28">
        <f t="shared" si="1"/>
        <v>0</v>
      </c>
      <c r="AB28">
        <f t="shared" si="2"/>
        <v>1</v>
      </c>
      <c r="AC28">
        <f t="shared" si="3"/>
        <v>1</v>
      </c>
    </row>
    <row r="29" spans="1:29" x14ac:dyDescent="0.25">
      <c r="A29" s="8">
        <v>66</v>
      </c>
      <c r="B29" s="7" t="s">
        <v>27</v>
      </c>
      <c r="C29" s="8" t="s">
        <v>53</v>
      </c>
      <c r="D29" s="7" t="s">
        <v>1166</v>
      </c>
      <c r="E29" s="7" t="s">
        <v>1167</v>
      </c>
      <c r="F29" s="7" t="s">
        <v>1168</v>
      </c>
      <c r="G29" s="7" t="s">
        <v>1169</v>
      </c>
      <c r="H29">
        <v>96</v>
      </c>
      <c r="I29">
        <v>79</v>
      </c>
      <c r="J29">
        <v>51</v>
      </c>
      <c r="K29">
        <v>90</v>
      </c>
      <c r="L29" s="5">
        <v>79</v>
      </c>
      <c r="M29">
        <v>77</v>
      </c>
      <c r="N29">
        <v>44</v>
      </c>
      <c r="O29" s="5">
        <v>88.5</v>
      </c>
      <c r="P29" s="5">
        <v>26.55</v>
      </c>
      <c r="Q29" s="11">
        <v>88.5</v>
      </c>
      <c r="R29" s="10">
        <v>0.21169392912061727</v>
      </c>
      <c r="S29" s="10">
        <v>1.1682000000000001</v>
      </c>
      <c r="T29" t="s">
        <v>149</v>
      </c>
      <c r="U29">
        <v>28</v>
      </c>
      <c r="V29">
        <v>97</v>
      </c>
      <c r="W29" s="49">
        <v>51.75</v>
      </c>
      <c r="X29" t="str">
        <f t="shared" si="0"/>
        <v>Pa80</v>
      </c>
      <c r="Y29">
        <f>IFERROR(VLOOKUP('Season 1 - Player Stats'!G29,'Season 1 - League Table'!$T$2:$W$177,4,FALSE),0)</f>
        <v>26</v>
      </c>
      <c r="Z29">
        <f>38</f>
        <v>38</v>
      </c>
      <c r="AA29">
        <f t="shared" si="1"/>
        <v>26</v>
      </c>
      <c r="AB29">
        <f t="shared" si="2"/>
        <v>0</v>
      </c>
      <c r="AC29">
        <f t="shared" si="3"/>
        <v>0</v>
      </c>
    </row>
    <row r="30" spans="1:29" x14ac:dyDescent="0.25">
      <c r="A30" s="8">
        <v>65</v>
      </c>
      <c r="B30" s="7" t="s">
        <v>27</v>
      </c>
      <c r="C30" s="8" t="s">
        <v>59</v>
      </c>
      <c r="D30" s="7" t="s">
        <v>1162</v>
      </c>
      <c r="E30" s="7" t="s">
        <v>1163</v>
      </c>
      <c r="F30" s="7" t="s">
        <v>1164</v>
      </c>
      <c r="G30" s="7" t="s">
        <v>1165</v>
      </c>
      <c r="H30">
        <v>95</v>
      </c>
      <c r="I30">
        <v>75</v>
      </c>
      <c r="J30">
        <v>48</v>
      </c>
      <c r="K30">
        <v>91</v>
      </c>
      <c r="L30" s="5">
        <v>77.25</v>
      </c>
      <c r="M30">
        <v>79</v>
      </c>
      <c r="N30">
        <v>40</v>
      </c>
      <c r="O30" s="5">
        <v>84.1</v>
      </c>
      <c r="P30" s="5">
        <v>25.229999999999997</v>
      </c>
      <c r="Q30" s="11">
        <v>84.1</v>
      </c>
      <c r="R30" s="10">
        <v>0.20116903320953572</v>
      </c>
      <c r="S30" s="10">
        <v>1.0092000000000001</v>
      </c>
      <c r="T30" t="s">
        <v>149</v>
      </c>
      <c r="U30">
        <v>22</v>
      </c>
      <c r="V30">
        <v>100</v>
      </c>
      <c r="W30" s="49">
        <v>51.650000000000006</v>
      </c>
      <c r="X30" t="str">
        <f t="shared" si="0"/>
        <v>Pa80</v>
      </c>
      <c r="Y30">
        <f>IFERROR(VLOOKUP('Season 1 - Player Stats'!G30,'Season 1 - League Table'!$T$2:$W$177,4,FALSE),0)</f>
        <v>17</v>
      </c>
      <c r="Z30">
        <f>38</f>
        <v>38</v>
      </c>
      <c r="AA30">
        <f t="shared" si="1"/>
        <v>17</v>
      </c>
      <c r="AB30">
        <f t="shared" si="2"/>
        <v>0</v>
      </c>
      <c r="AC30">
        <f t="shared" si="3"/>
        <v>0</v>
      </c>
    </row>
    <row r="31" spans="1:29" x14ac:dyDescent="0.25">
      <c r="A31" s="8">
        <v>8</v>
      </c>
      <c r="B31" s="7" t="s">
        <v>21</v>
      </c>
      <c r="C31" s="8" t="s">
        <v>46</v>
      </c>
      <c r="D31" s="7" t="s">
        <v>1338</v>
      </c>
      <c r="E31" s="7" t="s">
        <v>1339</v>
      </c>
      <c r="F31" s="7" t="s">
        <v>1340</v>
      </c>
      <c r="G31" s="7" t="s">
        <v>1341</v>
      </c>
      <c r="H31">
        <v>84</v>
      </c>
      <c r="I31">
        <v>89</v>
      </c>
      <c r="J31">
        <v>11</v>
      </c>
      <c r="K31">
        <v>95</v>
      </c>
      <c r="L31" s="5">
        <v>69.75</v>
      </c>
      <c r="M31">
        <v>99</v>
      </c>
      <c r="N31">
        <v>38</v>
      </c>
      <c r="O31" s="5">
        <v>76.094999999999999</v>
      </c>
      <c r="P31" s="5">
        <v>50.73</v>
      </c>
      <c r="Q31" s="11">
        <v>84.55</v>
      </c>
      <c r="R31" s="10">
        <v>0.15509176695981819</v>
      </c>
      <c r="S31" s="10">
        <v>0.867483</v>
      </c>
      <c r="T31" t="s">
        <v>143</v>
      </c>
      <c r="U31">
        <v>18</v>
      </c>
      <c r="V31">
        <v>98</v>
      </c>
      <c r="W31" s="49">
        <v>51.275000000000006</v>
      </c>
      <c r="X31" t="str">
        <f t="shared" si="0"/>
        <v>Ea69</v>
      </c>
      <c r="Y31">
        <f>IFERROR(VLOOKUP('Season 1 - Player Stats'!G31,'Season 1 - League Table'!$T$2:$W$177,4,FALSE),0)</f>
        <v>13</v>
      </c>
      <c r="Z31">
        <f>38</f>
        <v>38</v>
      </c>
      <c r="AA31">
        <f t="shared" si="1"/>
        <v>13</v>
      </c>
      <c r="AB31">
        <f t="shared" si="2"/>
        <v>0</v>
      </c>
      <c r="AC31">
        <f t="shared" si="3"/>
        <v>0</v>
      </c>
    </row>
    <row r="32" spans="1:29" x14ac:dyDescent="0.25">
      <c r="A32" s="8">
        <v>140</v>
      </c>
      <c r="B32" s="7" t="s">
        <v>35</v>
      </c>
      <c r="C32" s="8" t="s">
        <v>46</v>
      </c>
      <c r="D32" s="7" t="s">
        <v>867</v>
      </c>
      <c r="E32" s="7" t="s">
        <v>868</v>
      </c>
      <c r="F32" s="7" t="s">
        <v>869</v>
      </c>
      <c r="G32" s="7" t="s">
        <v>870</v>
      </c>
      <c r="H32">
        <v>94</v>
      </c>
      <c r="I32">
        <v>100</v>
      </c>
      <c r="J32">
        <v>31</v>
      </c>
      <c r="K32">
        <v>55</v>
      </c>
      <c r="L32" s="5">
        <v>70</v>
      </c>
      <c r="M32">
        <v>84</v>
      </c>
      <c r="N32">
        <v>96</v>
      </c>
      <c r="O32" s="5">
        <v>76.905000000000001</v>
      </c>
      <c r="P32" s="5">
        <v>51.27</v>
      </c>
      <c r="Q32" s="11">
        <v>85.45</v>
      </c>
      <c r="R32" s="10">
        <v>0.17880621479763545</v>
      </c>
      <c r="S32" s="10">
        <v>2.2148639999999999</v>
      </c>
      <c r="T32" t="s">
        <v>158</v>
      </c>
      <c r="U32">
        <v>28</v>
      </c>
      <c r="V32">
        <v>99</v>
      </c>
      <c r="W32" s="49">
        <v>51.224999999999994</v>
      </c>
      <c r="X32" t="str">
        <f t="shared" si="0"/>
        <v>Do68</v>
      </c>
      <c r="Y32">
        <f>IFERROR(VLOOKUP('Season 1 - Player Stats'!G32,'Season 1 - League Table'!$T$2:$W$177,4,FALSE),0)</f>
        <v>13</v>
      </c>
      <c r="Z32">
        <f>38</f>
        <v>38</v>
      </c>
      <c r="AA32">
        <f t="shared" si="1"/>
        <v>13</v>
      </c>
      <c r="AB32">
        <f t="shared" si="2"/>
        <v>0</v>
      </c>
      <c r="AC32">
        <f t="shared" si="3"/>
        <v>0</v>
      </c>
    </row>
    <row r="33" spans="1:29" x14ac:dyDescent="0.25">
      <c r="A33" s="8">
        <v>18</v>
      </c>
      <c r="B33" s="7" t="s">
        <v>23</v>
      </c>
      <c r="C33" s="8" t="s">
        <v>57</v>
      </c>
      <c r="D33" s="7" t="s">
        <v>1299</v>
      </c>
      <c r="E33" s="7" t="s">
        <v>1054</v>
      </c>
      <c r="F33" s="7" t="s">
        <v>1300</v>
      </c>
      <c r="G33" s="7" t="s">
        <v>1301</v>
      </c>
      <c r="H33">
        <v>83</v>
      </c>
      <c r="I33">
        <v>85</v>
      </c>
      <c r="J33">
        <v>85</v>
      </c>
      <c r="K33">
        <v>77</v>
      </c>
      <c r="L33" s="5">
        <v>82.5</v>
      </c>
      <c r="M33">
        <v>54</v>
      </c>
      <c r="N33">
        <v>71</v>
      </c>
      <c r="O33" s="5">
        <v>62.474999999999994</v>
      </c>
      <c r="P33" s="5">
        <v>62.474999999999994</v>
      </c>
      <c r="Q33" s="11">
        <v>83.3</v>
      </c>
      <c r="R33" s="10">
        <v>0.11198042695058343</v>
      </c>
      <c r="S33" s="10">
        <v>1.3307174999999998</v>
      </c>
      <c r="T33" t="s">
        <v>144</v>
      </c>
      <c r="U33">
        <v>18</v>
      </c>
      <c r="V33">
        <v>98</v>
      </c>
      <c r="W33" s="49">
        <v>50.650000000000006</v>
      </c>
      <c r="X33" t="str">
        <f t="shared" si="0"/>
        <v>Li76</v>
      </c>
      <c r="Y33">
        <f>IFERROR(VLOOKUP('Season 1 - Player Stats'!G33,'Season 1 - League Table'!$T$2:$W$177,4,FALSE),0)</f>
        <v>5</v>
      </c>
      <c r="Z33">
        <f>38</f>
        <v>38</v>
      </c>
      <c r="AA33">
        <f t="shared" si="1"/>
        <v>5</v>
      </c>
      <c r="AB33">
        <f t="shared" si="2"/>
        <v>0</v>
      </c>
      <c r="AC33">
        <f t="shared" si="3"/>
        <v>0</v>
      </c>
    </row>
    <row r="34" spans="1:29" x14ac:dyDescent="0.25">
      <c r="A34" s="8">
        <v>63</v>
      </c>
      <c r="B34" s="7" t="s">
        <v>27</v>
      </c>
      <c r="C34" s="8" t="s">
        <v>46</v>
      </c>
      <c r="D34" s="7" t="s">
        <v>1154</v>
      </c>
      <c r="E34" s="7" t="s">
        <v>1155</v>
      </c>
      <c r="F34" s="7" t="s">
        <v>1156</v>
      </c>
      <c r="G34" s="7" t="s">
        <v>1157</v>
      </c>
      <c r="H34">
        <v>92</v>
      </c>
      <c r="I34">
        <v>85</v>
      </c>
      <c r="J34">
        <v>65</v>
      </c>
      <c r="K34">
        <v>82</v>
      </c>
      <c r="L34" s="5">
        <v>81</v>
      </c>
      <c r="M34">
        <v>84</v>
      </c>
      <c r="N34">
        <v>44</v>
      </c>
      <c r="O34" s="5">
        <v>77.265000000000001</v>
      </c>
      <c r="P34" s="5">
        <v>51.51</v>
      </c>
      <c r="Q34" s="11">
        <v>85.85</v>
      </c>
      <c r="R34" s="10">
        <v>0.13896207836119528</v>
      </c>
      <c r="S34" s="10">
        <v>1.0198980000000002</v>
      </c>
      <c r="T34" t="s">
        <v>149</v>
      </c>
      <c r="U34">
        <v>23</v>
      </c>
      <c r="V34">
        <v>96</v>
      </c>
      <c r="W34" s="49">
        <v>50.424999999999997</v>
      </c>
      <c r="X34" t="str">
        <f t="shared" si="0"/>
        <v>Pa80</v>
      </c>
      <c r="Y34">
        <f>IFERROR(VLOOKUP('Season 1 - Player Stats'!G34,'Season 1 - League Table'!$T$2:$W$177,4,FALSE),0)</f>
        <v>6</v>
      </c>
      <c r="Z34">
        <f>38</f>
        <v>38</v>
      </c>
      <c r="AA34">
        <f t="shared" si="1"/>
        <v>6</v>
      </c>
      <c r="AB34">
        <f t="shared" si="2"/>
        <v>0</v>
      </c>
      <c r="AC34">
        <f t="shared" si="3"/>
        <v>0</v>
      </c>
    </row>
    <row r="35" spans="1:29" x14ac:dyDescent="0.25">
      <c r="A35" s="8">
        <v>174</v>
      </c>
      <c r="B35" s="7" t="s">
        <v>38</v>
      </c>
      <c r="C35" s="8" t="s">
        <v>52</v>
      </c>
      <c r="D35" s="7" t="s">
        <v>784</v>
      </c>
      <c r="E35" s="7" t="s">
        <v>785</v>
      </c>
      <c r="F35" s="7" t="s">
        <v>786</v>
      </c>
      <c r="G35" s="7" t="s">
        <v>787</v>
      </c>
      <c r="H35">
        <v>100</v>
      </c>
      <c r="I35">
        <v>42</v>
      </c>
      <c r="J35">
        <v>18</v>
      </c>
      <c r="K35">
        <v>100</v>
      </c>
      <c r="L35" s="5">
        <v>65</v>
      </c>
      <c r="M35">
        <v>31</v>
      </c>
      <c r="N35">
        <v>84</v>
      </c>
      <c r="O35" s="5">
        <v>87.199999999999989</v>
      </c>
      <c r="P35" s="5">
        <v>26.159999999999997</v>
      </c>
      <c r="Q35" s="11">
        <v>87.199999999999989</v>
      </c>
      <c r="R35" s="10">
        <v>0.2524317912218268</v>
      </c>
      <c r="S35" s="10">
        <v>2.1974399999999998</v>
      </c>
      <c r="T35" t="s">
        <v>152</v>
      </c>
      <c r="U35">
        <v>20</v>
      </c>
      <c r="V35">
        <v>92</v>
      </c>
      <c r="W35" s="49">
        <v>49.399999999999991</v>
      </c>
      <c r="X35" t="str">
        <f t="shared" si="0"/>
        <v>Ch67</v>
      </c>
      <c r="Y35">
        <f>IFERROR(VLOOKUP('Season 1 - Player Stats'!G35,'Season 1 - League Table'!$T$2:$W$177,4,FALSE),0)</f>
        <v>23</v>
      </c>
      <c r="Z35">
        <f>38</f>
        <v>38</v>
      </c>
      <c r="AA35">
        <f t="shared" si="1"/>
        <v>23</v>
      </c>
      <c r="AB35">
        <f t="shared" si="2"/>
        <v>0</v>
      </c>
      <c r="AC35">
        <f t="shared" si="3"/>
        <v>0</v>
      </c>
    </row>
    <row r="36" spans="1:29" x14ac:dyDescent="0.25">
      <c r="A36" s="8">
        <v>212</v>
      </c>
      <c r="B36" s="7" t="s">
        <v>42</v>
      </c>
      <c r="C36" s="8" t="s">
        <v>56</v>
      </c>
      <c r="D36" s="7" t="s">
        <v>630</v>
      </c>
      <c r="E36" s="7" t="s">
        <v>631</v>
      </c>
      <c r="F36" s="7" t="s">
        <v>632</v>
      </c>
      <c r="G36" s="7" t="s">
        <v>633</v>
      </c>
      <c r="H36">
        <v>64</v>
      </c>
      <c r="I36">
        <v>99</v>
      </c>
      <c r="J36">
        <v>100</v>
      </c>
      <c r="K36">
        <v>35</v>
      </c>
      <c r="L36" s="5">
        <v>74.5</v>
      </c>
      <c r="M36">
        <v>10</v>
      </c>
      <c r="N36">
        <v>76</v>
      </c>
      <c r="O36" s="5">
        <v>25.679999999999996</v>
      </c>
      <c r="P36" s="5">
        <v>85.6</v>
      </c>
      <c r="Q36" s="11">
        <v>85.6</v>
      </c>
      <c r="R36" s="10">
        <v>3.7745857808052383E-2</v>
      </c>
      <c r="S36" s="10">
        <v>0.58550399999999991</v>
      </c>
      <c r="T36" t="s">
        <v>155</v>
      </c>
      <c r="U36">
        <v>21</v>
      </c>
      <c r="V36">
        <v>93</v>
      </c>
      <c r="W36" s="49">
        <v>49</v>
      </c>
      <c r="X36" t="str">
        <f t="shared" si="0"/>
        <v>Go71</v>
      </c>
      <c r="Y36">
        <f>IFERROR(VLOOKUP('Season 1 - Player Stats'!G36,'Season 1 - League Table'!$T$2:$W$177,4,FALSE),0)</f>
        <v>0</v>
      </c>
      <c r="Z36">
        <f>38</f>
        <v>38</v>
      </c>
      <c r="AA36">
        <f t="shared" si="1"/>
        <v>0</v>
      </c>
      <c r="AB36">
        <f t="shared" si="2"/>
        <v>0</v>
      </c>
      <c r="AC36">
        <f t="shared" si="3"/>
        <v>0</v>
      </c>
    </row>
    <row r="37" spans="1:29" x14ac:dyDescent="0.25">
      <c r="A37" s="8">
        <v>89</v>
      </c>
      <c r="B37" s="7" t="s">
        <v>31</v>
      </c>
      <c r="C37" s="8" t="s">
        <v>11</v>
      </c>
      <c r="D37" s="7" t="s">
        <v>1011</v>
      </c>
      <c r="E37" s="7" t="s">
        <v>1012</v>
      </c>
      <c r="F37" s="7" t="s">
        <v>1013</v>
      </c>
      <c r="G37" s="7" t="s">
        <v>1014</v>
      </c>
      <c r="H37">
        <v>100</v>
      </c>
      <c r="I37">
        <v>89</v>
      </c>
      <c r="J37">
        <v>48</v>
      </c>
      <c r="K37">
        <v>76</v>
      </c>
      <c r="L37" s="5">
        <v>78.25</v>
      </c>
      <c r="M37">
        <v>47</v>
      </c>
      <c r="N37">
        <v>73</v>
      </c>
      <c r="O37" s="5">
        <v>0</v>
      </c>
      <c r="P37" s="5">
        <v>87.350000000000009</v>
      </c>
      <c r="Q37" s="11">
        <v>87.350000000000009</v>
      </c>
      <c r="R37" s="10">
        <v>0</v>
      </c>
      <c r="S37" s="10">
        <v>0</v>
      </c>
      <c r="T37" t="s">
        <v>140</v>
      </c>
      <c r="U37">
        <v>31</v>
      </c>
      <c r="V37">
        <v>93</v>
      </c>
      <c r="W37" s="49">
        <v>48.875</v>
      </c>
      <c r="X37" t="str">
        <f t="shared" si="0"/>
        <v>Ti84</v>
      </c>
      <c r="Y37">
        <f>IFERROR(VLOOKUP('Season 1 - Player Stats'!G37,'Season 1 - League Table'!$T$2:$W$177,4,FALSE),0)</f>
        <v>0</v>
      </c>
      <c r="Z37">
        <f>38</f>
        <v>38</v>
      </c>
      <c r="AA37">
        <f t="shared" si="1"/>
        <v>0</v>
      </c>
      <c r="AB37">
        <f t="shared" si="2"/>
        <v>0</v>
      </c>
      <c r="AC37">
        <f t="shared" si="3"/>
        <v>0</v>
      </c>
    </row>
    <row r="38" spans="1:29" x14ac:dyDescent="0.25">
      <c r="A38" s="8">
        <v>19</v>
      </c>
      <c r="B38" s="7" t="s">
        <v>23</v>
      </c>
      <c r="C38" s="8" t="s">
        <v>46</v>
      </c>
      <c r="D38" s="7" t="s">
        <v>1302</v>
      </c>
      <c r="E38" s="7" t="s">
        <v>757</v>
      </c>
      <c r="F38" s="7" t="s">
        <v>1303</v>
      </c>
      <c r="G38" s="7" t="s">
        <v>1304</v>
      </c>
      <c r="H38">
        <v>79</v>
      </c>
      <c r="I38">
        <v>89</v>
      </c>
      <c r="J38">
        <v>92</v>
      </c>
      <c r="K38">
        <v>81</v>
      </c>
      <c r="L38" s="5">
        <v>85.25</v>
      </c>
      <c r="M38">
        <v>59</v>
      </c>
      <c r="N38">
        <v>73</v>
      </c>
      <c r="O38" s="5">
        <v>75.644999999999996</v>
      </c>
      <c r="P38" s="5">
        <v>50.43</v>
      </c>
      <c r="Q38" s="11">
        <v>84.05</v>
      </c>
      <c r="R38" s="10">
        <v>0.13558638490079045</v>
      </c>
      <c r="S38" s="10">
        <v>1.6566255000000001</v>
      </c>
      <c r="T38" t="s">
        <v>144</v>
      </c>
      <c r="U38">
        <v>26</v>
      </c>
      <c r="V38">
        <v>94</v>
      </c>
      <c r="W38" s="49">
        <v>48.224999999999994</v>
      </c>
      <c r="X38" t="str">
        <f t="shared" si="0"/>
        <v>Li76</v>
      </c>
      <c r="Y38">
        <f>IFERROR(VLOOKUP('Season 1 - Player Stats'!G38,'Season 1 - League Table'!$T$2:$W$177,4,FALSE),0)</f>
        <v>8</v>
      </c>
      <c r="Z38">
        <f>38</f>
        <v>38</v>
      </c>
      <c r="AA38">
        <f t="shared" si="1"/>
        <v>8</v>
      </c>
      <c r="AB38">
        <f t="shared" si="2"/>
        <v>0</v>
      </c>
      <c r="AC38">
        <f t="shared" si="3"/>
        <v>0</v>
      </c>
    </row>
    <row r="39" spans="1:29" x14ac:dyDescent="0.25">
      <c r="A39" s="8">
        <v>47</v>
      </c>
      <c r="B39" s="7" t="s">
        <v>28</v>
      </c>
      <c r="C39" s="8" t="s">
        <v>56</v>
      </c>
      <c r="D39" s="7" t="s">
        <v>975</v>
      </c>
      <c r="E39" s="7" t="s">
        <v>1176</v>
      </c>
      <c r="F39" s="7" t="s">
        <v>1177</v>
      </c>
      <c r="G39" s="7" t="s">
        <v>1178</v>
      </c>
      <c r="H39">
        <v>72</v>
      </c>
      <c r="I39">
        <v>45</v>
      </c>
      <c r="J39">
        <v>100</v>
      </c>
      <c r="K39">
        <v>91</v>
      </c>
      <c r="L39" s="5">
        <v>77</v>
      </c>
      <c r="M39">
        <v>61</v>
      </c>
      <c r="N39">
        <v>6</v>
      </c>
      <c r="O39" s="5">
        <v>26.07</v>
      </c>
      <c r="P39" s="5">
        <v>86.9</v>
      </c>
      <c r="Q39" s="11">
        <v>86.9</v>
      </c>
      <c r="R39" s="10">
        <v>3.8186111080747237E-2</v>
      </c>
      <c r="S39" s="10">
        <v>4.6925999999999995E-2</v>
      </c>
      <c r="T39" t="s">
        <v>157</v>
      </c>
      <c r="U39">
        <v>32</v>
      </c>
      <c r="V39">
        <v>92</v>
      </c>
      <c r="W39" s="49">
        <v>48.050000000000011</v>
      </c>
      <c r="X39" t="str">
        <f t="shared" si="0"/>
        <v>Sh83</v>
      </c>
      <c r="Y39">
        <f>IFERROR(VLOOKUP('Season 1 - Player Stats'!G39,'Season 1 - League Table'!$T$2:$W$177,4,FALSE),0)</f>
        <v>3</v>
      </c>
      <c r="Z39">
        <f>38</f>
        <v>38</v>
      </c>
      <c r="AA39">
        <f t="shared" si="1"/>
        <v>3</v>
      </c>
      <c r="AB39">
        <f t="shared" si="2"/>
        <v>0</v>
      </c>
      <c r="AC39">
        <f t="shared" si="3"/>
        <v>0</v>
      </c>
    </row>
    <row r="40" spans="1:29" x14ac:dyDescent="0.25">
      <c r="A40" s="8">
        <v>103</v>
      </c>
      <c r="B40" s="7" t="s">
        <v>32</v>
      </c>
      <c r="C40" s="8" t="s">
        <v>56</v>
      </c>
      <c r="D40" s="7" t="s">
        <v>979</v>
      </c>
      <c r="E40" s="7" t="s">
        <v>980</v>
      </c>
      <c r="F40" s="7" t="s">
        <v>981</v>
      </c>
      <c r="G40" s="7" t="s">
        <v>982</v>
      </c>
      <c r="H40">
        <v>55</v>
      </c>
      <c r="I40">
        <v>58</v>
      </c>
      <c r="J40">
        <v>100</v>
      </c>
      <c r="K40">
        <v>46</v>
      </c>
      <c r="L40" s="5">
        <v>64.75</v>
      </c>
      <c r="M40">
        <v>32</v>
      </c>
      <c r="N40">
        <v>75</v>
      </c>
      <c r="O40" s="5">
        <v>23.992499999999996</v>
      </c>
      <c r="P40" s="5">
        <v>79.974999999999994</v>
      </c>
      <c r="Q40" s="11">
        <v>79.974999999999994</v>
      </c>
      <c r="R40" s="10">
        <v>4.3155743481324858E-2</v>
      </c>
      <c r="S40" s="10">
        <v>0.53983124999999998</v>
      </c>
      <c r="T40" t="s">
        <v>141</v>
      </c>
      <c r="U40">
        <v>19</v>
      </c>
      <c r="V40">
        <v>96</v>
      </c>
      <c r="W40" s="49">
        <v>47.887499999999989</v>
      </c>
      <c r="X40" t="str">
        <f t="shared" si="0"/>
        <v>Be66</v>
      </c>
      <c r="Y40">
        <f>IFERROR(VLOOKUP('Season 1 - Player Stats'!G40,'Season 1 - League Table'!$T$2:$W$177,4,FALSE),0)</f>
        <v>3</v>
      </c>
      <c r="Z40">
        <f>38</f>
        <v>38</v>
      </c>
      <c r="AA40">
        <f t="shared" si="1"/>
        <v>3</v>
      </c>
      <c r="AB40">
        <f t="shared" si="2"/>
        <v>0</v>
      </c>
      <c r="AC40">
        <f t="shared" si="3"/>
        <v>0</v>
      </c>
    </row>
    <row r="41" spans="1:29" x14ac:dyDescent="0.25">
      <c r="A41" s="8">
        <v>118</v>
      </c>
      <c r="B41" s="7" t="s">
        <v>33</v>
      </c>
      <c r="C41" s="8" t="s">
        <v>46</v>
      </c>
      <c r="D41" s="7" t="s">
        <v>951</v>
      </c>
      <c r="E41" s="7" t="s">
        <v>952</v>
      </c>
      <c r="F41" s="7" t="s">
        <v>953</v>
      </c>
      <c r="G41" s="7" t="s">
        <v>954</v>
      </c>
      <c r="H41">
        <v>100</v>
      </c>
      <c r="I41">
        <v>77</v>
      </c>
      <c r="J41">
        <v>5</v>
      </c>
      <c r="K41">
        <v>94</v>
      </c>
      <c r="L41" s="5">
        <v>69</v>
      </c>
      <c r="M41">
        <v>80</v>
      </c>
      <c r="N41">
        <v>79</v>
      </c>
      <c r="O41" s="5">
        <v>76.364999999999995</v>
      </c>
      <c r="P41" s="5">
        <v>50.91</v>
      </c>
      <c r="Q41" s="11">
        <v>84.85</v>
      </c>
      <c r="R41" s="10">
        <v>0.15592171755842088</v>
      </c>
      <c r="S41" s="10">
        <v>1.8098505</v>
      </c>
      <c r="T41" t="s">
        <v>148</v>
      </c>
      <c r="U41">
        <v>29</v>
      </c>
      <c r="V41">
        <v>93</v>
      </c>
      <c r="W41" s="49">
        <v>47.824999999999989</v>
      </c>
      <c r="X41" t="str">
        <f t="shared" si="0"/>
        <v>Ha72</v>
      </c>
      <c r="Y41">
        <f>IFERROR(VLOOKUP('Season 1 - Player Stats'!G41,'Season 1 - League Table'!$T$2:$W$177,4,FALSE),0)</f>
        <v>17</v>
      </c>
      <c r="Z41">
        <f>38</f>
        <v>38</v>
      </c>
      <c r="AA41">
        <f t="shared" si="1"/>
        <v>17</v>
      </c>
      <c r="AB41">
        <f t="shared" si="2"/>
        <v>0</v>
      </c>
      <c r="AC41">
        <f t="shared" si="3"/>
        <v>0</v>
      </c>
    </row>
    <row r="42" spans="1:29" x14ac:dyDescent="0.25">
      <c r="A42" s="8">
        <v>74</v>
      </c>
      <c r="B42" s="7" t="s">
        <v>29</v>
      </c>
      <c r="C42" s="8" t="s">
        <v>46</v>
      </c>
      <c r="D42" s="7" t="s">
        <v>1115</v>
      </c>
      <c r="E42" s="7" t="s">
        <v>1116</v>
      </c>
      <c r="F42" s="7" t="s">
        <v>1117</v>
      </c>
      <c r="G42" s="7" t="s">
        <v>1118</v>
      </c>
      <c r="H42">
        <v>79</v>
      </c>
      <c r="I42">
        <v>99</v>
      </c>
      <c r="J42">
        <v>66</v>
      </c>
      <c r="K42">
        <v>67</v>
      </c>
      <c r="L42" s="5">
        <v>77.75</v>
      </c>
      <c r="M42">
        <v>80</v>
      </c>
      <c r="N42">
        <v>93</v>
      </c>
      <c r="O42" s="5">
        <v>75.555000000000007</v>
      </c>
      <c r="P42" s="5">
        <v>50.37</v>
      </c>
      <c r="Q42" s="11">
        <v>83.95</v>
      </c>
      <c r="R42" s="10">
        <v>0.14545332037078035</v>
      </c>
      <c r="S42" s="10">
        <v>2.1079845000000001</v>
      </c>
      <c r="T42" t="s">
        <v>147</v>
      </c>
      <c r="U42">
        <v>26</v>
      </c>
      <c r="V42">
        <v>93</v>
      </c>
      <c r="W42" s="49">
        <v>47.675000000000011</v>
      </c>
      <c r="X42" t="str">
        <f t="shared" si="0"/>
        <v>Wo87</v>
      </c>
      <c r="Y42">
        <f>IFERROR(VLOOKUP('Season 1 - Player Stats'!G42,'Season 1 - League Table'!$T$2:$W$177,4,FALSE),0)</f>
        <v>10</v>
      </c>
      <c r="Z42">
        <f>38</f>
        <v>38</v>
      </c>
      <c r="AA42">
        <f t="shared" si="1"/>
        <v>10</v>
      </c>
      <c r="AB42">
        <f t="shared" si="2"/>
        <v>1</v>
      </c>
      <c r="AC42">
        <f t="shared" si="3"/>
        <v>1</v>
      </c>
    </row>
    <row r="43" spans="1:29" x14ac:dyDescent="0.25">
      <c r="A43" s="8">
        <v>21</v>
      </c>
      <c r="B43" s="7" t="s">
        <v>23</v>
      </c>
      <c r="C43" s="8" t="s">
        <v>59</v>
      </c>
      <c r="D43" s="7" t="s">
        <v>1309</v>
      </c>
      <c r="E43" s="7" t="s">
        <v>1310</v>
      </c>
      <c r="F43" s="7" t="s">
        <v>1311</v>
      </c>
      <c r="G43" s="7" t="s">
        <v>1312</v>
      </c>
      <c r="H43">
        <v>89</v>
      </c>
      <c r="I43">
        <v>81</v>
      </c>
      <c r="J43">
        <v>81</v>
      </c>
      <c r="K43">
        <v>85</v>
      </c>
      <c r="L43" s="5">
        <v>84</v>
      </c>
      <c r="M43">
        <v>53</v>
      </c>
      <c r="N43">
        <v>67</v>
      </c>
      <c r="O43" s="5">
        <v>85</v>
      </c>
      <c r="P43" s="5">
        <v>25.5</v>
      </c>
      <c r="Q43" s="11">
        <v>85</v>
      </c>
      <c r="R43" s="10">
        <v>0.20263124876772243</v>
      </c>
      <c r="S43" s="10">
        <v>1.7084999999999999</v>
      </c>
      <c r="T43" t="s">
        <v>144</v>
      </c>
      <c r="U43">
        <v>27</v>
      </c>
      <c r="V43">
        <v>92</v>
      </c>
      <c r="W43" s="49">
        <v>47.599999999999994</v>
      </c>
      <c r="X43" t="str">
        <f t="shared" si="0"/>
        <v>Li76</v>
      </c>
      <c r="Y43">
        <f>IFERROR(VLOOKUP('Season 1 - Player Stats'!G43,'Season 1 - League Table'!$T$2:$W$177,4,FALSE),0)</f>
        <v>15</v>
      </c>
      <c r="Z43">
        <f>38</f>
        <v>38</v>
      </c>
      <c r="AA43">
        <f t="shared" si="1"/>
        <v>15</v>
      </c>
      <c r="AB43">
        <f t="shared" si="2"/>
        <v>0</v>
      </c>
      <c r="AC43">
        <f t="shared" si="3"/>
        <v>0</v>
      </c>
    </row>
    <row r="44" spans="1:29" x14ac:dyDescent="0.25">
      <c r="A44" s="8">
        <v>17</v>
      </c>
      <c r="B44" s="7" t="s">
        <v>23</v>
      </c>
      <c r="C44" s="8" t="s">
        <v>45</v>
      </c>
      <c r="D44" s="7" t="s">
        <v>1155</v>
      </c>
      <c r="E44" s="7" t="s">
        <v>1296</v>
      </c>
      <c r="F44" s="7" t="s">
        <v>1297</v>
      </c>
      <c r="G44" s="7" t="s">
        <v>1298</v>
      </c>
      <c r="H44">
        <v>84</v>
      </c>
      <c r="I44">
        <v>79</v>
      </c>
      <c r="J44">
        <v>95</v>
      </c>
      <c r="K44">
        <v>88</v>
      </c>
      <c r="L44" s="5">
        <v>86.5</v>
      </c>
      <c r="M44">
        <v>58</v>
      </c>
      <c r="N44">
        <v>69</v>
      </c>
      <c r="O44" s="5">
        <v>52.5</v>
      </c>
      <c r="P44" s="5">
        <v>78.75</v>
      </c>
      <c r="Q44" s="11">
        <v>87.5</v>
      </c>
      <c r="R44" s="10">
        <v>9.4101199118137344E-2</v>
      </c>
      <c r="S44" s="10">
        <v>1.0867499999999999</v>
      </c>
      <c r="T44" t="s">
        <v>144</v>
      </c>
      <c r="U44">
        <v>31</v>
      </c>
      <c r="V44">
        <v>90</v>
      </c>
      <c r="W44" s="49">
        <v>47.45</v>
      </c>
      <c r="X44" t="str">
        <f t="shared" si="0"/>
        <v>Li76</v>
      </c>
      <c r="Y44">
        <f>IFERROR(VLOOKUP('Season 1 - Player Stats'!G44,'Season 1 - League Table'!$T$2:$W$177,4,FALSE),0)</f>
        <v>8</v>
      </c>
      <c r="Z44">
        <f>38</f>
        <v>38</v>
      </c>
      <c r="AA44">
        <f t="shared" si="1"/>
        <v>8</v>
      </c>
      <c r="AB44">
        <f t="shared" si="2"/>
        <v>0</v>
      </c>
      <c r="AC44">
        <f t="shared" si="3"/>
        <v>0</v>
      </c>
    </row>
    <row r="45" spans="1:29" x14ac:dyDescent="0.25">
      <c r="A45" s="8">
        <v>97</v>
      </c>
      <c r="B45" s="7" t="s">
        <v>31</v>
      </c>
      <c r="C45" s="8" t="s">
        <v>52</v>
      </c>
      <c r="D45" s="7" t="s">
        <v>1039</v>
      </c>
      <c r="E45" s="7" t="s">
        <v>1040</v>
      </c>
      <c r="F45" s="7" t="s">
        <v>1041</v>
      </c>
      <c r="G45" s="7" t="s">
        <v>1042</v>
      </c>
      <c r="H45">
        <v>62</v>
      </c>
      <c r="I45">
        <v>78</v>
      </c>
      <c r="J45">
        <v>73</v>
      </c>
      <c r="K45">
        <v>82</v>
      </c>
      <c r="L45" s="5">
        <v>73.75</v>
      </c>
      <c r="M45">
        <v>51</v>
      </c>
      <c r="N45">
        <v>66</v>
      </c>
      <c r="O45" s="5">
        <v>73.949999999999989</v>
      </c>
      <c r="P45" s="5">
        <v>22.184999999999995</v>
      </c>
      <c r="Q45" s="11">
        <v>73.949999999999989</v>
      </c>
      <c r="R45" s="10">
        <v>0.18212514987523898</v>
      </c>
      <c r="S45" s="10">
        <v>1.46421</v>
      </c>
      <c r="T45" t="s">
        <v>140</v>
      </c>
      <c r="U45">
        <v>19</v>
      </c>
      <c r="V45">
        <v>100</v>
      </c>
      <c r="W45" s="49">
        <v>46.875</v>
      </c>
      <c r="X45" t="str">
        <f t="shared" si="0"/>
        <v>Ti84</v>
      </c>
      <c r="Y45">
        <f>IFERROR(VLOOKUP('Season 1 - Player Stats'!G45,'Season 1 - League Table'!$T$2:$W$177,4,FALSE),0)</f>
        <v>19</v>
      </c>
      <c r="Z45">
        <f>38</f>
        <v>38</v>
      </c>
      <c r="AA45">
        <f t="shared" si="1"/>
        <v>19</v>
      </c>
      <c r="AB45">
        <f t="shared" si="2"/>
        <v>0</v>
      </c>
      <c r="AC45">
        <f t="shared" si="3"/>
        <v>0</v>
      </c>
    </row>
    <row r="46" spans="1:29" x14ac:dyDescent="0.25">
      <c r="A46" s="8">
        <v>51</v>
      </c>
      <c r="B46" s="7" t="s">
        <v>28</v>
      </c>
      <c r="C46" s="8" t="s">
        <v>57</v>
      </c>
      <c r="D46" s="7" t="s">
        <v>1190</v>
      </c>
      <c r="E46" s="7" t="s">
        <v>1191</v>
      </c>
      <c r="F46" s="7" t="s">
        <v>1192</v>
      </c>
      <c r="G46" s="7" t="s">
        <v>1193</v>
      </c>
      <c r="H46">
        <v>64</v>
      </c>
      <c r="I46">
        <v>67</v>
      </c>
      <c r="J46">
        <v>78</v>
      </c>
      <c r="K46">
        <v>94</v>
      </c>
      <c r="L46" s="5">
        <v>75.75</v>
      </c>
      <c r="M46">
        <v>55</v>
      </c>
      <c r="N46">
        <v>6</v>
      </c>
      <c r="O46" s="5">
        <v>53.962500000000006</v>
      </c>
      <c r="P46" s="5">
        <v>53.962500000000006</v>
      </c>
      <c r="Q46" s="11">
        <v>71.95</v>
      </c>
      <c r="R46" s="10">
        <v>0.11797273810434725</v>
      </c>
      <c r="S46" s="10">
        <v>9.713250000000001E-2</v>
      </c>
      <c r="T46" t="s">
        <v>157</v>
      </c>
      <c r="U46">
        <v>18</v>
      </c>
      <c r="V46">
        <v>101</v>
      </c>
      <c r="W46" s="49">
        <v>46.474999999999994</v>
      </c>
      <c r="X46" t="str">
        <f t="shared" si="0"/>
        <v>Sh83</v>
      </c>
      <c r="Y46">
        <f>IFERROR(VLOOKUP('Season 1 - Player Stats'!G46,'Season 1 - League Table'!$T$2:$W$177,4,FALSE),0)</f>
        <v>11</v>
      </c>
      <c r="Z46">
        <f>38</f>
        <v>38</v>
      </c>
      <c r="AA46">
        <f t="shared" si="1"/>
        <v>11</v>
      </c>
      <c r="AB46">
        <f t="shared" si="2"/>
        <v>0</v>
      </c>
      <c r="AC46">
        <f t="shared" si="3"/>
        <v>0</v>
      </c>
    </row>
    <row r="47" spans="1:29" x14ac:dyDescent="0.25">
      <c r="A47" s="8">
        <v>213</v>
      </c>
      <c r="B47" s="7" t="s">
        <v>42</v>
      </c>
      <c r="C47" s="8" t="s">
        <v>56</v>
      </c>
      <c r="D47" s="7" t="s">
        <v>634</v>
      </c>
      <c r="E47" s="7" t="s">
        <v>635</v>
      </c>
      <c r="F47" s="7" t="s">
        <v>636</v>
      </c>
      <c r="G47" s="7" t="s">
        <v>637</v>
      </c>
      <c r="H47">
        <v>61</v>
      </c>
      <c r="I47">
        <v>100</v>
      </c>
      <c r="J47">
        <v>96</v>
      </c>
      <c r="K47">
        <v>33</v>
      </c>
      <c r="L47" s="5">
        <v>72.5</v>
      </c>
      <c r="M47">
        <v>11</v>
      </c>
      <c r="N47">
        <v>71</v>
      </c>
      <c r="O47" s="5">
        <v>24.832499999999996</v>
      </c>
      <c r="P47" s="5">
        <v>82.774999999999991</v>
      </c>
      <c r="Q47" s="11">
        <v>82.774999999999991</v>
      </c>
      <c r="R47" s="10">
        <v>3.6500156309130088E-2</v>
      </c>
      <c r="S47" s="10">
        <v>0.52893224999999988</v>
      </c>
      <c r="T47" t="s">
        <v>155</v>
      </c>
      <c r="U47">
        <v>19</v>
      </c>
      <c r="V47">
        <v>89</v>
      </c>
      <c r="W47" s="49">
        <v>45.787499999999994</v>
      </c>
      <c r="X47" t="str">
        <f t="shared" si="0"/>
        <v>Go71</v>
      </c>
      <c r="Y47">
        <f>IFERROR(VLOOKUP('Season 1 - Player Stats'!G47,'Season 1 - League Table'!$T$2:$W$177,4,FALSE),0)</f>
        <v>1</v>
      </c>
      <c r="Z47">
        <f>38</f>
        <v>38</v>
      </c>
      <c r="AA47">
        <f t="shared" si="1"/>
        <v>1</v>
      </c>
      <c r="AB47">
        <f t="shared" si="2"/>
        <v>0</v>
      </c>
      <c r="AC47">
        <f t="shared" si="3"/>
        <v>0</v>
      </c>
    </row>
    <row r="48" spans="1:29" x14ac:dyDescent="0.25">
      <c r="A48" s="8">
        <v>15</v>
      </c>
      <c r="B48" s="7" t="s">
        <v>23</v>
      </c>
      <c r="C48" s="8" t="s">
        <v>56</v>
      </c>
      <c r="D48" s="7" t="s">
        <v>1288</v>
      </c>
      <c r="E48" s="7" t="s">
        <v>1289</v>
      </c>
      <c r="F48" s="7" t="s">
        <v>1290</v>
      </c>
      <c r="G48" s="7" t="s">
        <v>1291</v>
      </c>
      <c r="H48">
        <v>58</v>
      </c>
      <c r="I48">
        <v>75</v>
      </c>
      <c r="J48">
        <v>98</v>
      </c>
      <c r="K48">
        <v>77</v>
      </c>
      <c r="L48" s="5">
        <v>77</v>
      </c>
      <c r="M48">
        <v>50</v>
      </c>
      <c r="N48">
        <v>75</v>
      </c>
      <c r="O48" s="5">
        <v>25.919999999999998</v>
      </c>
      <c r="P48" s="5">
        <v>86.399999999999991</v>
      </c>
      <c r="Q48" s="11">
        <v>86.399999999999991</v>
      </c>
      <c r="R48" s="10">
        <v>3.1127601226004196E-2</v>
      </c>
      <c r="S48" s="10">
        <v>0.58319999999999994</v>
      </c>
      <c r="T48" t="s">
        <v>144</v>
      </c>
      <c r="U48">
        <v>34</v>
      </c>
      <c r="V48">
        <v>88</v>
      </c>
      <c r="W48" s="49">
        <v>45.599999999999994</v>
      </c>
      <c r="X48" t="str">
        <f t="shared" si="0"/>
        <v>Li76</v>
      </c>
      <c r="Y48">
        <f>IFERROR(VLOOKUP('Season 1 - Player Stats'!G48,'Season 1 - League Table'!$T$2:$W$177,4,FALSE),0)</f>
        <v>0</v>
      </c>
      <c r="Z48">
        <f>38</f>
        <v>38</v>
      </c>
      <c r="AA48">
        <f t="shared" si="1"/>
        <v>0</v>
      </c>
      <c r="AB48">
        <f t="shared" si="2"/>
        <v>0</v>
      </c>
      <c r="AC48">
        <f t="shared" si="3"/>
        <v>0</v>
      </c>
    </row>
    <row r="49" spans="1:29" x14ac:dyDescent="0.25">
      <c r="A49" s="8">
        <v>98</v>
      </c>
      <c r="B49" s="7" t="s">
        <v>31</v>
      </c>
      <c r="C49" s="8" t="s">
        <v>59</v>
      </c>
      <c r="D49" s="7" t="s">
        <v>678</v>
      </c>
      <c r="E49" s="7" t="s">
        <v>679</v>
      </c>
      <c r="F49" s="7" t="s">
        <v>680</v>
      </c>
      <c r="G49" s="7" t="s">
        <v>1043</v>
      </c>
      <c r="H49">
        <v>90</v>
      </c>
      <c r="I49">
        <v>88</v>
      </c>
      <c r="J49">
        <v>74</v>
      </c>
      <c r="K49">
        <v>72</v>
      </c>
      <c r="L49" s="5">
        <v>81</v>
      </c>
      <c r="M49">
        <v>49</v>
      </c>
      <c r="N49">
        <v>71</v>
      </c>
      <c r="O49" s="5">
        <v>82.5</v>
      </c>
      <c r="P49" s="5">
        <v>24.75</v>
      </c>
      <c r="Q49" s="11">
        <v>82.5</v>
      </c>
      <c r="R49" s="10">
        <v>0.20318221588515509</v>
      </c>
      <c r="S49" s="10">
        <v>1.75725</v>
      </c>
      <c r="T49" t="s">
        <v>140</v>
      </c>
      <c r="U49">
        <v>30</v>
      </c>
      <c r="V49">
        <v>91</v>
      </c>
      <c r="W49" s="49">
        <v>45.55</v>
      </c>
      <c r="X49" t="str">
        <f t="shared" si="0"/>
        <v>Ti84</v>
      </c>
      <c r="Y49">
        <f>IFERROR(VLOOKUP('Season 1 - Player Stats'!G49,'Season 1 - League Table'!$T$2:$W$177,4,FALSE),0)</f>
        <v>14</v>
      </c>
      <c r="Z49">
        <f>38</f>
        <v>38</v>
      </c>
      <c r="AA49">
        <f t="shared" si="1"/>
        <v>14</v>
      </c>
      <c r="AB49">
        <f t="shared" si="2"/>
        <v>0</v>
      </c>
      <c r="AC49">
        <f t="shared" si="3"/>
        <v>0</v>
      </c>
    </row>
    <row r="50" spans="1:29" x14ac:dyDescent="0.25">
      <c r="A50" s="8">
        <v>9</v>
      </c>
      <c r="B50" s="7" t="s">
        <v>21</v>
      </c>
      <c r="C50" s="8" t="s">
        <v>52</v>
      </c>
      <c r="D50" s="7" t="s">
        <v>1342</v>
      </c>
      <c r="E50" s="7" t="s">
        <v>1343</v>
      </c>
      <c r="F50" s="7" t="s">
        <v>1344</v>
      </c>
      <c r="G50" s="7" t="s">
        <v>1345</v>
      </c>
      <c r="H50">
        <v>95</v>
      </c>
      <c r="I50">
        <v>72</v>
      </c>
      <c r="J50">
        <v>15</v>
      </c>
      <c r="K50">
        <v>92</v>
      </c>
      <c r="L50" s="5">
        <v>68.5</v>
      </c>
      <c r="M50">
        <v>89</v>
      </c>
      <c r="N50">
        <v>12</v>
      </c>
      <c r="O50" s="5">
        <v>86.199999999999989</v>
      </c>
      <c r="P50" s="5">
        <v>25.859999999999996</v>
      </c>
      <c r="Q50" s="11">
        <v>86.199999999999989</v>
      </c>
      <c r="R50" s="10">
        <v>0.23366385064557876</v>
      </c>
      <c r="S50" s="10">
        <v>0.31031999999999993</v>
      </c>
      <c r="T50" t="s">
        <v>143</v>
      </c>
      <c r="U50">
        <v>32</v>
      </c>
      <c r="V50">
        <v>87</v>
      </c>
      <c r="W50" s="49">
        <v>45.199999999999989</v>
      </c>
      <c r="X50" t="str">
        <f t="shared" si="0"/>
        <v>Ea69</v>
      </c>
      <c r="Y50">
        <f>IFERROR(VLOOKUP('Season 1 - Player Stats'!G50,'Season 1 - League Table'!$T$2:$W$177,4,FALSE),0)</f>
        <v>11</v>
      </c>
      <c r="Z50">
        <f>38</f>
        <v>38</v>
      </c>
      <c r="AA50">
        <f t="shared" si="1"/>
        <v>11</v>
      </c>
      <c r="AB50">
        <f t="shared" si="2"/>
        <v>0</v>
      </c>
      <c r="AC50">
        <f t="shared" si="3"/>
        <v>0</v>
      </c>
    </row>
    <row r="51" spans="1:29" x14ac:dyDescent="0.25">
      <c r="A51" s="8">
        <v>153</v>
      </c>
      <c r="B51" s="7" t="s">
        <v>36</v>
      </c>
      <c r="C51" s="8" t="s">
        <v>59</v>
      </c>
      <c r="D51" s="7" t="s">
        <v>1372</v>
      </c>
      <c r="E51" s="7" t="s">
        <v>1229</v>
      </c>
      <c r="F51" s="7" t="s">
        <v>1230</v>
      </c>
      <c r="G51" s="7" t="s">
        <v>1373</v>
      </c>
      <c r="H51">
        <v>53</v>
      </c>
      <c r="I51">
        <v>90</v>
      </c>
      <c r="J51">
        <v>97</v>
      </c>
      <c r="K51">
        <v>98</v>
      </c>
      <c r="L51" s="5">
        <v>84.5</v>
      </c>
      <c r="M51">
        <v>52</v>
      </c>
      <c r="N51">
        <v>63</v>
      </c>
      <c r="O51" s="5">
        <v>80.150000000000006</v>
      </c>
      <c r="P51" s="5">
        <v>24.045000000000002</v>
      </c>
      <c r="Q51" s="11">
        <v>80.150000000000006</v>
      </c>
      <c r="R51" s="10">
        <v>0.21941502773575394</v>
      </c>
      <c r="S51" s="10">
        <v>1.5148350000000002</v>
      </c>
      <c r="T51" t="s">
        <v>150</v>
      </c>
      <c r="U51">
        <v>27</v>
      </c>
      <c r="V51">
        <v>92</v>
      </c>
      <c r="W51" s="49">
        <v>45.175000000000011</v>
      </c>
      <c r="X51" t="str">
        <f t="shared" si="0"/>
        <v>Ja74</v>
      </c>
      <c r="Y51">
        <f>IFERROR(VLOOKUP('Season 1 - Player Stats'!G51,'Season 1 - League Table'!$T$2:$W$177,4,FALSE),0)</f>
        <v>10</v>
      </c>
      <c r="Z51">
        <f>38</f>
        <v>38</v>
      </c>
      <c r="AA51">
        <f t="shared" si="1"/>
        <v>10</v>
      </c>
      <c r="AB51">
        <f t="shared" si="2"/>
        <v>0</v>
      </c>
      <c r="AC51">
        <f t="shared" si="3"/>
        <v>0</v>
      </c>
    </row>
    <row r="52" spans="1:29" x14ac:dyDescent="0.25">
      <c r="A52" s="8">
        <v>14</v>
      </c>
      <c r="B52" s="7" t="s">
        <v>23</v>
      </c>
      <c r="C52" s="8" t="s">
        <v>56</v>
      </c>
      <c r="D52" s="7" t="s">
        <v>776</v>
      </c>
      <c r="E52" s="7" t="s">
        <v>1286</v>
      </c>
      <c r="F52" s="7" t="s">
        <v>1287</v>
      </c>
      <c r="G52" s="7" t="s">
        <v>1286</v>
      </c>
      <c r="H52">
        <v>67</v>
      </c>
      <c r="I52">
        <v>88</v>
      </c>
      <c r="J52">
        <v>91</v>
      </c>
      <c r="K52">
        <v>84</v>
      </c>
      <c r="L52" s="5">
        <v>82.5</v>
      </c>
      <c r="M52">
        <v>59</v>
      </c>
      <c r="N52">
        <v>72</v>
      </c>
      <c r="O52" s="5">
        <v>25.949999999999996</v>
      </c>
      <c r="P52" s="5">
        <v>86.499999999999986</v>
      </c>
      <c r="Q52" s="11">
        <v>86.499999999999986</v>
      </c>
      <c r="R52" s="10">
        <v>3.1163628542237996E-2</v>
      </c>
      <c r="S52" s="10">
        <v>0.56051999999999991</v>
      </c>
      <c r="T52" t="s">
        <v>144</v>
      </c>
      <c r="U52">
        <v>35</v>
      </c>
      <c r="V52">
        <v>87</v>
      </c>
      <c r="W52" s="49">
        <v>45.049999999999983</v>
      </c>
      <c r="X52" t="str">
        <f t="shared" si="0"/>
        <v>Li76</v>
      </c>
      <c r="Y52">
        <f>IFERROR(VLOOKUP('Season 1 - Player Stats'!G52,'Season 1 - League Table'!$T$2:$W$177,4,FALSE),0)</f>
        <v>1</v>
      </c>
      <c r="Z52">
        <f>38</f>
        <v>38</v>
      </c>
      <c r="AA52">
        <f t="shared" si="1"/>
        <v>1</v>
      </c>
      <c r="AB52">
        <f t="shared" si="2"/>
        <v>0</v>
      </c>
      <c r="AC52">
        <f t="shared" si="3"/>
        <v>0</v>
      </c>
    </row>
    <row r="53" spans="1:29" x14ac:dyDescent="0.25">
      <c r="A53" s="8">
        <v>42</v>
      </c>
      <c r="B53" s="7" t="s">
        <v>26</v>
      </c>
      <c r="C53" s="8" t="s">
        <v>52</v>
      </c>
      <c r="D53" s="7" t="s">
        <v>951</v>
      </c>
      <c r="E53" s="7" t="s">
        <v>1226</v>
      </c>
      <c r="F53" s="7" t="s">
        <v>1227</v>
      </c>
      <c r="G53" s="7" t="s">
        <v>1228</v>
      </c>
      <c r="H53">
        <v>93</v>
      </c>
      <c r="I53">
        <v>38</v>
      </c>
      <c r="J53">
        <v>7</v>
      </c>
      <c r="K53">
        <v>99</v>
      </c>
      <c r="L53" s="5">
        <v>59.25</v>
      </c>
      <c r="M53">
        <v>86</v>
      </c>
      <c r="N53">
        <v>36</v>
      </c>
      <c r="O53" s="5">
        <v>83.15</v>
      </c>
      <c r="P53" s="5">
        <v>24.945</v>
      </c>
      <c r="Q53" s="11">
        <v>83.15</v>
      </c>
      <c r="R53" s="10">
        <v>0.25204435125464364</v>
      </c>
      <c r="S53" s="10">
        <v>0.89802000000000004</v>
      </c>
      <c r="T53" t="s">
        <v>145</v>
      </c>
      <c r="U53">
        <v>29</v>
      </c>
      <c r="V53">
        <v>89</v>
      </c>
      <c r="W53" s="49">
        <v>44.974999999999994</v>
      </c>
      <c r="X53" t="str">
        <f t="shared" si="0"/>
        <v>Fa70</v>
      </c>
      <c r="Y53">
        <f>IFERROR(VLOOKUP('Season 1 - Player Stats'!G53,'Season 1 - League Table'!$T$2:$W$177,4,FALSE),0)</f>
        <v>14</v>
      </c>
      <c r="Z53">
        <f>38</f>
        <v>38</v>
      </c>
      <c r="AA53">
        <f t="shared" si="1"/>
        <v>14</v>
      </c>
      <c r="AB53">
        <f t="shared" si="2"/>
        <v>0</v>
      </c>
      <c r="AC53">
        <f t="shared" si="3"/>
        <v>0</v>
      </c>
    </row>
    <row r="54" spans="1:29" x14ac:dyDescent="0.25">
      <c r="A54" s="8">
        <v>148</v>
      </c>
      <c r="B54" s="7" t="s">
        <v>36</v>
      </c>
      <c r="C54" s="8" t="s">
        <v>55</v>
      </c>
      <c r="D54" s="7" t="s">
        <v>955</v>
      </c>
      <c r="E54" s="7" t="s">
        <v>1374</v>
      </c>
      <c r="F54" s="7" t="s">
        <v>1375</v>
      </c>
      <c r="G54" s="7" t="s">
        <v>629</v>
      </c>
      <c r="H54">
        <v>51</v>
      </c>
      <c r="I54">
        <v>66</v>
      </c>
      <c r="J54">
        <v>78</v>
      </c>
      <c r="K54">
        <v>86</v>
      </c>
      <c r="L54" s="5">
        <v>70.25</v>
      </c>
      <c r="M54">
        <v>46</v>
      </c>
      <c r="N54">
        <v>60</v>
      </c>
      <c r="O54" s="5">
        <v>29.580000000000002</v>
      </c>
      <c r="P54" s="5">
        <v>66.555000000000007</v>
      </c>
      <c r="Q54" s="11">
        <v>73.95</v>
      </c>
      <c r="R54" s="10">
        <v>4.0792861774059101E-2</v>
      </c>
      <c r="S54" s="10">
        <v>0.53244000000000002</v>
      </c>
      <c r="T54" t="s">
        <v>150</v>
      </c>
      <c r="U54">
        <v>18</v>
      </c>
      <c r="V54">
        <v>96</v>
      </c>
      <c r="W54" s="49">
        <v>44.974999999999994</v>
      </c>
      <c r="X54" t="str">
        <f t="shared" si="0"/>
        <v>Ja74</v>
      </c>
      <c r="Y54">
        <f>IFERROR(VLOOKUP('Season 1 - Player Stats'!G54,'Season 1 - League Table'!$T$2:$W$177,4,FALSE),0)</f>
        <v>2</v>
      </c>
      <c r="Z54">
        <f>38</f>
        <v>38</v>
      </c>
      <c r="AA54">
        <f t="shared" si="1"/>
        <v>2</v>
      </c>
      <c r="AB54">
        <f t="shared" si="2"/>
        <v>0</v>
      </c>
      <c r="AC54">
        <f t="shared" si="3"/>
        <v>0</v>
      </c>
    </row>
    <row r="55" spans="1:29" x14ac:dyDescent="0.25">
      <c r="A55" s="8">
        <v>31</v>
      </c>
      <c r="B55" s="7" t="s">
        <v>25</v>
      </c>
      <c r="C55" s="8" t="s">
        <v>52</v>
      </c>
      <c r="D55" s="7" t="s">
        <v>1268</v>
      </c>
      <c r="E55" s="7" t="s">
        <v>1269</v>
      </c>
      <c r="F55" s="7" t="s">
        <v>1270</v>
      </c>
      <c r="G55" s="7" t="s">
        <v>1271</v>
      </c>
      <c r="H55">
        <v>91</v>
      </c>
      <c r="I55">
        <v>19</v>
      </c>
      <c r="J55">
        <v>25</v>
      </c>
      <c r="K55">
        <v>95</v>
      </c>
      <c r="L55" s="5">
        <v>57.5</v>
      </c>
      <c r="M55">
        <v>84</v>
      </c>
      <c r="N55">
        <v>26</v>
      </c>
      <c r="O55" s="5">
        <v>78.699999999999989</v>
      </c>
      <c r="P55" s="5">
        <v>23.609999999999996</v>
      </c>
      <c r="Q55" s="11">
        <v>78.699999999999989</v>
      </c>
      <c r="R55" s="10">
        <v>0.24337989525021941</v>
      </c>
      <c r="S55" s="10">
        <v>0.61385999999999996</v>
      </c>
      <c r="T55" t="s">
        <v>142</v>
      </c>
      <c r="U55">
        <v>27</v>
      </c>
      <c r="V55">
        <v>93</v>
      </c>
      <c r="W55" s="49">
        <v>44.949999999999989</v>
      </c>
      <c r="X55" t="str">
        <f t="shared" si="0"/>
        <v>Co67</v>
      </c>
      <c r="Y55">
        <f>IFERROR(VLOOKUP('Season 1 - Player Stats'!G55,'Season 1 - League Table'!$T$2:$W$177,4,FALSE),0)</f>
        <v>11</v>
      </c>
      <c r="Z55">
        <f>38</f>
        <v>38</v>
      </c>
      <c r="AA55">
        <f t="shared" si="1"/>
        <v>11</v>
      </c>
      <c r="AB55">
        <f t="shared" si="2"/>
        <v>0</v>
      </c>
      <c r="AC55">
        <f t="shared" si="3"/>
        <v>0</v>
      </c>
    </row>
    <row r="56" spans="1:29" x14ac:dyDescent="0.25">
      <c r="A56" s="8">
        <v>58</v>
      </c>
      <c r="B56" s="7" t="s">
        <v>27</v>
      </c>
      <c r="C56" s="8" t="s">
        <v>56</v>
      </c>
      <c r="D56" s="7" t="s">
        <v>1015</v>
      </c>
      <c r="E56" s="7" t="s">
        <v>1138</v>
      </c>
      <c r="F56" s="7" t="s">
        <v>1139</v>
      </c>
      <c r="G56" s="7" t="s">
        <v>1140</v>
      </c>
      <c r="H56">
        <v>81</v>
      </c>
      <c r="I56">
        <v>74</v>
      </c>
      <c r="J56">
        <v>75</v>
      </c>
      <c r="K56">
        <v>76</v>
      </c>
      <c r="L56" s="5">
        <v>76.5</v>
      </c>
      <c r="M56">
        <v>84</v>
      </c>
      <c r="N56">
        <v>36</v>
      </c>
      <c r="O56" s="5">
        <v>22.724999999999998</v>
      </c>
      <c r="P56" s="5">
        <v>75.75</v>
      </c>
      <c r="Q56" s="11">
        <v>75.75</v>
      </c>
      <c r="R56" s="10">
        <v>2.7383703677059071E-2</v>
      </c>
      <c r="S56" s="10">
        <v>0.24542999999999998</v>
      </c>
      <c r="T56" t="s">
        <v>149</v>
      </c>
      <c r="U56">
        <v>25</v>
      </c>
      <c r="V56">
        <v>95</v>
      </c>
      <c r="W56" s="49">
        <v>44.674999999999997</v>
      </c>
      <c r="X56" t="str">
        <f t="shared" si="0"/>
        <v>Pa80</v>
      </c>
      <c r="Y56">
        <f>IFERROR(VLOOKUP('Season 1 - Player Stats'!G56,'Season 1 - League Table'!$T$2:$W$177,4,FALSE),0)</f>
        <v>3</v>
      </c>
      <c r="Z56">
        <f>38</f>
        <v>38</v>
      </c>
      <c r="AA56">
        <f t="shared" si="1"/>
        <v>3</v>
      </c>
      <c r="AB56">
        <f t="shared" si="2"/>
        <v>0</v>
      </c>
      <c r="AC56">
        <f t="shared" si="3"/>
        <v>0</v>
      </c>
    </row>
    <row r="57" spans="1:29" x14ac:dyDescent="0.25">
      <c r="A57" s="8">
        <v>44</v>
      </c>
      <c r="B57" s="7" t="s">
        <v>26</v>
      </c>
      <c r="C57" s="8" t="s">
        <v>53</v>
      </c>
      <c r="D57" s="7" t="s">
        <v>1232</v>
      </c>
      <c r="E57" s="7" t="s">
        <v>1233</v>
      </c>
      <c r="F57" s="7" t="s">
        <v>1234</v>
      </c>
      <c r="G57" s="7" t="s">
        <v>1235</v>
      </c>
      <c r="H57">
        <v>92</v>
      </c>
      <c r="I57">
        <v>39</v>
      </c>
      <c r="J57">
        <v>4</v>
      </c>
      <c r="K57">
        <v>99</v>
      </c>
      <c r="L57" s="5">
        <v>58.5</v>
      </c>
      <c r="M57">
        <v>84</v>
      </c>
      <c r="N57">
        <v>19</v>
      </c>
      <c r="O57" s="5">
        <v>82.800000000000011</v>
      </c>
      <c r="P57" s="5">
        <v>24.840000000000003</v>
      </c>
      <c r="Q57" s="11">
        <v>82.800000000000011</v>
      </c>
      <c r="R57" s="10">
        <v>0.25098343095471431</v>
      </c>
      <c r="S57" s="10">
        <v>0.47196000000000005</v>
      </c>
      <c r="T57" t="s">
        <v>145</v>
      </c>
      <c r="U57">
        <v>31</v>
      </c>
      <c r="V57">
        <v>89</v>
      </c>
      <c r="W57" s="49">
        <v>44.600000000000009</v>
      </c>
      <c r="X57" t="str">
        <f t="shared" si="0"/>
        <v>Fa70</v>
      </c>
      <c r="Y57">
        <f>IFERROR(VLOOKUP('Season 1 - Player Stats'!G57,'Season 1 - League Table'!$T$2:$W$177,4,FALSE),0)</f>
        <v>0</v>
      </c>
      <c r="Z57">
        <f>38</f>
        <v>38</v>
      </c>
      <c r="AA57">
        <f t="shared" si="1"/>
        <v>0</v>
      </c>
      <c r="AB57">
        <f t="shared" si="2"/>
        <v>0</v>
      </c>
      <c r="AC57">
        <f t="shared" si="3"/>
        <v>0</v>
      </c>
    </row>
    <row r="58" spans="1:29" x14ac:dyDescent="0.25">
      <c r="A58" s="8">
        <v>56</v>
      </c>
      <c r="B58" s="7" t="s">
        <v>27</v>
      </c>
      <c r="C58" s="8" t="s">
        <v>11</v>
      </c>
      <c r="D58" s="7" t="s">
        <v>1131</v>
      </c>
      <c r="E58" s="7" t="s">
        <v>1132</v>
      </c>
      <c r="F58" s="7" t="s">
        <v>1133</v>
      </c>
      <c r="G58" s="7" t="s">
        <v>1134</v>
      </c>
      <c r="H58">
        <v>95</v>
      </c>
      <c r="I58">
        <v>82</v>
      </c>
      <c r="J58">
        <v>64</v>
      </c>
      <c r="K58">
        <v>82</v>
      </c>
      <c r="L58" s="5">
        <v>80.75</v>
      </c>
      <c r="M58">
        <v>81</v>
      </c>
      <c r="N58">
        <v>37</v>
      </c>
      <c r="O58" s="5">
        <v>0</v>
      </c>
      <c r="P58" s="5">
        <v>85.4</v>
      </c>
      <c r="Q58" s="11">
        <v>85.4</v>
      </c>
      <c r="R58" s="10">
        <v>0</v>
      </c>
      <c r="S58" s="10">
        <v>0</v>
      </c>
      <c r="T58" t="s">
        <v>149</v>
      </c>
      <c r="U58">
        <v>34</v>
      </c>
      <c r="V58">
        <v>87</v>
      </c>
      <c r="W58" s="49">
        <v>44.599999999999994</v>
      </c>
      <c r="X58" t="str">
        <f t="shared" si="0"/>
        <v>Pa80</v>
      </c>
      <c r="Y58">
        <f>IFERROR(VLOOKUP('Season 1 - Player Stats'!G58,'Season 1 - League Table'!$T$2:$W$177,4,FALSE),0)</f>
        <v>0</v>
      </c>
      <c r="Z58">
        <f>38</f>
        <v>38</v>
      </c>
      <c r="AA58">
        <f t="shared" si="1"/>
        <v>0</v>
      </c>
      <c r="AB58">
        <f t="shared" si="2"/>
        <v>0</v>
      </c>
      <c r="AC58">
        <f t="shared" si="3"/>
        <v>0</v>
      </c>
    </row>
    <row r="59" spans="1:29" x14ac:dyDescent="0.25">
      <c r="A59" s="8">
        <v>55</v>
      </c>
      <c r="B59" s="7" t="s">
        <v>28</v>
      </c>
      <c r="C59" s="8" t="s">
        <v>53</v>
      </c>
      <c r="D59" s="7" t="s">
        <v>1206</v>
      </c>
      <c r="E59" s="7" t="s">
        <v>1207</v>
      </c>
      <c r="F59" s="7" t="s">
        <v>1208</v>
      </c>
      <c r="G59" s="7" t="s">
        <v>1209</v>
      </c>
      <c r="H59">
        <v>56</v>
      </c>
      <c r="I59">
        <v>58</v>
      </c>
      <c r="J59">
        <v>80</v>
      </c>
      <c r="K59">
        <v>88</v>
      </c>
      <c r="L59" s="5">
        <v>70.5</v>
      </c>
      <c r="M59">
        <v>58</v>
      </c>
      <c r="N59">
        <v>7</v>
      </c>
      <c r="O59" s="5">
        <v>71.900000000000006</v>
      </c>
      <c r="P59" s="5">
        <v>21.57</v>
      </c>
      <c r="Q59" s="11">
        <v>71.900000000000006</v>
      </c>
      <c r="R59" s="10">
        <v>0.2090596067028847</v>
      </c>
      <c r="S59" s="10">
        <v>0.15099000000000004</v>
      </c>
      <c r="T59" t="s">
        <v>157</v>
      </c>
      <c r="U59">
        <v>19</v>
      </c>
      <c r="V59">
        <v>97</v>
      </c>
      <c r="W59" s="49">
        <v>44.349999999999994</v>
      </c>
      <c r="X59" t="str">
        <f t="shared" si="0"/>
        <v>Sh83</v>
      </c>
      <c r="Y59">
        <f>IFERROR(VLOOKUP('Season 1 - Player Stats'!G59,'Season 1 - League Table'!$T$2:$W$177,4,FALSE),0)</f>
        <v>10</v>
      </c>
      <c r="Z59">
        <f>38</f>
        <v>38</v>
      </c>
      <c r="AA59">
        <f t="shared" si="1"/>
        <v>10</v>
      </c>
      <c r="AB59">
        <f t="shared" si="2"/>
        <v>0</v>
      </c>
      <c r="AC59">
        <f t="shared" si="3"/>
        <v>0</v>
      </c>
    </row>
    <row r="60" spans="1:29" x14ac:dyDescent="0.25">
      <c r="A60" s="8">
        <v>158</v>
      </c>
      <c r="B60" s="7" t="s">
        <v>37</v>
      </c>
      <c r="C60" s="8" t="s">
        <v>56</v>
      </c>
      <c r="D60" s="7" t="s">
        <v>807</v>
      </c>
      <c r="E60" s="7" t="s">
        <v>808</v>
      </c>
      <c r="F60" s="7" t="s">
        <v>809</v>
      </c>
      <c r="G60" s="7" t="s">
        <v>810</v>
      </c>
      <c r="H60">
        <v>22</v>
      </c>
      <c r="I60">
        <v>100</v>
      </c>
      <c r="J60">
        <v>100</v>
      </c>
      <c r="K60">
        <v>9</v>
      </c>
      <c r="L60" s="5">
        <v>57.75</v>
      </c>
      <c r="M60">
        <v>71</v>
      </c>
      <c r="N60">
        <v>95</v>
      </c>
      <c r="O60" s="5">
        <v>22.979999999999997</v>
      </c>
      <c r="P60" s="5">
        <v>76.599999999999994</v>
      </c>
      <c r="Q60" s="11">
        <v>76.599999999999994</v>
      </c>
      <c r="R60" s="10">
        <v>4.5741532976827093E-2</v>
      </c>
      <c r="S60" s="10">
        <v>0.6549299999999999</v>
      </c>
      <c r="T60" t="s">
        <v>151</v>
      </c>
      <c r="U60">
        <v>24</v>
      </c>
      <c r="V60">
        <v>93</v>
      </c>
      <c r="W60" s="49">
        <v>44.199999999999989</v>
      </c>
      <c r="X60" t="str">
        <f t="shared" si="0"/>
        <v>El69</v>
      </c>
      <c r="Y60">
        <f>IFERROR(VLOOKUP('Season 1 - Player Stats'!G60,'Season 1 - League Table'!$T$2:$W$177,4,FALSE),0)</f>
        <v>0</v>
      </c>
      <c r="Z60">
        <f>38</f>
        <v>38</v>
      </c>
      <c r="AA60">
        <f t="shared" si="1"/>
        <v>0</v>
      </c>
      <c r="AB60">
        <f t="shared" si="2"/>
        <v>0</v>
      </c>
      <c r="AC60">
        <f t="shared" si="3"/>
        <v>0</v>
      </c>
    </row>
    <row r="61" spans="1:29" x14ac:dyDescent="0.25">
      <c r="A61" s="8">
        <v>57</v>
      </c>
      <c r="B61" s="7" t="s">
        <v>27</v>
      </c>
      <c r="C61" s="8" t="s">
        <v>54</v>
      </c>
      <c r="D61" s="7" t="s">
        <v>1135</v>
      </c>
      <c r="E61" s="7" t="s">
        <v>695</v>
      </c>
      <c r="F61" s="7" t="s">
        <v>1136</v>
      </c>
      <c r="G61" s="7" t="s">
        <v>1137</v>
      </c>
      <c r="H61">
        <v>92</v>
      </c>
      <c r="I61">
        <v>75</v>
      </c>
      <c r="J61">
        <v>72</v>
      </c>
      <c r="K61">
        <v>88</v>
      </c>
      <c r="L61" s="5">
        <v>81.75</v>
      </c>
      <c r="M61">
        <v>78</v>
      </c>
      <c r="N61">
        <v>45</v>
      </c>
      <c r="O61" s="5">
        <v>32.160000000000004</v>
      </c>
      <c r="P61" s="5">
        <v>72.360000000000014</v>
      </c>
      <c r="Q61" s="11">
        <v>80.400000000000006</v>
      </c>
      <c r="R61" s="10">
        <v>3.875291134231991E-2</v>
      </c>
      <c r="S61" s="10">
        <v>0.43416000000000005</v>
      </c>
      <c r="T61" t="s">
        <v>149</v>
      </c>
      <c r="U61">
        <v>25</v>
      </c>
      <c r="V61">
        <v>89</v>
      </c>
      <c r="W61" s="49">
        <v>44</v>
      </c>
      <c r="X61" t="str">
        <f t="shared" si="0"/>
        <v>Pa80</v>
      </c>
      <c r="Y61">
        <f>IFERROR(VLOOKUP('Season 1 - Player Stats'!G61,'Season 1 - League Table'!$T$2:$W$177,4,FALSE),0)</f>
        <v>2</v>
      </c>
      <c r="Z61">
        <f>38</f>
        <v>38</v>
      </c>
      <c r="AA61">
        <f t="shared" si="1"/>
        <v>2</v>
      </c>
      <c r="AB61">
        <f t="shared" si="2"/>
        <v>0</v>
      </c>
      <c r="AC61">
        <f t="shared" si="3"/>
        <v>0</v>
      </c>
    </row>
    <row r="62" spans="1:29" x14ac:dyDescent="0.25">
      <c r="A62" s="8">
        <v>76</v>
      </c>
      <c r="B62" s="7" t="s">
        <v>29</v>
      </c>
      <c r="C62" s="8" t="s">
        <v>59</v>
      </c>
      <c r="D62" s="7" t="s">
        <v>1123</v>
      </c>
      <c r="E62" s="7" t="s">
        <v>1124</v>
      </c>
      <c r="F62" s="7" t="s">
        <v>1125</v>
      </c>
      <c r="G62" s="7" t="s">
        <v>1126</v>
      </c>
      <c r="H62">
        <v>85</v>
      </c>
      <c r="I62">
        <v>90</v>
      </c>
      <c r="J62">
        <v>50</v>
      </c>
      <c r="K62">
        <v>89</v>
      </c>
      <c r="L62" s="5">
        <v>78.5</v>
      </c>
      <c r="M62">
        <v>76</v>
      </c>
      <c r="N62">
        <v>98</v>
      </c>
      <c r="O62" s="5">
        <v>83.95</v>
      </c>
      <c r="P62" s="5">
        <v>25.184999999999999</v>
      </c>
      <c r="Q62" s="11">
        <v>83.95</v>
      </c>
      <c r="R62" s="10">
        <v>0.21494768454793095</v>
      </c>
      <c r="S62" s="10">
        <v>2.4681300000000004</v>
      </c>
      <c r="T62" t="s">
        <v>147</v>
      </c>
      <c r="U62">
        <v>23</v>
      </c>
      <c r="V62">
        <v>85</v>
      </c>
      <c r="W62" s="49">
        <v>43.974999999999994</v>
      </c>
      <c r="X62" t="str">
        <f t="shared" si="0"/>
        <v>Wo87</v>
      </c>
      <c r="Y62">
        <f>IFERROR(VLOOKUP('Season 1 - Player Stats'!G62,'Season 1 - League Table'!$T$2:$W$177,4,FALSE),0)</f>
        <v>18</v>
      </c>
      <c r="Z62">
        <f>38</f>
        <v>38</v>
      </c>
      <c r="AA62">
        <f t="shared" si="1"/>
        <v>18</v>
      </c>
      <c r="AB62">
        <f t="shared" si="2"/>
        <v>1</v>
      </c>
      <c r="AC62">
        <f t="shared" si="3"/>
        <v>1</v>
      </c>
    </row>
    <row r="63" spans="1:29" x14ac:dyDescent="0.25">
      <c r="A63" s="8">
        <v>176</v>
      </c>
      <c r="B63" s="7" t="s">
        <v>38</v>
      </c>
      <c r="C63" s="8" t="s">
        <v>53</v>
      </c>
      <c r="D63" s="7" t="s">
        <v>791</v>
      </c>
      <c r="E63" s="7" t="s">
        <v>792</v>
      </c>
      <c r="F63" s="7" t="s">
        <v>793</v>
      </c>
      <c r="G63" s="7" t="s">
        <v>794</v>
      </c>
      <c r="H63">
        <v>100</v>
      </c>
      <c r="I63">
        <v>46</v>
      </c>
      <c r="J63">
        <v>29</v>
      </c>
      <c r="K63">
        <v>90</v>
      </c>
      <c r="L63" s="5">
        <v>66.25</v>
      </c>
      <c r="M63">
        <v>35</v>
      </c>
      <c r="N63">
        <v>90</v>
      </c>
      <c r="O63" s="5">
        <v>83.85</v>
      </c>
      <c r="P63" s="5">
        <v>25.154999999999998</v>
      </c>
      <c r="Q63" s="11">
        <v>83.85</v>
      </c>
      <c r="R63" s="10">
        <v>0.24273401025172223</v>
      </c>
      <c r="S63" s="10">
        <v>2.2639499999999999</v>
      </c>
      <c r="T63" t="s">
        <v>152</v>
      </c>
      <c r="U63">
        <v>28</v>
      </c>
      <c r="V63">
        <v>86</v>
      </c>
      <c r="W63" s="49">
        <v>43.924999999999997</v>
      </c>
      <c r="X63" t="str">
        <f t="shared" si="0"/>
        <v>Ch67</v>
      </c>
      <c r="Y63">
        <f>IFERROR(VLOOKUP('Season 1 - Player Stats'!G63,'Season 1 - League Table'!$T$2:$W$177,4,FALSE),0)</f>
        <v>22</v>
      </c>
      <c r="Z63">
        <f>38</f>
        <v>38</v>
      </c>
      <c r="AA63">
        <f t="shared" si="1"/>
        <v>22</v>
      </c>
      <c r="AB63">
        <f t="shared" si="2"/>
        <v>0</v>
      </c>
      <c r="AC63">
        <f t="shared" si="3"/>
        <v>0</v>
      </c>
    </row>
    <row r="64" spans="1:29" x14ac:dyDescent="0.25">
      <c r="A64" s="8">
        <v>214</v>
      </c>
      <c r="B64" s="7" t="s">
        <v>42</v>
      </c>
      <c r="C64" s="8" t="s">
        <v>55</v>
      </c>
      <c r="D64" s="7" t="s">
        <v>638</v>
      </c>
      <c r="E64" s="7" t="s">
        <v>639</v>
      </c>
      <c r="F64" s="7" t="s">
        <v>640</v>
      </c>
      <c r="G64" s="7" t="s">
        <v>641</v>
      </c>
      <c r="H64">
        <v>67</v>
      </c>
      <c r="I64">
        <v>100</v>
      </c>
      <c r="J64">
        <v>100</v>
      </c>
      <c r="K64">
        <v>40</v>
      </c>
      <c r="L64" s="5">
        <v>76.75</v>
      </c>
      <c r="M64">
        <v>7</v>
      </c>
      <c r="N64">
        <v>72</v>
      </c>
      <c r="O64" s="5">
        <v>30.82</v>
      </c>
      <c r="P64" s="5">
        <v>69.344999999999999</v>
      </c>
      <c r="Q64" s="11">
        <v>77.05</v>
      </c>
      <c r="R64" s="10">
        <v>4.5300908786766923E-2</v>
      </c>
      <c r="S64" s="10">
        <v>0.66571200000000008</v>
      </c>
      <c r="T64" t="s">
        <v>155</v>
      </c>
      <c r="U64">
        <v>25</v>
      </c>
      <c r="V64">
        <v>92</v>
      </c>
      <c r="W64" s="49">
        <v>43.824999999999989</v>
      </c>
      <c r="X64" t="str">
        <f t="shared" si="0"/>
        <v>Go71</v>
      </c>
      <c r="Y64">
        <f>IFERROR(VLOOKUP('Season 1 - Player Stats'!G64,'Season 1 - League Table'!$T$2:$W$177,4,FALSE),0)</f>
        <v>7</v>
      </c>
      <c r="Z64">
        <f>38</f>
        <v>38</v>
      </c>
      <c r="AA64">
        <f t="shared" si="1"/>
        <v>7</v>
      </c>
      <c r="AB64">
        <f t="shared" si="2"/>
        <v>0</v>
      </c>
      <c r="AC64">
        <f t="shared" si="3"/>
        <v>0</v>
      </c>
    </row>
    <row r="65" spans="1:29" x14ac:dyDescent="0.25">
      <c r="A65" s="8">
        <v>50</v>
      </c>
      <c r="B65" s="7" t="s">
        <v>28</v>
      </c>
      <c r="C65" s="8" t="s">
        <v>45</v>
      </c>
      <c r="D65" s="7" t="s">
        <v>1186</v>
      </c>
      <c r="E65" s="7" t="s">
        <v>1187</v>
      </c>
      <c r="F65" s="7" t="s">
        <v>1188</v>
      </c>
      <c r="G65" s="7" t="s">
        <v>1189</v>
      </c>
      <c r="H65">
        <v>64</v>
      </c>
      <c r="I65">
        <v>63</v>
      </c>
      <c r="J65">
        <v>99</v>
      </c>
      <c r="K65">
        <v>81</v>
      </c>
      <c r="L65" s="5">
        <v>76.75</v>
      </c>
      <c r="M65">
        <v>62</v>
      </c>
      <c r="N65">
        <v>13</v>
      </c>
      <c r="O65" s="5">
        <v>48.15</v>
      </c>
      <c r="P65" s="5">
        <v>72.225000000000009</v>
      </c>
      <c r="Q65" s="11">
        <v>80.25</v>
      </c>
      <c r="R65" s="10">
        <v>0.10526545915634597</v>
      </c>
      <c r="S65" s="10">
        <v>0.18778499999999998</v>
      </c>
      <c r="T65" t="s">
        <v>157</v>
      </c>
      <c r="U65">
        <v>29</v>
      </c>
      <c r="V65">
        <v>89</v>
      </c>
      <c r="W65" s="49">
        <v>43.525000000000006</v>
      </c>
      <c r="X65" t="str">
        <f t="shared" si="0"/>
        <v>Sh83</v>
      </c>
      <c r="Y65">
        <f>IFERROR(VLOOKUP('Season 1 - Player Stats'!G65,'Season 1 - League Table'!$T$2:$W$177,4,FALSE),0)</f>
        <v>3</v>
      </c>
      <c r="Z65">
        <f>38</f>
        <v>38</v>
      </c>
      <c r="AA65">
        <f t="shared" si="1"/>
        <v>3</v>
      </c>
      <c r="AB65">
        <f t="shared" si="2"/>
        <v>0</v>
      </c>
      <c r="AC65">
        <f t="shared" si="3"/>
        <v>0</v>
      </c>
    </row>
    <row r="66" spans="1:29" x14ac:dyDescent="0.25">
      <c r="A66" s="8">
        <v>10</v>
      </c>
      <c r="B66" s="7" t="s">
        <v>21</v>
      </c>
      <c r="C66" s="8" t="s">
        <v>59</v>
      </c>
      <c r="D66" s="7" t="s">
        <v>1346</v>
      </c>
      <c r="E66" s="7" t="s">
        <v>1347</v>
      </c>
      <c r="F66" s="7" t="s">
        <v>1348</v>
      </c>
      <c r="G66" s="7" t="s">
        <v>1349</v>
      </c>
      <c r="H66">
        <v>82</v>
      </c>
      <c r="I66">
        <v>91</v>
      </c>
      <c r="J66">
        <v>24</v>
      </c>
      <c r="K66">
        <v>87</v>
      </c>
      <c r="L66" s="5">
        <v>71</v>
      </c>
      <c r="M66">
        <v>84</v>
      </c>
      <c r="N66">
        <v>15</v>
      </c>
      <c r="O66" s="5">
        <v>79.95</v>
      </c>
      <c r="P66" s="5">
        <v>23.984999999999999</v>
      </c>
      <c r="Q66" s="11">
        <v>79.95</v>
      </c>
      <c r="R66" s="10">
        <v>0.2167218661150119</v>
      </c>
      <c r="S66" s="10">
        <v>0.35977499999999996</v>
      </c>
      <c r="T66" t="s">
        <v>143</v>
      </c>
      <c r="U66">
        <v>25</v>
      </c>
      <c r="V66">
        <v>88</v>
      </c>
      <c r="W66" s="49">
        <v>43.275000000000006</v>
      </c>
      <c r="X66" t="str">
        <f t="shared" si="0"/>
        <v>Ea69</v>
      </c>
      <c r="Y66">
        <f>IFERROR(VLOOKUP('Season 1 - Player Stats'!G66,'Season 1 - League Table'!$T$2:$W$177,4,FALSE),0)</f>
        <v>6</v>
      </c>
      <c r="Z66">
        <f>38</f>
        <v>38</v>
      </c>
      <c r="AA66">
        <f t="shared" si="1"/>
        <v>6</v>
      </c>
      <c r="AB66">
        <f t="shared" si="2"/>
        <v>0</v>
      </c>
      <c r="AC66">
        <f t="shared" si="3"/>
        <v>0</v>
      </c>
    </row>
    <row r="67" spans="1:29" x14ac:dyDescent="0.25">
      <c r="A67" s="8">
        <v>75</v>
      </c>
      <c r="B67" s="7" t="s">
        <v>29</v>
      </c>
      <c r="C67" s="8" t="s">
        <v>52</v>
      </c>
      <c r="D67" s="7" t="s">
        <v>1119</v>
      </c>
      <c r="E67" s="7" t="s">
        <v>1120</v>
      </c>
      <c r="F67" s="7" t="s">
        <v>1121</v>
      </c>
      <c r="G67" s="7" t="s">
        <v>1122</v>
      </c>
      <c r="H67">
        <v>87</v>
      </c>
      <c r="I67">
        <v>66</v>
      </c>
      <c r="J67">
        <v>49</v>
      </c>
      <c r="K67">
        <v>89</v>
      </c>
      <c r="L67" s="5">
        <v>72.75</v>
      </c>
      <c r="M67">
        <v>84</v>
      </c>
      <c r="N67">
        <v>91</v>
      </c>
      <c r="O67" s="5">
        <v>82.850000000000009</v>
      </c>
      <c r="P67" s="5">
        <v>24.855</v>
      </c>
      <c r="Q67" s="11">
        <v>82.850000000000009</v>
      </c>
      <c r="R67" s="10">
        <v>0.21213121697196047</v>
      </c>
      <c r="S67" s="10">
        <v>2.2618050000000003</v>
      </c>
      <c r="T67" t="s">
        <v>147</v>
      </c>
      <c r="U67">
        <v>25</v>
      </c>
      <c r="V67">
        <v>85</v>
      </c>
      <c r="W67" s="49">
        <v>43.224999999999994</v>
      </c>
      <c r="X67" t="str">
        <f t="shared" si="0"/>
        <v>Wo87</v>
      </c>
      <c r="Y67">
        <f>IFERROR(VLOOKUP('Season 1 - Player Stats'!G67,'Season 1 - League Table'!$T$2:$W$177,4,FALSE),0)</f>
        <v>15</v>
      </c>
      <c r="Z67">
        <f>38</f>
        <v>38</v>
      </c>
      <c r="AA67">
        <f t="shared" si="1"/>
        <v>15</v>
      </c>
      <c r="AB67">
        <f t="shared" si="2"/>
        <v>1</v>
      </c>
      <c r="AC67">
        <f t="shared" si="3"/>
        <v>1</v>
      </c>
    </row>
    <row r="68" spans="1:29" x14ac:dyDescent="0.25">
      <c r="A68" s="8">
        <v>90</v>
      </c>
      <c r="B68" s="7" t="s">
        <v>31</v>
      </c>
      <c r="C68" s="8" t="s">
        <v>54</v>
      </c>
      <c r="D68" s="7" t="s">
        <v>1015</v>
      </c>
      <c r="E68" s="7" t="s">
        <v>1016</v>
      </c>
      <c r="F68" s="7" t="s">
        <v>1017</v>
      </c>
      <c r="G68" s="7" t="s">
        <v>1018</v>
      </c>
      <c r="H68">
        <v>80</v>
      </c>
      <c r="I68">
        <v>91</v>
      </c>
      <c r="J68">
        <v>77</v>
      </c>
      <c r="K68">
        <v>61</v>
      </c>
      <c r="L68" s="5">
        <v>77.25</v>
      </c>
      <c r="M68">
        <v>50</v>
      </c>
      <c r="N68">
        <v>69</v>
      </c>
      <c r="O68" s="5">
        <v>30.180000000000003</v>
      </c>
      <c r="P68" s="5">
        <v>67.905000000000001</v>
      </c>
      <c r="Q68" s="11">
        <v>75.45</v>
      </c>
      <c r="R68" s="10">
        <v>3.7443302023489333E-2</v>
      </c>
      <c r="S68" s="10">
        <v>0.62472599999999989</v>
      </c>
      <c r="T68" t="s">
        <v>140</v>
      </c>
      <c r="U68">
        <v>25</v>
      </c>
      <c r="V68">
        <v>92</v>
      </c>
      <c r="W68" s="49">
        <v>43.025000000000006</v>
      </c>
      <c r="X68" t="str">
        <f t="shared" si="0"/>
        <v>Ti84</v>
      </c>
      <c r="Y68">
        <f>IFERROR(VLOOKUP('Season 1 - Player Stats'!G68,'Season 1 - League Table'!$T$2:$W$177,4,FALSE),0)</f>
        <v>5</v>
      </c>
      <c r="Z68">
        <f>38</f>
        <v>38</v>
      </c>
      <c r="AA68">
        <f t="shared" si="1"/>
        <v>5</v>
      </c>
      <c r="AB68">
        <f t="shared" si="2"/>
        <v>0</v>
      </c>
      <c r="AC68">
        <f t="shared" si="3"/>
        <v>0</v>
      </c>
    </row>
    <row r="69" spans="1:29" x14ac:dyDescent="0.25">
      <c r="A69" s="8">
        <v>149</v>
      </c>
      <c r="B69" s="7" t="s">
        <v>36</v>
      </c>
      <c r="C69" s="8" t="s">
        <v>45</v>
      </c>
      <c r="D69" s="7" t="s">
        <v>939</v>
      </c>
      <c r="E69" s="7" t="s">
        <v>1376</v>
      </c>
      <c r="F69" s="7" t="s">
        <v>1377</v>
      </c>
      <c r="G69" s="7" t="s">
        <v>1378</v>
      </c>
      <c r="H69">
        <v>65</v>
      </c>
      <c r="I69">
        <v>69</v>
      </c>
      <c r="J69">
        <v>87</v>
      </c>
      <c r="K69">
        <v>94</v>
      </c>
      <c r="L69" s="5">
        <v>78.75</v>
      </c>
      <c r="M69">
        <v>54</v>
      </c>
      <c r="N69">
        <v>64</v>
      </c>
      <c r="O69" s="5">
        <v>47.609999999999992</v>
      </c>
      <c r="P69" s="5">
        <v>71.414999999999992</v>
      </c>
      <c r="Q69" s="11">
        <v>79.349999999999994</v>
      </c>
      <c r="R69" s="10">
        <v>9.799623328907961E-2</v>
      </c>
      <c r="S69" s="10">
        <v>0.91411199999999992</v>
      </c>
      <c r="T69" t="s">
        <v>150</v>
      </c>
      <c r="U69">
        <v>26</v>
      </c>
      <c r="V69">
        <v>88</v>
      </c>
      <c r="W69" s="49">
        <v>42.875</v>
      </c>
      <c r="X69" t="str">
        <f t="shared" ref="X69:X132" si="4">_xlfn.CONCAT(LEFT(B69,2),CODE(B69))</f>
        <v>Ja74</v>
      </c>
      <c r="Y69">
        <f>IFERROR(VLOOKUP('Season 1 - Player Stats'!G69,'Season 1 - League Table'!$T$2:$W$177,4,FALSE),0)</f>
        <v>7</v>
      </c>
      <c r="Z69">
        <f>38</f>
        <v>38</v>
      </c>
      <c r="AA69">
        <f t="shared" ref="AA69:AA132" si="5">Y69</f>
        <v>7</v>
      </c>
      <c r="AB69">
        <f t="shared" ref="AB69:AB132" si="6">IF($D$2=X69,1,0)</f>
        <v>0</v>
      </c>
      <c r="AC69">
        <f t="shared" ref="AC69:AC132" si="7">AB69</f>
        <v>0</v>
      </c>
    </row>
    <row r="70" spans="1:29" x14ac:dyDescent="0.25">
      <c r="A70" s="8">
        <v>95</v>
      </c>
      <c r="B70" s="7" t="s">
        <v>31</v>
      </c>
      <c r="C70" s="8" t="s">
        <v>57</v>
      </c>
      <c r="D70" s="7" t="s">
        <v>1033</v>
      </c>
      <c r="E70" s="7" t="s">
        <v>1034</v>
      </c>
      <c r="F70" s="7" t="s">
        <v>1035</v>
      </c>
      <c r="G70" s="7" t="s">
        <v>1036</v>
      </c>
      <c r="H70">
        <v>89</v>
      </c>
      <c r="I70">
        <v>74</v>
      </c>
      <c r="J70">
        <v>87</v>
      </c>
      <c r="K70">
        <v>90</v>
      </c>
      <c r="L70" s="5">
        <v>85</v>
      </c>
      <c r="M70">
        <v>55</v>
      </c>
      <c r="N70">
        <v>66</v>
      </c>
      <c r="O70" s="5">
        <v>61.575000000000003</v>
      </c>
      <c r="P70" s="5">
        <v>61.575000000000003</v>
      </c>
      <c r="Q70" s="11">
        <v>82.100000000000009</v>
      </c>
      <c r="R70" s="10">
        <v>0.11402091540786898</v>
      </c>
      <c r="S70" s="10">
        <v>1.219185</v>
      </c>
      <c r="T70" t="s">
        <v>140</v>
      </c>
      <c r="U70">
        <v>32</v>
      </c>
      <c r="V70">
        <v>86</v>
      </c>
      <c r="W70" s="49">
        <v>42.650000000000006</v>
      </c>
      <c r="X70" t="str">
        <f t="shared" si="4"/>
        <v>Ti84</v>
      </c>
      <c r="Y70">
        <f>IFERROR(VLOOKUP('Season 1 - Player Stats'!G70,'Season 1 - League Table'!$T$2:$W$177,4,FALSE),0)</f>
        <v>7</v>
      </c>
      <c r="Z70">
        <f>38</f>
        <v>38</v>
      </c>
      <c r="AA70">
        <f t="shared" si="5"/>
        <v>7</v>
      </c>
      <c r="AB70">
        <f t="shared" si="6"/>
        <v>0</v>
      </c>
      <c r="AC70">
        <f t="shared" si="7"/>
        <v>0</v>
      </c>
    </row>
    <row r="71" spans="1:29" x14ac:dyDescent="0.25">
      <c r="A71" s="8">
        <v>216</v>
      </c>
      <c r="B71" s="7" t="s">
        <v>42</v>
      </c>
      <c r="C71" s="8" t="s">
        <v>57</v>
      </c>
      <c r="D71" s="7" t="s">
        <v>646</v>
      </c>
      <c r="E71" s="7" t="s">
        <v>647</v>
      </c>
      <c r="F71" s="7" t="s">
        <v>648</v>
      </c>
      <c r="G71" s="7" t="s">
        <v>649</v>
      </c>
      <c r="H71">
        <v>54</v>
      </c>
      <c r="I71">
        <v>92</v>
      </c>
      <c r="J71">
        <v>81</v>
      </c>
      <c r="K71">
        <v>39</v>
      </c>
      <c r="L71" s="5">
        <v>66.5</v>
      </c>
      <c r="M71">
        <v>6</v>
      </c>
      <c r="N71">
        <v>80</v>
      </c>
      <c r="O71" s="5">
        <v>54.674999999999997</v>
      </c>
      <c r="P71" s="5">
        <v>54.674999999999997</v>
      </c>
      <c r="Q71" s="11">
        <v>72.899999999999991</v>
      </c>
      <c r="R71" s="10">
        <v>0.11994669035984006</v>
      </c>
      <c r="S71" s="10">
        <v>1.3122</v>
      </c>
      <c r="T71" t="s">
        <v>155</v>
      </c>
      <c r="U71">
        <v>22</v>
      </c>
      <c r="V71">
        <v>93</v>
      </c>
      <c r="W71" s="49">
        <v>42.55</v>
      </c>
      <c r="X71" t="str">
        <f t="shared" si="4"/>
        <v>Go71</v>
      </c>
      <c r="Y71">
        <f>IFERROR(VLOOKUP('Season 1 - Player Stats'!G71,'Season 1 - League Table'!$T$2:$W$177,4,FALSE),0)</f>
        <v>8</v>
      </c>
      <c r="Z71">
        <f>38</f>
        <v>38</v>
      </c>
      <c r="AA71">
        <f t="shared" si="5"/>
        <v>8</v>
      </c>
      <c r="AB71">
        <f t="shared" si="6"/>
        <v>0</v>
      </c>
      <c r="AC71">
        <f t="shared" si="7"/>
        <v>0</v>
      </c>
    </row>
    <row r="72" spans="1:29" x14ac:dyDescent="0.25">
      <c r="A72" s="8">
        <v>81</v>
      </c>
      <c r="B72" s="7" t="s">
        <v>30</v>
      </c>
      <c r="C72" s="8" t="s">
        <v>56</v>
      </c>
      <c r="D72" s="7" t="s">
        <v>1057</v>
      </c>
      <c r="E72" s="7" t="s">
        <v>1058</v>
      </c>
      <c r="F72" s="7" t="s">
        <v>1059</v>
      </c>
      <c r="G72" s="7" t="s">
        <v>1060</v>
      </c>
      <c r="H72">
        <v>23</v>
      </c>
      <c r="I72">
        <v>38</v>
      </c>
      <c r="J72">
        <v>99</v>
      </c>
      <c r="K72">
        <v>47</v>
      </c>
      <c r="L72" s="5">
        <v>51.75</v>
      </c>
      <c r="M72">
        <v>36</v>
      </c>
      <c r="N72">
        <v>27</v>
      </c>
      <c r="O72" s="5">
        <v>21.764999999999997</v>
      </c>
      <c r="P72" s="5">
        <v>72.55</v>
      </c>
      <c r="Q72" s="11">
        <v>72.55</v>
      </c>
      <c r="R72" s="10">
        <v>4.7506352619233777E-2</v>
      </c>
      <c r="S72" s="10">
        <v>0.17629649999999999</v>
      </c>
      <c r="T72" t="s">
        <v>139</v>
      </c>
      <c r="U72">
        <v>19</v>
      </c>
      <c r="V72">
        <v>92</v>
      </c>
      <c r="W72" s="49">
        <v>42.174999999999997</v>
      </c>
      <c r="X72" t="str">
        <f t="shared" si="4"/>
        <v>Rh82</v>
      </c>
      <c r="Y72">
        <f>IFERROR(VLOOKUP('Season 1 - Player Stats'!G72,'Season 1 - League Table'!$T$2:$W$177,4,FALSE),0)</f>
        <v>2</v>
      </c>
      <c r="Z72">
        <f>38</f>
        <v>38</v>
      </c>
      <c r="AA72">
        <f t="shared" si="5"/>
        <v>2</v>
      </c>
      <c r="AB72">
        <f t="shared" si="6"/>
        <v>0</v>
      </c>
      <c r="AC72">
        <f t="shared" si="7"/>
        <v>0</v>
      </c>
    </row>
    <row r="73" spans="1:29" x14ac:dyDescent="0.25">
      <c r="A73" s="8">
        <v>22</v>
      </c>
      <c r="B73" s="7" t="s">
        <v>23</v>
      </c>
      <c r="C73" s="8" t="s">
        <v>53</v>
      </c>
      <c r="D73" s="7" t="s">
        <v>1313</v>
      </c>
      <c r="E73" s="7" t="s">
        <v>1314</v>
      </c>
      <c r="F73" s="7" t="s">
        <v>1315</v>
      </c>
      <c r="G73" s="7" t="s">
        <v>1285</v>
      </c>
      <c r="H73">
        <v>82</v>
      </c>
      <c r="I73">
        <v>80</v>
      </c>
      <c r="J73">
        <v>72</v>
      </c>
      <c r="K73">
        <v>84</v>
      </c>
      <c r="L73" s="5">
        <v>79.5</v>
      </c>
      <c r="M73">
        <v>54</v>
      </c>
      <c r="N73">
        <v>65</v>
      </c>
      <c r="O73" s="5">
        <v>82.100000000000009</v>
      </c>
      <c r="P73" s="5">
        <v>24.630000000000003</v>
      </c>
      <c r="Q73" s="11">
        <v>82.100000000000009</v>
      </c>
      <c r="R73" s="10">
        <v>0.19571794733917661</v>
      </c>
      <c r="S73" s="10">
        <v>1.6009500000000001</v>
      </c>
      <c r="T73" t="s">
        <v>144</v>
      </c>
      <c r="U73">
        <v>33</v>
      </c>
      <c r="V73">
        <v>85</v>
      </c>
      <c r="W73" s="49">
        <v>42.050000000000011</v>
      </c>
      <c r="X73" t="str">
        <f t="shared" si="4"/>
        <v>Li76</v>
      </c>
      <c r="Y73">
        <f>IFERROR(VLOOKUP('Season 1 - Player Stats'!G73,'Season 1 - League Table'!$T$2:$W$177,4,FALSE),0)</f>
        <v>20</v>
      </c>
      <c r="Z73">
        <f>38</f>
        <v>38</v>
      </c>
      <c r="AA73">
        <f t="shared" si="5"/>
        <v>20</v>
      </c>
      <c r="AB73">
        <f t="shared" si="6"/>
        <v>0</v>
      </c>
      <c r="AC73">
        <f t="shared" si="7"/>
        <v>0</v>
      </c>
    </row>
    <row r="74" spans="1:29" x14ac:dyDescent="0.25">
      <c r="A74" s="8">
        <v>93</v>
      </c>
      <c r="B74" s="7" t="s">
        <v>31</v>
      </c>
      <c r="C74" s="8" t="s">
        <v>55</v>
      </c>
      <c r="D74" s="7" t="s">
        <v>1025</v>
      </c>
      <c r="E74" s="7" t="s">
        <v>1026</v>
      </c>
      <c r="F74" s="7" t="s">
        <v>1027</v>
      </c>
      <c r="G74" s="7" t="s">
        <v>1028</v>
      </c>
      <c r="H74">
        <v>72</v>
      </c>
      <c r="I74">
        <v>64</v>
      </c>
      <c r="J74">
        <v>72</v>
      </c>
      <c r="K74">
        <v>85</v>
      </c>
      <c r="L74" s="5">
        <v>73.25</v>
      </c>
      <c r="M74">
        <v>49</v>
      </c>
      <c r="N74">
        <v>68</v>
      </c>
      <c r="O74" s="5">
        <v>29.72</v>
      </c>
      <c r="P74" s="5">
        <v>66.87</v>
      </c>
      <c r="Q74" s="11">
        <v>74.3</v>
      </c>
      <c r="R74" s="10">
        <v>3.6872595630818517E-2</v>
      </c>
      <c r="S74" s="10">
        <v>0.60628799999999994</v>
      </c>
      <c r="T74" t="s">
        <v>140</v>
      </c>
      <c r="U74">
        <v>25</v>
      </c>
      <c r="V74">
        <v>91</v>
      </c>
      <c r="W74" s="49">
        <v>41.949999999999989</v>
      </c>
      <c r="X74" t="str">
        <f t="shared" si="4"/>
        <v>Ti84</v>
      </c>
      <c r="Y74">
        <f>IFERROR(VLOOKUP('Season 1 - Player Stats'!G74,'Season 1 - League Table'!$T$2:$W$177,4,FALSE),0)</f>
        <v>1</v>
      </c>
      <c r="Z74">
        <f>38</f>
        <v>38</v>
      </c>
      <c r="AA74">
        <f t="shared" si="5"/>
        <v>1</v>
      </c>
      <c r="AB74">
        <f t="shared" si="6"/>
        <v>0</v>
      </c>
      <c r="AC74">
        <f t="shared" si="7"/>
        <v>0</v>
      </c>
    </row>
    <row r="75" spans="1:29" x14ac:dyDescent="0.25">
      <c r="A75" s="8">
        <v>59</v>
      </c>
      <c r="B75" s="7" t="s">
        <v>27</v>
      </c>
      <c r="C75" s="8" t="s">
        <v>56</v>
      </c>
      <c r="D75" s="7" t="s">
        <v>1141</v>
      </c>
      <c r="E75" s="7" t="s">
        <v>1142</v>
      </c>
      <c r="F75" s="7" t="s">
        <v>1143</v>
      </c>
      <c r="G75" s="7" t="s">
        <v>1144</v>
      </c>
      <c r="H75">
        <v>84</v>
      </c>
      <c r="I75">
        <v>72</v>
      </c>
      <c r="J75">
        <v>80</v>
      </c>
      <c r="K75">
        <v>84</v>
      </c>
      <c r="L75" s="5">
        <v>80</v>
      </c>
      <c r="M75">
        <v>78</v>
      </c>
      <c r="N75">
        <v>44</v>
      </c>
      <c r="O75" s="5">
        <v>23.969999999999995</v>
      </c>
      <c r="P75" s="5">
        <v>79.899999999999991</v>
      </c>
      <c r="Q75" s="11">
        <v>79.899999999999991</v>
      </c>
      <c r="R75" s="10">
        <v>2.8883932987419404E-2</v>
      </c>
      <c r="S75" s="10">
        <v>0.31640399999999991</v>
      </c>
      <c r="T75" t="s">
        <v>149</v>
      </c>
      <c r="U75">
        <v>31</v>
      </c>
      <c r="V75">
        <v>86</v>
      </c>
      <c r="W75" s="49">
        <v>41.650000000000006</v>
      </c>
      <c r="X75" t="str">
        <f t="shared" si="4"/>
        <v>Pa80</v>
      </c>
      <c r="Y75">
        <f>IFERROR(VLOOKUP('Season 1 - Player Stats'!G75,'Season 1 - League Table'!$T$2:$W$177,4,FALSE),0)</f>
        <v>0</v>
      </c>
      <c r="Z75">
        <f>38</f>
        <v>38</v>
      </c>
      <c r="AA75">
        <f t="shared" si="5"/>
        <v>0</v>
      </c>
      <c r="AB75">
        <f t="shared" si="6"/>
        <v>0</v>
      </c>
      <c r="AC75">
        <f t="shared" si="7"/>
        <v>0</v>
      </c>
    </row>
    <row r="76" spans="1:29" x14ac:dyDescent="0.25">
      <c r="A76" s="8">
        <v>60</v>
      </c>
      <c r="B76" s="7" t="s">
        <v>27</v>
      </c>
      <c r="C76" s="8" t="s">
        <v>55</v>
      </c>
      <c r="D76" s="7" t="s">
        <v>1145</v>
      </c>
      <c r="E76" s="7" t="s">
        <v>1146</v>
      </c>
      <c r="F76" s="7" t="s">
        <v>1147</v>
      </c>
      <c r="G76" s="7" t="s">
        <v>1148</v>
      </c>
      <c r="H76">
        <v>89</v>
      </c>
      <c r="I76">
        <v>69</v>
      </c>
      <c r="J76">
        <v>61</v>
      </c>
      <c r="K76">
        <v>95</v>
      </c>
      <c r="L76" s="5">
        <v>78.5</v>
      </c>
      <c r="M76">
        <v>79</v>
      </c>
      <c r="N76">
        <v>37</v>
      </c>
      <c r="O76" s="5">
        <v>30.8</v>
      </c>
      <c r="P76" s="5">
        <v>69.3</v>
      </c>
      <c r="Q76" s="11">
        <v>77</v>
      </c>
      <c r="R76" s="10">
        <v>3.7114106633813843E-2</v>
      </c>
      <c r="S76" s="10">
        <v>0.34187999999999996</v>
      </c>
      <c r="T76" t="s">
        <v>149</v>
      </c>
      <c r="U76">
        <v>27</v>
      </c>
      <c r="V76">
        <v>88</v>
      </c>
      <c r="W76" s="49">
        <v>41.599999999999994</v>
      </c>
      <c r="X76" t="str">
        <f t="shared" si="4"/>
        <v>Pa80</v>
      </c>
      <c r="Y76">
        <f>IFERROR(VLOOKUP('Season 1 - Player Stats'!G76,'Season 1 - League Table'!$T$2:$W$177,4,FALSE),0)</f>
        <v>3</v>
      </c>
      <c r="Z76">
        <f>38</f>
        <v>38</v>
      </c>
      <c r="AA76">
        <f t="shared" si="5"/>
        <v>3</v>
      </c>
      <c r="AB76">
        <f t="shared" si="6"/>
        <v>0</v>
      </c>
      <c r="AC76">
        <f t="shared" si="7"/>
        <v>0</v>
      </c>
    </row>
    <row r="77" spans="1:29" x14ac:dyDescent="0.25">
      <c r="A77" s="8">
        <v>102</v>
      </c>
      <c r="B77" s="7" t="s">
        <v>32</v>
      </c>
      <c r="C77" s="8" t="s">
        <v>56</v>
      </c>
      <c r="D77" s="7" t="s">
        <v>975</v>
      </c>
      <c r="E77" s="7" t="s">
        <v>976</v>
      </c>
      <c r="F77" s="7" t="s">
        <v>977</v>
      </c>
      <c r="G77" s="7" t="s">
        <v>978</v>
      </c>
      <c r="H77">
        <v>52</v>
      </c>
      <c r="I77">
        <v>49</v>
      </c>
      <c r="J77">
        <v>100</v>
      </c>
      <c r="K77">
        <v>39</v>
      </c>
      <c r="L77" s="5">
        <v>60</v>
      </c>
      <c r="M77">
        <v>32</v>
      </c>
      <c r="N77">
        <v>82</v>
      </c>
      <c r="O77" s="5">
        <v>23.159999999999997</v>
      </c>
      <c r="P77" s="5">
        <v>77.199999999999989</v>
      </c>
      <c r="Q77" s="11">
        <v>77.199999999999989</v>
      </c>
      <c r="R77" s="10">
        <v>4.1658310681566488E-2</v>
      </c>
      <c r="S77" s="10">
        <v>0.56973599999999991</v>
      </c>
      <c r="T77" t="s">
        <v>141</v>
      </c>
      <c r="U77">
        <v>24</v>
      </c>
      <c r="V77">
        <v>86</v>
      </c>
      <c r="W77" s="49">
        <v>41</v>
      </c>
      <c r="X77" t="str">
        <f t="shared" si="4"/>
        <v>Be66</v>
      </c>
      <c r="Y77">
        <f>IFERROR(VLOOKUP('Season 1 - Player Stats'!G77,'Season 1 - League Table'!$T$2:$W$177,4,FALSE),0)</f>
        <v>1</v>
      </c>
      <c r="Z77">
        <f>38</f>
        <v>38</v>
      </c>
      <c r="AA77">
        <f t="shared" si="5"/>
        <v>1</v>
      </c>
      <c r="AB77">
        <f t="shared" si="6"/>
        <v>0</v>
      </c>
      <c r="AC77">
        <f t="shared" si="7"/>
        <v>0</v>
      </c>
    </row>
    <row r="78" spans="1:29" x14ac:dyDescent="0.25">
      <c r="A78" s="8">
        <v>133</v>
      </c>
      <c r="B78" s="7" t="s">
        <v>35</v>
      </c>
      <c r="C78" s="8" t="s">
        <v>11</v>
      </c>
      <c r="D78" s="7" t="s">
        <v>839</v>
      </c>
      <c r="E78" s="7" t="s">
        <v>840</v>
      </c>
      <c r="F78" s="7" t="s">
        <v>841</v>
      </c>
      <c r="G78" s="7" t="s">
        <v>842</v>
      </c>
      <c r="H78">
        <v>60</v>
      </c>
      <c r="I78">
        <v>96</v>
      </c>
      <c r="J78">
        <v>43</v>
      </c>
      <c r="K78">
        <v>51</v>
      </c>
      <c r="L78" s="5">
        <v>62.5</v>
      </c>
      <c r="M78">
        <v>77</v>
      </c>
      <c r="N78">
        <v>95</v>
      </c>
      <c r="O78" s="5">
        <v>0</v>
      </c>
      <c r="P78" s="5">
        <v>69.55</v>
      </c>
      <c r="Q78" s="11">
        <v>69.55</v>
      </c>
      <c r="R78" s="10">
        <v>0</v>
      </c>
      <c r="S78" s="10">
        <v>0</v>
      </c>
      <c r="T78" t="s">
        <v>158</v>
      </c>
      <c r="U78">
        <v>21</v>
      </c>
      <c r="V78">
        <v>93</v>
      </c>
      <c r="W78" s="49">
        <v>40.974999999999994</v>
      </c>
      <c r="X78" t="str">
        <f t="shared" si="4"/>
        <v>Do68</v>
      </c>
      <c r="Y78">
        <f>IFERROR(VLOOKUP('Season 1 - Player Stats'!G78,'Season 1 - League Table'!$T$2:$W$177,4,FALSE),0)</f>
        <v>0</v>
      </c>
      <c r="Z78">
        <f>38</f>
        <v>38</v>
      </c>
      <c r="AA78">
        <f t="shared" si="5"/>
        <v>0</v>
      </c>
      <c r="AB78">
        <f t="shared" si="6"/>
        <v>0</v>
      </c>
      <c r="AC78">
        <f t="shared" si="7"/>
        <v>0</v>
      </c>
    </row>
    <row r="79" spans="1:29" x14ac:dyDescent="0.25">
      <c r="A79" s="8">
        <v>166</v>
      </c>
      <c r="B79" s="7" t="s">
        <v>38</v>
      </c>
      <c r="C79" s="8" t="s">
        <v>11</v>
      </c>
      <c r="D79" s="7" t="s">
        <v>753</v>
      </c>
      <c r="E79" s="7" t="s">
        <v>754</v>
      </c>
      <c r="F79" s="7" t="s">
        <v>755</v>
      </c>
      <c r="G79" s="7" t="s">
        <v>756</v>
      </c>
      <c r="H79">
        <v>94</v>
      </c>
      <c r="I79">
        <v>50</v>
      </c>
      <c r="J79">
        <v>43</v>
      </c>
      <c r="K79">
        <v>100</v>
      </c>
      <c r="L79" s="5">
        <v>71.75</v>
      </c>
      <c r="M79">
        <v>25</v>
      </c>
      <c r="N79">
        <v>81</v>
      </c>
      <c r="O79" s="5">
        <v>0</v>
      </c>
      <c r="P79" s="5">
        <v>74.400000000000006</v>
      </c>
      <c r="Q79" s="11">
        <v>74.400000000000006</v>
      </c>
      <c r="R79" s="10">
        <v>0</v>
      </c>
      <c r="S79" s="10">
        <v>0</v>
      </c>
      <c r="T79" t="s">
        <v>152</v>
      </c>
      <c r="U79">
        <v>22</v>
      </c>
      <c r="V79">
        <v>88</v>
      </c>
      <c r="W79" s="49">
        <v>40.800000000000011</v>
      </c>
      <c r="X79" t="str">
        <f t="shared" si="4"/>
        <v>Ch67</v>
      </c>
      <c r="Y79">
        <f>IFERROR(VLOOKUP('Season 1 - Player Stats'!G79,'Season 1 - League Table'!$T$2:$W$177,4,FALSE),0)</f>
        <v>14</v>
      </c>
      <c r="Z79">
        <f>38</f>
        <v>38</v>
      </c>
      <c r="AA79">
        <f t="shared" si="5"/>
        <v>14</v>
      </c>
      <c r="AB79">
        <f t="shared" si="6"/>
        <v>0</v>
      </c>
      <c r="AC79">
        <f t="shared" si="7"/>
        <v>0</v>
      </c>
    </row>
    <row r="80" spans="1:29" x14ac:dyDescent="0.25">
      <c r="A80" s="8">
        <v>175</v>
      </c>
      <c r="B80" s="7" t="s">
        <v>38</v>
      </c>
      <c r="C80" s="8" t="s">
        <v>59</v>
      </c>
      <c r="D80" s="7" t="s">
        <v>788</v>
      </c>
      <c r="E80" s="7" t="s">
        <v>789</v>
      </c>
      <c r="F80" s="7" t="s">
        <v>790</v>
      </c>
      <c r="G80" s="7" t="s">
        <v>756</v>
      </c>
      <c r="H80">
        <v>100</v>
      </c>
      <c r="I80">
        <v>41</v>
      </c>
      <c r="J80">
        <v>4</v>
      </c>
      <c r="K80">
        <v>87</v>
      </c>
      <c r="L80" s="5">
        <v>58</v>
      </c>
      <c r="M80">
        <v>27</v>
      </c>
      <c r="N80">
        <v>89</v>
      </c>
      <c r="O80" s="5">
        <v>71.75</v>
      </c>
      <c r="P80" s="5">
        <v>21.524999999999999</v>
      </c>
      <c r="Q80" s="11">
        <v>71.75</v>
      </c>
      <c r="R80" s="10">
        <v>0.20770620435970272</v>
      </c>
      <c r="S80" s="10">
        <v>1.9157250000000001</v>
      </c>
      <c r="T80" t="s">
        <v>152</v>
      </c>
      <c r="U80">
        <v>19</v>
      </c>
      <c r="V80">
        <v>90</v>
      </c>
      <c r="W80" s="49">
        <v>40.775000000000006</v>
      </c>
      <c r="X80" t="str">
        <f t="shared" si="4"/>
        <v>Ch67</v>
      </c>
      <c r="Y80">
        <f>IFERROR(VLOOKUP('Season 1 - Player Stats'!G80,'Season 1 - League Table'!$T$2:$W$177,4,FALSE),0)</f>
        <v>14</v>
      </c>
      <c r="Z80">
        <f>38</f>
        <v>38</v>
      </c>
      <c r="AA80">
        <f t="shared" si="5"/>
        <v>14</v>
      </c>
      <c r="AB80">
        <f t="shared" si="6"/>
        <v>0</v>
      </c>
      <c r="AC80">
        <f t="shared" si="7"/>
        <v>0</v>
      </c>
    </row>
    <row r="81" spans="1:29" x14ac:dyDescent="0.25">
      <c r="A81" s="8">
        <v>43</v>
      </c>
      <c r="B81" s="7" t="s">
        <v>26</v>
      </c>
      <c r="C81" s="8" t="s">
        <v>59</v>
      </c>
      <c r="D81" s="7" t="s">
        <v>955</v>
      </c>
      <c r="E81" s="7" t="s">
        <v>1229</v>
      </c>
      <c r="F81" s="7" t="s">
        <v>1230</v>
      </c>
      <c r="G81" s="7" t="s">
        <v>1231</v>
      </c>
      <c r="H81">
        <v>83</v>
      </c>
      <c r="I81">
        <v>51</v>
      </c>
      <c r="J81">
        <v>6</v>
      </c>
      <c r="K81">
        <v>97</v>
      </c>
      <c r="L81" s="5">
        <v>59.25</v>
      </c>
      <c r="M81">
        <v>75</v>
      </c>
      <c r="N81">
        <v>32</v>
      </c>
      <c r="O81" s="5">
        <v>71.5</v>
      </c>
      <c r="P81" s="5">
        <v>21.45</v>
      </c>
      <c r="Q81" s="11">
        <v>71.5</v>
      </c>
      <c r="R81" s="10">
        <v>0.21673086127128108</v>
      </c>
      <c r="S81" s="10">
        <v>0.68640000000000001</v>
      </c>
      <c r="T81" t="s">
        <v>145</v>
      </c>
      <c r="U81">
        <v>24</v>
      </c>
      <c r="V81">
        <v>91</v>
      </c>
      <c r="W81" s="49">
        <v>40.650000000000006</v>
      </c>
      <c r="X81" t="str">
        <f t="shared" si="4"/>
        <v>Fa70</v>
      </c>
      <c r="Y81">
        <f>IFERROR(VLOOKUP('Season 1 - Player Stats'!G81,'Season 1 - League Table'!$T$2:$W$177,4,FALSE),0)</f>
        <v>12</v>
      </c>
      <c r="Z81">
        <f>38</f>
        <v>38</v>
      </c>
      <c r="AA81">
        <f t="shared" si="5"/>
        <v>12</v>
      </c>
      <c r="AB81">
        <f t="shared" si="6"/>
        <v>0</v>
      </c>
      <c r="AC81">
        <f t="shared" si="7"/>
        <v>0</v>
      </c>
    </row>
    <row r="82" spans="1:29" x14ac:dyDescent="0.25">
      <c r="A82" s="8">
        <v>16</v>
      </c>
      <c r="B82" s="7" t="s">
        <v>23</v>
      </c>
      <c r="C82" s="8" t="s">
        <v>55</v>
      </c>
      <c r="D82" s="7" t="s">
        <v>1292</v>
      </c>
      <c r="E82" s="7" t="s">
        <v>1293</v>
      </c>
      <c r="F82" s="7" t="s">
        <v>1294</v>
      </c>
      <c r="G82" s="7" t="s">
        <v>1295</v>
      </c>
      <c r="H82">
        <v>77</v>
      </c>
      <c r="I82">
        <v>78</v>
      </c>
      <c r="J82">
        <v>84</v>
      </c>
      <c r="K82">
        <v>84</v>
      </c>
      <c r="L82" s="5">
        <v>80.75</v>
      </c>
      <c r="M82">
        <v>53</v>
      </c>
      <c r="N82">
        <v>66</v>
      </c>
      <c r="O82" s="5">
        <v>32.700000000000003</v>
      </c>
      <c r="P82" s="5">
        <v>73.575000000000003</v>
      </c>
      <c r="Q82" s="11">
        <v>81.75</v>
      </c>
      <c r="R82" s="10">
        <v>3.926977469484326E-2</v>
      </c>
      <c r="S82" s="10">
        <v>0.64746000000000004</v>
      </c>
      <c r="T82" t="s">
        <v>144</v>
      </c>
      <c r="U82">
        <v>33</v>
      </c>
      <c r="V82">
        <v>82</v>
      </c>
      <c r="W82" s="49">
        <v>40.375</v>
      </c>
      <c r="X82" t="str">
        <f t="shared" si="4"/>
        <v>Li76</v>
      </c>
      <c r="Y82">
        <f>IFERROR(VLOOKUP('Season 1 - Player Stats'!G82,'Season 1 - League Table'!$T$2:$W$177,4,FALSE),0)</f>
        <v>2</v>
      </c>
      <c r="Z82">
        <f>38</f>
        <v>38</v>
      </c>
      <c r="AA82">
        <f t="shared" si="5"/>
        <v>2</v>
      </c>
      <c r="AB82">
        <f t="shared" si="6"/>
        <v>0</v>
      </c>
      <c r="AC82">
        <f t="shared" si="7"/>
        <v>0</v>
      </c>
    </row>
    <row r="83" spans="1:29" x14ac:dyDescent="0.25">
      <c r="A83" s="8">
        <v>72</v>
      </c>
      <c r="B83" s="7" t="s">
        <v>29</v>
      </c>
      <c r="C83" s="8" t="s">
        <v>45</v>
      </c>
      <c r="D83" s="7" t="s">
        <v>1107</v>
      </c>
      <c r="E83" s="7" t="s">
        <v>1108</v>
      </c>
      <c r="F83" s="7" t="s">
        <v>1109</v>
      </c>
      <c r="G83" s="7" t="s">
        <v>1110</v>
      </c>
      <c r="H83">
        <v>90</v>
      </c>
      <c r="I83">
        <v>86</v>
      </c>
      <c r="J83">
        <v>63</v>
      </c>
      <c r="K83">
        <v>73</v>
      </c>
      <c r="L83" s="5">
        <v>78</v>
      </c>
      <c r="M83">
        <v>79</v>
      </c>
      <c r="N83">
        <v>95</v>
      </c>
      <c r="O83" s="5">
        <v>45.27</v>
      </c>
      <c r="P83" s="5">
        <v>67.905000000000001</v>
      </c>
      <c r="Q83" s="11">
        <v>75.45</v>
      </c>
      <c r="R83" s="10">
        <v>8.715070892972307E-2</v>
      </c>
      <c r="S83" s="10">
        <v>1.2901950000000002</v>
      </c>
      <c r="T83" t="s">
        <v>147</v>
      </c>
      <c r="U83">
        <v>27</v>
      </c>
      <c r="V83">
        <v>87</v>
      </c>
      <c r="W83" s="49">
        <v>40.325000000000003</v>
      </c>
      <c r="X83" t="str">
        <f t="shared" si="4"/>
        <v>Wo87</v>
      </c>
      <c r="Y83">
        <f>IFERROR(VLOOKUP('Season 1 - Player Stats'!G83,'Season 1 - League Table'!$T$2:$W$177,4,FALSE),0)</f>
        <v>7</v>
      </c>
      <c r="Z83">
        <f>38</f>
        <v>38</v>
      </c>
      <c r="AA83">
        <f t="shared" si="5"/>
        <v>7</v>
      </c>
      <c r="AB83">
        <f t="shared" si="6"/>
        <v>1</v>
      </c>
      <c r="AC83">
        <f t="shared" si="7"/>
        <v>1</v>
      </c>
    </row>
    <row r="84" spans="1:29" x14ac:dyDescent="0.25">
      <c r="A84" s="8">
        <v>119</v>
      </c>
      <c r="B84" s="7" t="s">
        <v>33</v>
      </c>
      <c r="C84" s="8" t="s">
        <v>52</v>
      </c>
      <c r="D84" s="7" t="s">
        <v>955</v>
      </c>
      <c r="E84" s="7" t="s">
        <v>956</v>
      </c>
      <c r="F84" s="7" t="s">
        <v>957</v>
      </c>
      <c r="G84" s="7" t="s">
        <v>958</v>
      </c>
      <c r="H84">
        <v>83</v>
      </c>
      <c r="I84">
        <v>73</v>
      </c>
      <c r="J84">
        <v>3</v>
      </c>
      <c r="K84">
        <v>82</v>
      </c>
      <c r="L84" s="5">
        <v>60.25</v>
      </c>
      <c r="M84">
        <v>86</v>
      </c>
      <c r="N84">
        <v>77</v>
      </c>
      <c r="O84" s="5">
        <v>77.05</v>
      </c>
      <c r="P84" s="5">
        <v>23.114999999999998</v>
      </c>
      <c r="Q84" s="11">
        <v>77.05</v>
      </c>
      <c r="R84" s="10">
        <v>0.20923606219309263</v>
      </c>
      <c r="S84" s="10">
        <v>1.779855</v>
      </c>
      <c r="T84" t="s">
        <v>148</v>
      </c>
      <c r="U84">
        <v>21</v>
      </c>
      <c r="V84">
        <v>84</v>
      </c>
      <c r="W84" s="49">
        <v>40.224999999999994</v>
      </c>
      <c r="X84" t="str">
        <f t="shared" si="4"/>
        <v>Ha72</v>
      </c>
      <c r="Y84">
        <f>IFERROR(VLOOKUP('Season 1 - Player Stats'!G84,'Season 1 - League Table'!$T$2:$W$177,4,FALSE),0)</f>
        <v>10</v>
      </c>
      <c r="Z84">
        <f>38</f>
        <v>38</v>
      </c>
      <c r="AA84">
        <f t="shared" si="5"/>
        <v>10</v>
      </c>
      <c r="AB84">
        <f t="shared" si="6"/>
        <v>0</v>
      </c>
      <c r="AC84">
        <f t="shared" si="7"/>
        <v>0</v>
      </c>
    </row>
    <row r="85" spans="1:29" x14ac:dyDescent="0.25">
      <c r="A85" s="8">
        <v>185</v>
      </c>
      <c r="B85" s="7" t="s">
        <v>39</v>
      </c>
      <c r="C85" s="8" t="s">
        <v>52</v>
      </c>
      <c r="D85" s="7" t="s">
        <v>742</v>
      </c>
      <c r="E85" s="7" t="s">
        <v>743</v>
      </c>
      <c r="F85" s="7" t="s">
        <v>744</v>
      </c>
      <c r="G85" s="7" t="s">
        <v>745</v>
      </c>
      <c r="H85">
        <v>74</v>
      </c>
      <c r="I85">
        <v>82</v>
      </c>
      <c r="J85">
        <v>12</v>
      </c>
      <c r="K85">
        <v>58</v>
      </c>
      <c r="L85" s="5">
        <v>56.5</v>
      </c>
      <c r="M85">
        <v>96</v>
      </c>
      <c r="N85">
        <v>102</v>
      </c>
      <c r="O85" s="5">
        <v>64.900000000000006</v>
      </c>
      <c r="P85" s="5">
        <v>19.470000000000002</v>
      </c>
      <c r="Q85" s="11">
        <v>64.900000000000006</v>
      </c>
      <c r="R85" s="10">
        <v>0.20547141403381403</v>
      </c>
      <c r="S85" s="10">
        <v>1.98594</v>
      </c>
      <c r="T85" t="s">
        <v>153</v>
      </c>
      <c r="U85">
        <v>19</v>
      </c>
      <c r="V85">
        <v>95</v>
      </c>
      <c r="W85" s="49">
        <v>39.849999999999994</v>
      </c>
      <c r="X85" t="str">
        <f t="shared" si="4"/>
        <v>Ra82</v>
      </c>
      <c r="Y85">
        <f>IFERROR(VLOOKUP('Season 1 - Player Stats'!G85,'Season 1 - League Table'!$T$2:$W$177,4,FALSE),0)</f>
        <v>8</v>
      </c>
      <c r="Z85">
        <f>38</f>
        <v>38</v>
      </c>
      <c r="AA85">
        <f t="shared" si="5"/>
        <v>8</v>
      </c>
      <c r="AB85">
        <f t="shared" si="6"/>
        <v>0</v>
      </c>
      <c r="AC85">
        <f t="shared" si="7"/>
        <v>0</v>
      </c>
    </row>
    <row r="86" spans="1:29" x14ac:dyDescent="0.25">
      <c r="A86" s="8">
        <v>62</v>
      </c>
      <c r="B86" s="7" t="s">
        <v>27</v>
      </c>
      <c r="C86" s="8" t="s">
        <v>57</v>
      </c>
      <c r="D86" s="7" t="s">
        <v>1153</v>
      </c>
      <c r="E86" s="7" t="s">
        <v>667</v>
      </c>
      <c r="F86" s="7" t="s">
        <v>668</v>
      </c>
      <c r="G86" s="7" t="s">
        <v>864</v>
      </c>
      <c r="H86">
        <v>88</v>
      </c>
      <c r="I86">
        <v>82</v>
      </c>
      <c r="J86">
        <v>64</v>
      </c>
      <c r="K86">
        <v>80</v>
      </c>
      <c r="L86" s="5">
        <v>78.5</v>
      </c>
      <c r="M86">
        <v>81</v>
      </c>
      <c r="N86">
        <v>45</v>
      </c>
      <c r="O86" s="5">
        <v>60.375</v>
      </c>
      <c r="P86" s="5">
        <v>60.375</v>
      </c>
      <c r="Q86" s="11">
        <v>80.5</v>
      </c>
      <c r="R86" s="10">
        <v>0.10858520003956729</v>
      </c>
      <c r="S86" s="10">
        <v>0.81506250000000002</v>
      </c>
      <c r="T86" t="s">
        <v>149</v>
      </c>
      <c r="U86">
        <v>33</v>
      </c>
      <c r="V86">
        <v>82</v>
      </c>
      <c r="W86" s="49">
        <v>39.75</v>
      </c>
      <c r="X86" t="str">
        <f t="shared" si="4"/>
        <v>Pa80</v>
      </c>
      <c r="Y86">
        <f>IFERROR(VLOOKUP('Season 1 - Player Stats'!G86,'Season 1 - League Table'!$T$2:$W$177,4,FALSE),0)</f>
        <v>4</v>
      </c>
      <c r="Z86">
        <f>38</f>
        <v>38</v>
      </c>
      <c r="AA86">
        <f t="shared" si="5"/>
        <v>4</v>
      </c>
      <c r="AB86">
        <f t="shared" si="6"/>
        <v>0</v>
      </c>
      <c r="AC86">
        <f t="shared" si="7"/>
        <v>0</v>
      </c>
    </row>
    <row r="87" spans="1:29" x14ac:dyDescent="0.25">
      <c r="A87" s="8">
        <v>147</v>
      </c>
      <c r="B87" s="7" t="s">
        <v>36</v>
      </c>
      <c r="C87" s="8" t="s">
        <v>56</v>
      </c>
      <c r="D87" s="7" t="s">
        <v>959</v>
      </c>
      <c r="E87" s="7" t="s">
        <v>1379</v>
      </c>
      <c r="F87" s="7" t="s">
        <v>1380</v>
      </c>
      <c r="G87" s="7" t="s">
        <v>962</v>
      </c>
      <c r="H87">
        <v>61</v>
      </c>
      <c r="I87">
        <v>78</v>
      </c>
      <c r="J87">
        <v>85</v>
      </c>
      <c r="K87">
        <v>72</v>
      </c>
      <c r="L87" s="5">
        <v>74</v>
      </c>
      <c r="M87">
        <v>53</v>
      </c>
      <c r="N87">
        <v>65</v>
      </c>
      <c r="O87" s="5">
        <v>23.699999999999996</v>
      </c>
      <c r="P87" s="5">
        <v>78.999999999999986</v>
      </c>
      <c r="Q87" s="11">
        <v>78.999999999999986</v>
      </c>
      <c r="R87" s="10">
        <v>3.268393590416499E-2</v>
      </c>
      <c r="S87" s="10">
        <v>0.46214999999999995</v>
      </c>
      <c r="T87" t="s">
        <v>150</v>
      </c>
      <c r="U87">
        <v>31</v>
      </c>
      <c r="V87">
        <v>83</v>
      </c>
      <c r="W87" s="49">
        <v>39.699999999999989</v>
      </c>
      <c r="X87" t="str">
        <f t="shared" si="4"/>
        <v>Ja74</v>
      </c>
      <c r="Y87">
        <f>IFERROR(VLOOKUP('Season 1 - Player Stats'!G87,'Season 1 - League Table'!$T$2:$W$177,4,FALSE),0)</f>
        <v>24</v>
      </c>
      <c r="Z87">
        <f>38</f>
        <v>38</v>
      </c>
      <c r="AA87">
        <f t="shared" si="5"/>
        <v>24</v>
      </c>
      <c r="AB87">
        <f t="shared" si="6"/>
        <v>0</v>
      </c>
      <c r="AC87">
        <f t="shared" si="7"/>
        <v>0</v>
      </c>
    </row>
    <row r="88" spans="1:29" x14ac:dyDescent="0.25">
      <c r="A88" s="8">
        <v>94</v>
      </c>
      <c r="B88" s="7" t="s">
        <v>31</v>
      </c>
      <c r="C88" s="8" t="s">
        <v>45</v>
      </c>
      <c r="D88" s="7" t="s">
        <v>1029</v>
      </c>
      <c r="E88" s="7" t="s">
        <v>1030</v>
      </c>
      <c r="F88" s="7" t="s">
        <v>1031</v>
      </c>
      <c r="G88" s="7" t="s">
        <v>1032</v>
      </c>
      <c r="H88">
        <v>90</v>
      </c>
      <c r="I88">
        <v>79</v>
      </c>
      <c r="J88">
        <v>72</v>
      </c>
      <c r="K88">
        <v>84</v>
      </c>
      <c r="L88" s="5">
        <v>81.25</v>
      </c>
      <c r="M88">
        <v>45</v>
      </c>
      <c r="N88">
        <v>75</v>
      </c>
      <c r="O88" s="5">
        <v>47.16</v>
      </c>
      <c r="P88" s="5">
        <v>70.739999999999995</v>
      </c>
      <c r="Q88" s="11">
        <v>78.599999999999994</v>
      </c>
      <c r="R88" s="10">
        <v>8.7328077476818519E-2</v>
      </c>
      <c r="S88" s="10">
        <v>1.0610999999999999</v>
      </c>
      <c r="T88" t="s">
        <v>140</v>
      </c>
      <c r="U88">
        <v>24</v>
      </c>
      <c r="V88">
        <v>81</v>
      </c>
      <c r="W88" s="49">
        <v>39.199999999999989</v>
      </c>
      <c r="X88" t="str">
        <f t="shared" si="4"/>
        <v>Ti84</v>
      </c>
      <c r="Y88">
        <f>IFERROR(VLOOKUP('Season 1 - Player Stats'!G88,'Season 1 - League Table'!$T$2:$W$177,4,FALSE),0)</f>
        <v>9</v>
      </c>
      <c r="Z88">
        <f>38</f>
        <v>38</v>
      </c>
      <c r="AA88">
        <f t="shared" si="5"/>
        <v>9</v>
      </c>
      <c r="AB88">
        <f t="shared" si="6"/>
        <v>0</v>
      </c>
      <c r="AC88">
        <f t="shared" si="7"/>
        <v>0</v>
      </c>
    </row>
    <row r="89" spans="1:29" x14ac:dyDescent="0.25">
      <c r="A89" s="8">
        <v>143</v>
      </c>
      <c r="B89" s="7" t="s">
        <v>35</v>
      </c>
      <c r="C89" s="8" t="s">
        <v>53</v>
      </c>
      <c r="D89" s="7" t="s">
        <v>879</v>
      </c>
      <c r="E89" s="7" t="s">
        <v>880</v>
      </c>
      <c r="F89" s="7" t="s">
        <v>881</v>
      </c>
      <c r="G89" s="7" t="s">
        <v>882</v>
      </c>
      <c r="H89">
        <v>60</v>
      </c>
      <c r="I89">
        <v>100</v>
      </c>
      <c r="J89">
        <v>25</v>
      </c>
      <c r="K89">
        <v>79</v>
      </c>
      <c r="L89" s="5">
        <v>66</v>
      </c>
      <c r="M89">
        <v>80</v>
      </c>
      <c r="N89">
        <v>93</v>
      </c>
      <c r="O89" s="5">
        <v>72.800000000000011</v>
      </c>
      <c r="P89" s="5">
        <v>21.840000000000003</v>
      </c>
      <c r="Q89" s="11">
        <v>72.800000000000011</v>
      </c>
      <c r="R89" s="10">
        <v>0.22511843107166318</v>
      </c>
      <c r="S89" s="10">
        <v>2.0311200000000005</v>
      </c>
      <c r="T89" t="s">
        <v>158</v>
      </c>
      <c r="U89">
        <v>24</v>
      </c>
      <c r="V89">
        <v>86</v>
      </c>
      <c r="W89" s="49">
        <v>38.800000000000011</v>
      </c>
      <c r="X89" t="str">
        <f t="shared" si="4"/>
        <v>Do68</v>
      </c>
      <c r="Y89">
        <f>IFERROR(VLOOKUP('Season 1 - Player Stats'!G89,'Season 1 - League Table'!$T$2:$W$177,4,FALSE),0)</f>
        <v>0</v>
      </c>
      <c r="Z89">
        <f>38</f>
        <v>38</v>
      </c>
      <c r="AA89">
        <f t="shared" si="5"/>
        <v>0</v>
      </c>
      <c r="AB89">
        <f t="shared" si="6"/>
        <v>0</v>
      </c>
      <c r="AC89">
        <f t="shared" si="7"/>
        <v>0</v>
      </c>
    </row>
    <row r="90" spans="1:29" x14ac:dyDescent="0.25">
      <c r="A90" s="8">
        <v>190</v>
      </c>
      <c r="B90" s="7" t="s">
        <v>40</v>
      </c>
      <c r="C90" s="8" t="s">
        <v>56</v>
      </c>
      <c r="D90" s="7" t="s">
        <v>1381</v>
      </c>
      <c r="E90" s="7" t="s">
        <v>1382</v>
      </c>
      <c r="F90" s="7" t="s">
        <v>1383</v>
      </c>
      <c r="G90" s="7" t="s">
        <v>1384</v>
      </c>
      <c r="H90">
        <v>50</v>
      </c>
      <c r="I90">
        <v>79</v>
      </c>
      <c r="J90">
        <v>80</v>
      </c>
      <c r="K90">
        <v>74</v>
      </c>
      <c r="L90" s="5">
        <v>70.75</v>
      </c>
      <c r="M90">
        <v>55</v>
      </c>
      <c r="N90">
        <v>80</v>
      </c>
      <c r="O90" s="5">
        <v>22.559999999999995</v>
      </c>
      <c r="P90" s="5">
        <v>75.199999999999989</v>
      </c>
      <c r="Q90" s="11">
        <v>75.199999999999989</v>
      </c>
      <c r="R90" s="10">
        <v>3.6872861664562634E-2</v>
      </c>
      <c r="S90" s="10">
        <v>0.54143999999999992</v>
      </c>
      <c r="T90" t="s">
        <v>154</v>
      </c>
      <c r="U90">
        <v>28</v>
      </c>
      <c r="V90">
        <v>84</v>
      </c>
      <c r="W90" s="49">
        <v>38.599999999999994</v>
      </c>
      <c r="X90" t="str">
        <f t="shared" si="4"/>
        <v>St83</v>
      </c>
      <c r="Y90">
        <f>IFERROR(VLOOKUP('Season 1 - Player Stats'!G90,'Season 1 - League Table'!$T$2:$W$177,4,FALSE),0)</f>
        <v>1</v>
      </c>
      <c r="Z90">
        <f>38</f>
        <v>38</v>
      </c>
      <c r="AA90">
        <f t="shared" si="5"/>
        <v>1</v>
      </c>
      <c r="AB90">
        <f t="shared" si="6"/>
        <v>0</v>
      </c>
      <c r="AC90">
        <f t="shared" si="7"/>
        <v>0</v>
      </c>
    </row>
    <row r="91" spans="1:29" x14ac:dyDescent="0.25">
      <c r="A91" s="8">
        <v>33</v>
      </c>
      <c r="B91" s="7" t="s">
        <v>25</v>
      </c>
      <c r="C91" s="8" t="s">
        <v>53</v>
      </c>
      <c r="D91" s="7" t="s">
        <v>848</v>
      </c>
      <c r="E91" s="7" t="s">
        <v>1276</v>
      </c>
      <c r="F91" s="7" t="s">
        <v>1277</v>
      </c>
      <c r="G91" s="7" t="s">
        <v>1278</v>
      </c>
      <c r="H91">
        <v>94</v>
      </c>
      <c r="I91">
        <v>23</v>
      </c>
      <c r="J91">
        <v>22</v>
      </c>
      <c r="K91">
        <v>89</v>
      </c>
      <c r="L91" s="5">
        <v>57</v>
      </c>
      <c r="M91">
        <v>94</v>
      </c>
      <c r="N91">
        <v>17</v>
      </c>
      <c r="O91" s="5">
        <v>77.5</v>
      </c>
      <c r="P91" s="5">
        <v>23.25</v>
      </c>
      <c r="Q91" s="11">
        <v>77.5</v>
      </c>
      <c r="R91" s="10">
        <v>0.23966889303547659</v>
      </c>
      <c r="S91" s="10">
        <v>0.39524999999999999</v>
      </c>
      <c r="T91" t="s">
        <v>142</v>
      </c>
      <c r="U91">
        <v>22</v>
      </c>
      <c r="V91">
        <v>80</v>
      </c>
      <c r="W91" s="49">
        <v>38.349999999999994</v>
      </c>
      <c r="X91" t="str">
        <f t="shared" si="4"/>
        <v>Co67</v>
      </c>
      <c r="Y91">
        <f>IFERROR(VLOOKUP('Season 1 - Player Stats'!G91,'Season 1 - League Table'!$T$2:$W$177,4,FALSE),0)</f>
        <v>10</v>
      </c>
      <c r="Z91">
        <f>38</f>
        <v>38</v>
      </c>
      <c r="AA91">
        <f t="shared" si="5"/>
        <v>10</v>
      </c>
      <c r="AB91">
        <f t="shared" si="6"/>
        <v>0</v>
      </c>
      <c r="AC91">
        <f t="shared" si="7"/>
        <v>0</v>
      </c>
    </row>
    <row r="92" spans="1:29" x14ac:dyDescent="0.25">
      <c r="A92" s="8">
        <v>134</v>
      </c>
      <c r="B92" s="7" t="s">
        <v>35</v>
      </c>
      <c r="C92" s="8" t="s">
        <v>54</v>
      </c>
      <c r="D92" s="7" t="s">
        <v>843</v>
      </c>
      <c r="E92" s="7" t="s">
        <v>844</v>
      </c>
      <c r="F92" s="7" t="s">
        <v>845</v>
      </c>
      <c r="G92" s="7" t="s">
        <v>846</v>
      </c>
      <c r="H92">
        <v>78</v>
      </c>
      <c r="I92">
        <v>100</v>
      </c>
      <c r="J92">
        <v>34</v>
      </c>
      <c r="K92">
        <v>87</v>
      </c>
      <c r="L92" s="5">
        <v>74.75</v>
      </c>
      <c r="M92">
        <v>84</v>
      </c>
      <c r="N92">
        <v>95</v>
      </c>
      <c r="O92" s="5">
        <v>27.879999999999995</v>
      </c>
      <c r="P92" s="5">
        <v>62.72999999999999</v>
      </c>
      <c r="Q92" s="11">
        <v>69.699999999999989</v>
      </c>
      <c r="R92" s="10">
        <v>4.3430577594875633E-2</v>
      </c>
      <c r="S92" s="10">
        <v>0.79457999999999984</v>
      </c>
      <c r="T92" t="s">
        <v>158</v>
      </c>
      <c r="U92">
        <v>19</v>
      </c>
      <c r="V92">
        <v>87</v>
      </c>
      <c r="W92" s="49">
        <v>38.25</v>
      </c>
      <c r="X92" t="str">
        <f t="shared" si="4"/>
        <v>Do68</v>
      </c>
      <c r="Y92">
        <f>IFERROR(VLOOKUP('Season 1 - Player Stats'!G92,'Season 1 - League Table'!$T$2:$W$177,4,FALSE),0)</f>
        <v>2</v>
      </c>
      <c r="Z92">
        <f>38</f>
        <v>38</v>
      </c>
      <c r="AA92">
        <f t="shared" si="5"/>
        <v>2</v>
      </c>
      <c r="AB92">
        <f t="shared" si="6"/>
        <v>0</v>
      </c>
      <c r="AC92">
        <f t="shared" si="7"/>
        <v>0</v>
      </c>
    </row>
    <row r="93" spans="1:29" x14ac:dyDescent="0.25">
      <c r="A93" s="8">
        <v>152</v>
      </c>
      <c r="B93" s="7" t="s">
        <v>36</v>
      </c>
      <c r="C93" s="8" t="s">
        <v>52</v>
      </c>
      <c r="D93" s="7" t="s">
        <v>1385</v>
      </c>
      <c r="E93" s="7" t="s">
        <v>924</v>
      </c>
      <c r="F93" s="7" t="s">
        <v>925</v>
      </c>
      <c r="G93" s="7" t="s">
        <v>1386</v>
      </c>
      <c r="H93">
        <v>69</v>
      </c>
      <c r="I93">
        <v>79</v>
      </c>
      <c r="J93">
        <v>69</v>
      </c>
      <c r="K93">
        <v>82</v>
      </c>
      <c r="L93" s="5">
        <v>74.75</v>
      </c>
      <c r="M93">
        <v>55</v>
      </c>
      <c r="N93">
        <v>55</v>
      </c>
      <c r="O93" s="5">
        <v>76.349999999999994</v>
      </c>
      <c r="P93" s="5">
        <v>22.904999999999998</v>
      </c>
      <c r="Q93" s="11">
        <v>76.349999999999994</v>
      </c>
      <c r="R93" s="10">
        <v>0.20901231899719042</v>
      </c>
      <c r="S93" s="10">
        <v>1.2597749999999999</v>
      </c>
      <c r="T93" t="s">
        <v>150</v>
      </c>
      <c r="U93">
        <v>18</v>
      </c>
      <c r="V93">
        <v>79</v>
      </c>
      <c r="W93" s="49">
        <v>37.674999999999997</v>
      </c>
      <c r="X93" t="str">
        <f t="shared" si="4"/>
        <v>Ja74</v>
      </c>
      <c r="Y93">
        <f>IFERROR(VLOOKUP('Season 1 - Player Stats'!G93,'Season 1 - League Table'!$T$2:$W$177,4,FALSE),0)</f>
        <v>13</v>
      </c>
      <c r="Z93">
        <f>38</f>
        <v>38</v>
      </c>
      <c r="AA93">
        <f t="shared" si="5"/>
        <v>13</v>
      </c>
      <c r="AB93">
        <f t="shared" si="6"/>
        <v>0</v>
      </c>
      <c r="AC93">
        <f t="shared" si="7"/>
        <v>0</v>
      </c>
    </row>
    <row r="94" spans="1:29" x14ac:dyDescent="0.25">
      <c r="A94" s="8">
        <v>117</v>
      </c>
      <c r="B94" s="7" t="s">
        <v>33</v>
      </c>
      <c r="C94" s="8" t="s">
        <v>57</v>
      </c>
      <c r="D94" s="7" t="s">
        <v>947</v>
      </c>
      <c r="E94" s="7" t="s">
        <v>948</v>
      </c>
      <c r="F94" s="7" t="s">
        <v>949</v>
      </c>
      <c r="G94" s="7" t="s">
        <v>950</v>
      </c>
      <c r="H94">
        <v>89</v>
      </c>
      <c r="I94">
        <v>77</v>
      </c>
      <c r="J94">
        <v>19</v>
      </c>
      <c r="K94">
        <v>98</v>
      </c>
      <c r="L94" s="5">
        <v>70.75</v>
      </c>
      <c r="M94">
        <v>82</v>
      </c>
      <c r="N94">
        <v>79</v>
      </c>
      <c r="O94" s="5">
        <v>55.837500000000006</v>
      </c>
      <c r="P94" s="5">
        <v>55.837500000000006</v>
      </c>
      <c r="Q94" s="11">
        <v>74.45</v>
      </c>
      <c r="R94" s="10">
        <v>0.11400875930293101</v>
      </c>
      <c r="S94" s="10">
        <v>1.3233487500000003</v>
      </c>
      <c r="T94" t="s">
        <v>148</v>
      </c>
      <c r="U94">
        <v>26</v>
      </c>
      <c r="V94">
        <v>82</v>
      </c>
      <c r="W94" s="49">
        <v>37.425000000000011</v>
      </c>
      <c r="X94" t="str">
        <f t="shared" si="4"/>
        <v>Ha72</v>
      </c>
      <c r="Y94">
        <f>IFERROR(VLOOKUP('Season 1 - Player Stats'!G94,'Season 1 - League Table'!$T$2:$W$177,4,FALSE),0)</f>
        <v>14</v>
      </c>
      <c r="Z94">
        <f>38</f>
        <v>38</v>
      </c>
      <c r="AA94">
        <f t="shared" si="5"/>
        <v>14</v>
      </c>
      <c r="AB94">
        <f t="shared" si="6"/>
        <v>0</v>
      </c>
      <c r="AC94">
        <f t="shared" si="7"/>
        <v>0</v>
      </c>
    </row>
    <row r="95" spans="1:29" x14ac:dyDescent="0.25">
      <c r="A95" s="8">
        <v>13</v>
      </c>
      <c r="B95" s="7" t="s">
        <v>23</v>
      </c>
      <c r="C95" s="8" t="s">
        <v>54</v>
      </c>
      <c r="D95" s="7" t="s">
        <v>1282</v>
      </c>
      <c r="E95" s="7" t="s">
        <v>1283</v>
      </c>
      <c r="F95" s="7" t="s">
        <v>1284</v>
      </c>
      <c r="G95" s="7" t="s">
        <v>1285</v>
      </c>
      <c r="H95">
        <v>64</v>
      </c>
      <c r="I95">
        <v>68</v>
      </c>
      <c r="J95">
        <v>80</v>
      </c>
      <c r="K95">
        <v>82</v>
      </c>
      <c r="L95" s="5">
        <v>73.5</v>
      </c>
      <c r="M95">
        <v>52</v>
      </c>
      <c r="N95">
        <v>64</v>
      </c>
      <c r="O95" s="5">
        <v>30.32</v>
      </c>
      <c r="P95" s="5">
        <v>68.22</v>
      </c>
      <c r="Q95" s="11">
        <v>75.8</v>
      </c>
      <c r="R95" s="10">
        <v>3.6411607606961702E-2</v>
      </c>
      <c r="S95" s="10">
        <v>0.58214400000000011</v>
      </c>
      <c r="T95" t="s">
        <v>144</v>
      </c>
      <c r="U95">
        <v>28</v>
      </c>
      <c r="V95">
        <v>81</v>
      </c>
      <c r="W95" s="49">
        <v>37.400000000000006</v>
      </c>
      <c r="X95" t="str">
        <f t="shared" si="4"/>
        <v>Li76</v>
      </c>
      <c r="Y95">
        <f>IFERROR(VLOOKUP('Season 1 - Player Stats'!G95,'Season 1 - League Table'!$T$2:$W$177,4,FALSE),0)</f>
        <v>20</v>
      </c>
      <c r="Z95">
        <f>38</f>
        <v>38</v>
      </c>
      <c r="AA95">
        <f t="shared" si="5"/>
        <v>20</v>
      </c>
      <c r="AB95">
        <f t="shared" si="6"/>
        <v>0</v>
      </c>
      <c r="AC95">
        <f t="shared" si="7"/>
        <v>0</v>
      </c>
    </row>
    <row r="96" spans="1:29" x14ac:dyDescent="0.25">
      <c r="A96" s="8">
        <v>144</v>
      </c>
      <c r="B96" s="7" t="s">
        <v>36</v>
      </c>
      <c r="C96" s="8" t="s">
        <v>11</v>
      </c>
      <c r="D96" s="7" t="s">
        <v>947</v>
      </c>
      <c r="E96" s="7" t="s">
        <v>1387</v>
      </c>
      <c r="F96" s="7" t="s">
        <v>1388</v>
      </c>
      <c r="G96" s="7" t="s">
        <v>1389</v>
      </c>
      <c r="H96">
        <v>71</v>
      </c>
      <c r="I96">
        <v>73</v>
      </c>
      <c r="J96">
        <v>91</v>
      </c>
      <c r="K96">
        <v>79</v>
      </c>
      <c r="L96" s="5">
        <v>78.5</v>
      </c>
      <c r="M96">
        <v>45</v>
      </c>
      <c r="N96">
        <v>65</v>
      </c>
      <c r="O96" s="5">
        <v>0</v>
      </c>
      <c r="P96" s="5">
        <v>74.900000000000006</v>
      </c>
      <c r="Q96" s="11">
        <v>74.900000000000006</v>
      </c>
      <c r="R96" s="10">
        <v>0</v>
      </c>
      <c r="S96" s="10">
        <v>0</v>
      </c>
      <c r="T96" t="s">
        <v>150</v>
      </c>
      <c r="U96">
        <v>29</v>
      </c>
      <c r="V96">
        <v>82</v>
      </c>
      <c r="W96" s="49">
        <v>37.349999999999994</v>
      </c>
      <c r="X96" t="str">
        <f t="shared" si="4"/>
        <v>Ja74</v>
      </c>
      <c r="Y96">
        <f>IFERROR(VLOOKUP('Season 1 - Player Stats'!G96,'Season 1 - League Table'!$T$2:$W$177,4,FALSE),0)</f>
        <v>0</v>
      </c>
      <c r="Z96">
        <f>38</f>
        <v>38</v>
      </c>
      <c r="AA96">
        <f t="shared" si="5"/>
        <v>0</v>
      </c>
      <c r="AB96">
        <f t="shared" si="6"/>
        <v>0</v>
      </c>
      <c r="AC96">
        <f t="shared" si="7"/>
        <v>0</v>
      </c>
    </row>
    <row r="97" spans="1:29" x14ac:dyDescent="0.25">
      <c r="A97" s="8">
        <v>192</v>
      </c>
      <c r="B97" s="7" t="s">
        <v>40</v>
      </c>
      <c r="C97" s="8" t="s">
        <v>55</v>
      </c>
      <c r="D97" s="7" t="s">
        <v>1390</v>
      </c>
      <c r="E97" s="7" t="s">
        <v>1391</v>
      </c>
      <c r="F97" s="7" t="s">
        <v>1392</v>
      </c>
      <c r="G97" s="7" t="s">
        <v>1393</v>
      </c>
      <c r="H97">
        <v>52</v>
      </c>
      <c r="I97">
        <v>68</v>
      </c>
      <c r="J97">
        <v>90</v>
      </c>
      <c r="K97">
        <v>64</v>
      </c>
      <c r="L97" s="5">
        <v>68.5</v>
      </c>
      <c r="M97">
        <v>57</v>
      </c>
      <c r="N97">
        <v>80</v>
      </c>
      <c r="O97" s="5">
        <v>28.84</v>
      </c>
      <c r="P97" s="5">
        <v>64.89</v>
      </c>
      <c r="Q97" s="11">
        <v>72.099999999999994</v>
      </c>
      <c r="R97" s="10">
        <v>4.7137115709485221E-2</v>
      </c>
      <c r="S97" s="10">
        <v>0.69216</v>
      </c>
      <c r="T97" t="s">
        <v>154</v>
      </c>
      <c r="U97">
        <v>28</v>
      </c>
      <c r="V97">
        <v>84</v>
      </c>
      <c r="W97" s="49">
        <v>37.049999999999997</v>
      </c>
      <c r="X97" t="str">
        <f t="shared" si="4"/>
        <v>St83</v>
      </c>
      <c r="Y97">
        <f>IFERROR(VLOOKUP('Season 1 - Player Stats'!G97,'Season 1 - League Table'!$T$2:$W$177,4,FALSE),0)</f>
        <v>6</v>
      </c>
      <c r="Z97">
        <f>38</f>
        <v>38</v>
      </c>
      <c r="AA97">
        <f t="shared" si="5"/>
        <v>6</v>
      </c>
      <c r="AB97">
        <f t="shared" si="6"/>
        <v>0</v>
      </c>
      <c r="AC97">
        <f t="shared" si="7"/>
        <v>0</v>
      </c>
    </row>
    <row r="98" spans="1:29" x14ac:dyDescent="0.25">
      <c r="A98" s="8">
        <v>145</v>
      </c>
      <c r="B98" s="7" t="s">
        <v>36</v>
      </c>
      <c r="C98" s="8" t="s">
        <v>54</v>
      </c>
      <c r="D98" s="7" t="s">
        <v>951</v>
      </c>
      <c r="E98" s="7" t="s">
        <v>1394</v>
      </c>
      <c r="F98" s="7" t="s">
        <v>1395</v>
      </c>
      <c r="G98" s="7" t="s">
        <v>954</v>
      </c>
      <c r="H98">
        <v>83</v>
      </c>
      <c r="I98">
        <v>73</v>
      </c>
      <c r="J98">
        <v>72</v>
      </c>
      <c r="K98">
        <v>79</v>
      </c>
      <c r="L98" s="5">
        <v>76.75</v>
      </c>
      <c r="M98">
        <v>46</v>
      </c>
      <c r="N98">
        <v>64</v>
      </c>
      <c r="O98" s="5">
        <v>30.380000000000003</v>
      </c>
      <c r="P98" s="5">
        <v>68.355000000000004</v>
      </c>
      <c r="Q98" s="11">
        <v>75.95</v>
      </c>
      <c r="R98" s="10">
        <v>4.1896116994452864E-2</v>
      </c>
      <c r="S98" s="10">
        <v>0.58329600000000004</v>
      </c>
      <c r="T98" t="s">
        <v>150</v>
      </c>
      <c r="U98">
        <v>18</v>
      </c>
      <c r="V98">
        <v>78</v>
      </c>
      <c r="W98" s="49">
        <v>36.974999999999994</v>
      </c>
      <c r="X98" t="str">
        <f t="shared" si="4"/>
        <v>Ja74</v>
      </c>
      <c r="Y98">
        <f>IFERROR(VLOOKUP('Season 1 - Player Stats'!G98,'Season 1 - League Table'!$T$2:$W$177,4,FALSE),0)</f>
        <v>17</v>
      </c>
      <c r="Z98">
        <f>38</f>
        <v>38</v>
      </c>
      <c r="AA98">
        <f t="shared" si="5"/>
        <v>17</v>
      </c>
      <c r="AB98">
        <f t="shared" si="6"/>
        <v>0</v>
      </c>
      <c r="AC98">
        <f t="shared" si="7"/>
        <v>0</v>
      </c>
    </row>
    <row r="99" spans="1:29" x14ac:dyDescent="0.25">
      <c r="A99" s="8">
        <v>120</v>
      </c>
      <c r="B99" s="7" t="s">
        <v>33</v>
      </c>
      <c r="C99" s="8" t="s">
        <v>59</v>
      </c>
      <c r="D99" s="7" t="s">
        <v>959</v>
      </c>
      <c r="E99" s="7" t="s">
        <v>960</v>
      </c>
      <c r="F99" s="7" t="s">
        <v>961</v>
      </c>
      <c r="G99" s="7" t="s">
        <v>962</v>
      </c>
      <c r="H99">
        <v>100</v>
      </c>
      <c r="I99">
        <v>77</v>
      </c>
      <c r="J99">
        <v>0</v>
      </c>
      <c r="K99">
        <v>79</v>
      </c>
      <c r="L99" s="5">
        <v>64</v>
      </c>
      <c r="M99">
        <v>85</v>
      </c>
      <c r="N99">
        <v>77</v>
      </c>
      <c r="O99" s="5">
        <v>77.95</v>
      </c>
      <c r="P99" s="5">
        <v>23.385000000000002</v>
      </c>
      <c r="Q99" s="11">
        <v>77.95</v>
      </c>
      <c r="R99" s="10">
        <v>0.21168009147244091</v>
      </c>
      <c r="S99" s="10">
        <v>1.8006450000000003</v>
      </c>
      <c r="T99" t="s">
        <v>148</v>
      </c>
      <c r="U99">
        <v>34</v>
      </c>
      <c r="V99">
        <v>79</v>
      </c>
      <c r="W99" s="49">
        <v>36.875</v>
      </c>
      <c r="X99" t="str">
        <f t="shared" si="4"/>
        <v>Ha72</v>
      </c>
      <c r="Y99">
        <f>IFERROR(VLOOKUP('Season 1 - Player Stats'!G99,'Season 1 - League Table'!$T$2:$W$177,4,FALSE),0)</f>
        <v>24</v>
      </c>
      <c r="Z99">
        <f>38</f>
        <v>38</v>
      </c>
      <c r="AA99">
        <f t="shared" si="5"/>
        <v>24</v>
      </c>
      <c r="AB99">
        <f t="shared" si="6"/>
        <v>0</v>
      </c>
      <c r="AC99">
        <f t="shared" si="7"/>
        <v>0</v>
      </c>
    </row>
    <row r="100" spans="1:29" x14ac:dyDescent="0.25">
      <c r="A100" s="8">
        <v>1</v>
      </c>
      <c r="B100" s="7" t="s">
        <v>21</v>
      </c>
      <c r="C100" s="8" t="s">
        <v>11</v>
      </c>
      <c r="D100" s="7" t="s">
        <v>1316</v>
      </c>
      <c r="E100" s="7" t="s">
        <v>1187</v>
      </c>
      <c r="F100" s="7" t="s">
        <v>1317</v>
      </c>
      <c r="G100" s="7" t="s">
        <v>1318</v>
      </c>
      <c r="H100">
        <v>87</v>
      </c>
      <c r="I100">
        <v>81</v>
      </c>
      <c r="J100">
        <v>15</v>
      </c>
      <c r="K100">
        <v>79</v>
      </c>
      <c r="L100" s="5">
        <v>65.5</v>
      </c>
      <c r="M100">
        <v>91</v>
      </c>
      <c r="N100">
        <v>24</v>
      </c>
      <c r="O100" s="5">
        <v>0</v>
      </c>
      <c r="P100" s="5">
        <v>76.5</v>
      </c>
      <c r="Q100" s="11">
        <v>76.5</v>
      </c>
      <c r="R100" s="10">
        <v>0</v>
      </c>
      <c r="S100" s="10">
        <v>0</v>
      </c>
      <c r="T100" t="s">
        <v>143</v>
      </c>
      <c r="U100">
        <v>32</v>
      </c>
      <c r="V100">
        <v>80</v>
      </c>
      <c r="W100" s="49">
        <v>36.849999999999994</v>
      </c>
      <c r="X100" t="str">
        <f t="shared" si="4"/>
        <v>Ea69</v>
      </c>
      <c r="Y100">
        <f>IFERROR(VLOOKUP('Season 1 - Player Stats'!G100,'Season 1 - League Table'!$T$2:$W$177,4,FALSE),0)</f>
        <v>0</v>
      </c>
      <c r="Z100">
        <f>38</f>
        <v>38</v>
      </c>
      <c r="AA100">
        <f t="shared" si="5"/>
        <v>0</v>
      </c>
      <c r="AB100">
        <f t="shared" si="6"/>
        <v>0</v>
      </c>
      <c r="AC100">
        <f t="shared" si="7"/>
        <v>0</v>
      </c>
    </row>
    <row r="101" spans="1:29" x14ac:dyDescent="0.25">
      <c r="A101" s="8">
        <v>183</v>
      </c>
      <c r="B101" s="7" t="s">
        <v>39</v>
      </c>
      <c r="C101" s="8" t="s">
        <v>57</v>
      </c>
      <c r="D101" s="7" t="s">
        <v>734</v>
      </c>
      <c r="E101" s="7" t="s">
        <v>735</v>
      </c>
      <c r="F101" s="7" t="s">
        <v>736</v>
      </c>
      <c r="G101" s="7" t="s">
        <v>737</v>
      </c>
      <c r="H101">
        <v>90</v>
      </c>
      <c r="I101">
        <v>89</v>
      </c>
      <c r="J101">
        <v>18</v>
      </c>
      <c r="K101">
        <v>67</v>
      </c>
      <c r="L101" s="5">
        <v>66</v>
      </c>
      <c r="M101">
        <v>92</v>
      </c>
      <c r="N101">
        <v>96</v>
      </c>
      <c r="O101" s="5">
        <v>56.474999999999994</v>
      </c>
      <c r="P101" s="5">
        <v>56.474999999999994</v>
      </c>
      <c r="Q101" s="11">
        <v>75.3</v>
      </c>
      <c r="R101" s="10">
        <v>0.13443467807685211</v>
      </c>
      <c r="S101" s="10">
        <v>1.6264799999999999</v>
      </c>
      <c r="T101" t="s">
        <v>153</v>
      </c>
      <c r="U101">
        <v>27</v>
      </c>
      <c r="V101">
        <v>80</v>
      </c>
      <c r="W101" s="49">
        <v>36.75</v>
      </c>
      <c r="X101" t="str">
        <f t="shared" si="4"/>
        <v>Ra82</v>
      </c>
      <c r="Y101">
        <f>IFERROR(VLOOKUP('Season 1 - Player Stats'!G101,'Season 1 - League Table'!$T$2:$W$177,4,FALSE),0)</f>
        <v>2</v>
      </c>
      <c r="Z101">
        <f>38</f>
        <v>38</v>
      </c>
      <c r="AA101">
        <f t="shared" si="5"/>
        <v>2</v>
      </c>
      <c r="AB101">
        <f t="shared" si="6"/>
        <v>0</v>
      </c>
      <c r="AC101">
        <f t="shared" si="7"/>
        <v>0</v>
      </c>
    </row>
    <row r="102" spans="1:29" x14ac:dyDescent="0.25">
      <c r="A102" s="8">
        <v>150</v>
      </c>
      <c r="B102" s="7" t="s">
        <v>36</v>
      </c>
      <c r="C102" s="8" t="s">
        <v>57</v>
      </c>
      <c r="D102" s="7" t="s">
        <v>1396</v>
      </c>
      <c r="E102" s="7" t="s">
        <v>1397</v>
      </c>
      <c r="F102" s="7" t="s">
        <v>1398</v>
      </c>
      <c r="G102" s="7" t="s">
        <v>1399</v>
      </c>
      <c r="H102">
        <v>60</v>
      </c>
      <c r="I102">
        <v>83</v>
      </c>
      <c r="J102">
        <v>86</v>
      </c>
      <c r="K102">
        <v>73</v>
      </c>
      <c r="L102" s="5">
        <v>75.5</v>
      </c>
      <c r="M102">
        <v>51</v>
      </c>
      <c r="N102">
        <v>61</v>
      </c>
      <c r="O102" s="5">
        <v>57.150000000000006</v>
      </c>
      <c r="P102" s="5">
        <v>57.150000000000006</v>
      </c>
      <c r="Q102" s="11">
        <v>76.2</v>
      </c>
      <c r="R102" s="10">
        <v>0.11763252956250581</v>
      </c>
      <c r="S102" s="10">
        <v>1.0458449999999999</v>
      </c>
      <c r="T102" t="s">
        <v>150</v>
      </c>
      <c r="U102">
        <v>32</v>
      </c>
      <c r="V102">
        <v>80</v>
      </c>
      <c r="W102" s="49">
        <v>36.700000000000003</v>
      </c>
      <c r="X102" t="str">
        <f t="shared" si="4"/>
        <v>Ja74</v>
      </c>
      <c r="Y102">
        <f>IFERROR(VLOOKUP('Season 1 - Player Stats'!G102,'Season 1 - League Table'!$T$2:$W$177,4,FALSE),0)</f>
        <v>10</v>
      </c>
      <c r="Z102">
        <f>38</f>
        <v>38</v>
      </c>
      <c r="AA102">
        <f t="shared" si="5"/>
        <v>10</v>
      </c>
      <c r="AB102">
        <f t="shared" si="6"/>
        <v>0</v>
      </c>
      <c r="AC102">
        <f t="shared" si="7"/>
        <v>0</v>
      </c>
    </row>
    <row r="103" spans="1:29" x14ac:dyDescent="0.25">
      <c r="A103" s="8">
        <v>68</v>
      </c>
      <c r="B103" s="7" t="s">
        <v>29</v>
      </c>
      <c r="C103" s="8" t="s">
        <v>54</v>
      </c>
      <c r="D103" s="7" t="s">
        <v>1091</v>
      </c>
      <c r="E103" s="7" t="s">
        <v>1092</v>
      </c>
      <c r="F103" s="7" t="s">
        <v>1093</v>
      </c>
      <c r="G103" s="7" t="s">
        <v>1094</v>
      </c>
      <c r="H103">
        <v>83</v>
      </c>
      <c r="I103">
        <v>85</v>
      </c>
      <c r="J103">
        <v>56</v>
      </c>
      <c r="K103">
        <v>93</v>
      </c>
      <c r="L103" s="5">
        <v>79.25</v>
      </c>
      <c r="M103">
        <v>81</v>
      </c>
      <c r="N103">
        <v>96</v>
      </c>
      <c r="O103" s="5">
        <v>30.779999999999998</v>
      </c>
      <c r="P103" s="5">
        <v>69.254999999999995</v>
      </c>
      <c r="Q103" s="11">
        <v>76.949999999999989</v>
      </c>
      <c r="R103" s="10">
        <v>3.9701219570888152E-2</v>
      </c>
      <c r="S103" s="10">
        <v>0.88646399999999992</v>
      </c>
      <c r="T103" t="s">
        <v>147</v>
      </c>
      <c r="U103">
        <v>28</v>
      </c>
      <c r="V103">
        <v>78</v>
      </c>
      <c r="W103" s="49">
        <v>36.474999999999994</v>
      </c>
      <c r="X103" t="str">
        <f t="shared" si="4"/>
        <v>Wo87</v>
      </c>
      <c r="Y103">
        <f>IFERROR(VLOOKUP('Season 1 - Player Stats'!G103,'Season 1 - League Table'!$T$2:$W$177,4,FALSE),0)</f>
        <v>2</v>
      </c>
      <c r="Z103">
        <f>38</f>
        <v>38</v>
      </c>
      <c r="AA103">
        <f t="shared" si="5"/>
        <v>2</v>
      </c>
      <c r="AB103">
        <f t="shared" si="6"/>
        <v>1</v>
      </c>
      <c r="AC103">
        <f t="shared" si="7"/>
        <v>1</v>
      </c>
    </row>
    <row r="104" spans="1:29" x14ac:dyDescent="0.25">
      <c r="A104" s="8">
        <v>71</v>
      </c>
      <c r="B104" s="7" t="s">
        <v>29</v>
      </c>
      <c r="C104" s="8" t="s">
        <v>55</v>
      </c>
      <c r="D104" s="7" t="s">
        <v>1103</v>
      </c>
      <c r="E104" s="7" t="s">
        <v>1104</v>
      </c>
      <c r="F104" s="7" t="s">
        <v>1105</v>
      </c>
      <c r="G104" s="7" t="s">
        <v>1106</v>
      </c>
      <c r="H104">
        <v>94</v>
      </c>
      <c r="I104">
        <v>92</v>
      </c>
      <c r="J104">
        <v>53</v>
      </c>
      <c r="K104">
        <v>77</v>
      </c>
      <c r="L104" s="5">
        <v>79</v>
      </c>
      <c r="M104">
        <v>76</v>
      </c>
      <c r="N104">
        <v>92</v>
      </c>
      <c r="O104" s="5">
        <v>29.659999999999997</v>
      </c>
      <c r="P104" s="5">
        <v>66.734999999999999</v>
      </c>
      <c r="Q104" s="11">
        <v>74.149999999999991</v>
      </c>
      <c r="R104" s="10">
        <v>3.8256600795079358E-2</v>
      </c>
      <c r="S104" s="10">
        <v>0.81861600000000001</v>
      </c>
      <c r="T104" t="s">
        <v>147</v>
      </c>
      <c r="U104">
        <v>30</v>
      </c>
      <c r="V104">
        <v>81</v>
      </c>
      <c r="W104" s="49">
        <v>36.375</v>
      </c>
      <c r="X104" t="str">
        <f t="shared" si="4"/>
        <v>Wo87</v>
      </c>
      <c r="Y104">
        <f>IFERROR(VLOOKUP('Season 1 - Player Stats'!G104,'Season 1 - League Table'!$T$2:$W$177,4,FALSE),0)</f>
        <v>5</v>
      </c>
      <c r="Z104">
        <f>38</f>
        <v>38</v>
      </c>
      <c r="AA104">
        <f t="shared" si="5"/>
        <v>5</v>
      </c>
      <c r="AB104">
        <f t="shared" si="6"/>
        <v>1</v>
      </c>
      <c r="AC104">
        <f t="shared" si="7"/>
        <v>1</v>
      </c>
    </row>
    <row r="105" spans="1:29" x14ac:dyDescent="0.25">
      <c r="A105" s="8">
        <v>7</v>
      </c>
      <c r="B105" s="7" t="s">
        <v>21</v>
      </c>
      <c r="C105" s="8" t="s">
        <v>57</v>
      </c>
      <c r="D105" s="7" t="s">
        <v>1007</v>
      </c>
      <c r="E105" s="7" t="s">
        <v>1335</v>
      </c>
      <c r="F105" s="7" t="s">
        <v>1336</v>
      </c>
      <c r="G105" s="7" t="s">
        <v>1337</v>
      </c>
      <c r="H105">
        <v>70</v>
      </c>
      <c r="I105">
        <v>82</v>
      </c>
      <c r="J105">
        <v>25</v>
      </c>
      <c r="K105">
        <v>81</v>
      </c>
      <c r="L105" s="5">
        <v>64.5</v>
      </c>
      <c r="M105">
        <v>92</v>
      </c>
      <c r="N105">
        <v>18</v>
      </c>
      <c r="O105" s="5">
        <v>52.724999999999994</v>
      </c>
      <c r="P105" s="5">
        <v>52.724999999999994</v>
      </c>
      <c r="Q105" s="11">
        <v>70.3</v>
      </c>
      <c r="R105" s="10">
        <v>0.10746058759388151</v>
      </c>
      <c r="S105" s="10">
        <v>0.28471499999999994</v>
      </c>
      <c r="T105" t="s">
        <v>143</v>
      </c>
      <c r="U105">
        <v>28</v>
      </c>
      <c r="V105">
        <v>81</v>
      </c>
      <c r="W105" s="49">
        <v>34.650000000000006</v>
      </c>
      <c r="X105" t="str">
        <f t="shared" si="4"/>
        <v>Ea69</v>
      </c>
      <c r="Y105">
        <f>IFERROR(VLOOKUP('Season 1 - Player Stats'!G105,'Season 1 - League Table'!$T$2:$W$177,4,FALSE),0)</f>
        <v>3</v>
      </c>
      <c r="Z105">
        <f>38</f>
        <v>38</v>
      </c>
      <c r="AA105">
        <f t="shared" si="5"/>
        <v>3</v>
      </c>
      <c r="AB105">
        <f t="shared" si="6"/>
        <v>0</v>
      </c>
      <c r="AC105">
        <f t="shared" si="7"/>
        <v>0</v>
      </c>
    </row>
    <row r="106" spans="1:29" x14ac:dyDescent="0.25">
      <c r="A106" s="8">
        <v>139</v>
      </c>
      <c r="B106" s="7" t="s">
        <v>35</v>
      </c>
      <c r="C106" s="8" t="s">
        <v>57</v>
      </c>
      <c r="D106" s="7" t="s">
        <v>863</v>
      </c>
      <c r="E106" s="7" t="s">
        <v>864</v>
      </c>
      <c r="F106" s="7" t="s">
        <v>865</v>
      </c>
      <c r="G106" s="7" t="s">
        <v>866</v>
      </c>
      <c r="H106">
        <v>64</v>
      </c>
      <c r="I106">
        <v>93</v>
      </c>
      <c r="J106">
        <v>28</v>
      </c>
      <c r="K106">
        <v>74</v>
      </c>
      <c r="L106" s="5">
        <v>64.75</v>
      </c>
      <c r="M106">
        <v>75</v>
      </c>
      <c r="N106">
        <v>92</v>
      </c>
      <c r="O106" s="5">
        <v>54.862500000000004</v>
      </c>
      <c r="P106" s="5">
        <v>54.862500000000004</v>
      </c>
      <c r="Q106" s="11">
        <v>73.150000000000006</v>
      </c>
      <c r="R106" s="10">
        <v>0.1275568033201388</v>
      </c>
      <c r="S106" s="10">
        <v>1.514205</v>
      </c>
      <c r="T106" t="s">
        <v>158</v>
      </c>
      <c r="U106">
        <v>32</v>
      </c>
      <c r="V106">
        <v>78</v>
      </c>
      <c r="W106" s="49">
        <v>34.175000000000011</v>
      </c>
      <c r="X106" t="str">
        <f t="shared" si="4"/>
        <v>Do68</v>
      </c>
      <c r="Y106">
        <f>IFERROR(VLOOKUP('Season 1 - Player Stats'!G106,'Season 1 - League Table'!$T$2:$W$177,4,FALSE),0)</f>
        <v>9</v>
      </c>
      <c r="Z106">
        <f>38</f>
        <v>38</v>
      </c>
      <c r="AA106">
        <f t="shared" si="5"/>
        <v>9</v>
      </c>
      <c r="AB106">
        <f t="shared" si="6"/>
        <v>0</v>
      </c>
      <c r="AC106">
        <f t="shared" si="7"/>
        <v>0</v>
      </c>
    </row>
    <row r="107" spans="1:29" x14ac:dyDescent="0.25">
      <c r="A107" s="8">
        <v>32</v>
      </c>
      <c r="B107" s="7" t="s">
        <v>25</v>
      </c>
      <c r="C107" s="8" t="s">
        <v>59</v>
      </c>
      <c r="D107" s="7" t="s">
        <v>1272</v>
      </c>
      <c r="E107" s="7" t="s">
        <v>1273</v>
      </c>
      <c r="F107" s="7" t="s">
        <v>1274</v>
      </c>
      <c r="G107" s="7" t="s">
        <v>1275</v>
      </c>
      <c r="H107">
        <v>88</v>
      </c>
      <c r="I107">
        <v>22</v>
      </c>
      <c r="J107">
        <v>18</v>
      </c>
      <c r="K107">
        <v>97</v>
      </c>
      <c r="L107" s="5">
        <v>56.25</v>
      </c>
      <c r="M107">
        <v>92</v>
      </c>
      <c r="N107">
        <v>14</v>
      </c>
      <c r="O107" s="5">
        <v>67.199999999999989</v>
      </c>
      <c r="P107" s="5">
        <v>20.159999999999997</v>
      </c>
      <c r="Q107" s="11">
        <v>67.199999999999989</v>
      </c>
      <c r="R107" s="10">
        <v>0.20781612402560032</v>
      </c>
      <c r="S107" s="10">
        <v>0.28223999999999999</v>
      </c>
      <c r="T107" t="s">
        <v>142</v>
      </c>
      <c r="U107">
        <v>19</v>
      </c>
      <c r="V107">
        <v>81</v>
      </c>
      <c r="W107" s="49">
        <v>34</v>
      </c>
      <c r="X107" t="str">
        <f t="shared" si="4"/>
        <v>Co67</v>
      </c>
      <c r="Y107">
        <f>IFERROR(VLOOKUP('Season 1 - Player Stats'!G107,'Season 1 - League Table'!$T$2:$W$177,4,FALSE),0)</f>
        <v>15</v>
      </c>
      <c r="Z107">
        <f>38</f>
        <v>38</v>
      </c>
      <c r="AA107">
        <f t="shared" si="5"/>
        <v>15</v>
      </c>
      <c r="AB107">
        <f t="shared" si="6"/>
        <v>0</v>
      </c>
      <c r="AC107">
        <f t="shared" si="7"/>
        <v>0</v>
      </c>
    </row>
    <row r="108" spans="1:29" x14ac:dyDescent="0.25">
      <c r="A108" s="8">
        <v>49</v>
      </c>
      <c r="B108" s="7" t="s">
        <v>28</v>
      </c>
      <c r="C108" s="8" t="s">
        <v>55</v>
      </c>
      <c r="D108" s="7" t="s">
        <v>991</v>
      </c>
      <c r="E108" s="7" t="s">
        <v>1183</v>
      </c>
      <c r="F108" s="7" t="s">
        <v>1184</v>
      </c>
      <c r="G108" s="7" t="s">
        <v>1185</v>
      </c>
      <c r="H108">
        <v>60</v>
      </c>
      <c r="I108">
        <v>54</v>
      </c>
      <c r="J108">
        <v>86</v>
      </c>
      <c r="K108">
        <v>84</v>
      </c>
      <c r="L108" s="5">
        <v>71</v>
      </c>
      <c r="M108">
        <v>65</v>
      </c>
      <c r="N108">
        <v>8</v>
      </c>
      <c r="O108" s="5">
        <v>30.04</v>
      </c>
      <c r="P108" s="5">
        <v>67.59</v>
      </c>
      <c r="Q108" s="11">
        <v>75.099999999999994</v>
      </c>
      <c r="R108" s="10">
        <v>4.4001180547205483E-2</v>
      </c>
      <c r="S108" s="10">
        <v>7.2096000000000007E-2</v>
      </c>
      <c r="T108" t="s">
        <v>157</v>
      </c>
      <c r="U108">
        <v>35</v>
      </c>
      <c r="V108">
        <v>76</v>
      </c>
      <c r="W108" s="49">
        <v>33.849999999999994</v>
      </c>
      <c r="X108" t="str">
        <f t="shared" si="4"/>
        <v>Sh83</v>
      </c>
      <c r="Y108">
        <f>IFERROR(VLOOKUP('Season 1 - Player Stats'!G108,'Season 1 - League Table'!$T$2:$W$177,4,FALSE),0)</f>
        <v>5</v>
      </c>
      <c r="Z108">
        <f>38</f>
        <v>38</v>
      </c>
      <c r="AA108">
        <f t="shared" si="5"/>
        <v>5</v>
      </c>
      <c r="AB108">
        <f t="shared" si="6"/>
        <v>0</v>
      </c>
      <c r="AC108">
        <f t="shared" si="7"/>
        <v>0</v>
      </c>
    </row>
    <row r="109" spans="1:29" x14ac:dyDescent="0.25">
      <c r="A109" s="8">
        <v>202</v>
      </c>
      <c r="B109" s="7" t="s">
        <v>41</v>
      </c>
      <c r="C109" s="8" t="s">
        <v>56</v>
      </c>
      <c r="D109" s="7" t="s">
        <v>678</v>
      </c>
      <c r="E109" s="7" t="s">
        <v>679</v>
      </c>
      <c r="F109" s="7" t="s">
        <v>680</v>
      </c>
      <c r="G109" s="7" t="s">
        <v>681</v>
      </c>
      <c r="H109">
        <v>0</v>
      </c>
      <c r="I109">
        <v>14</v>
      </c>
      <c r="J109">
        <v>91</v>
      </c>
      <c r="K109">
        <v>34</v>
      </c>
      <c r="L109" s="5">
        <v>34.75</v>
      </c>
      <c r="M109">
        <v>70</v>
      </c>
      <c r="N109">
        <v>83</v>
      </c>
      <c r="O109" s="5">
        <v>17.857499999999998</v>
      </c>
      <c r="P109" s="5">
        <v>59.524999999999999</v>
      </c>
      <c r="Q109" s="11">
        <v>59.524999999999999</v>
      </c>
      <c r="R109" s="10">
        <v>5.4761310845138106E-2</v>
      </c>
      <c r="S109" s="10">
        <v>0.4446517499999999</v>
      </c>
      <c r="T109" t="s">
        <v>156</v>
      </c>
      <c r="U109">
        <v>18</v>
      </c>
      <c r="V109">
        <v>88</v>
      </c>
      <c r="W109" s="49">
        <v>33.762500000000003</v>
      </c>
      <c r="X109" t="str">
        <f t="shared" si="4"/>
        <v>Bu66</v>
      </c>
      <c r="Y109">
        <f>IFERROR(VLOOKUP('Season 1 - Player Stats'!G109,'Season 1 - League Table'!$T$2:$W$177,4,FALSE),0)</f>
        <v>2</v>
      </c>
      <c r="Z109">
        <f>38</f>
        <v>38</v>
      </c>
      <c r="AA109">
        <f t="shared" si="5"/>
        <v>2</v>
      </c>
      <c r="AB109">
        <f t="shared" si="6"/>
        <v>0</v>
      </c>
      <c r="AC109">
        <f t="shared" si="7"/>
        <v>0</v>
      </c>
    </row>
    <row r="110" spans="1:29" x14ac:dyDescent="0.25">
      <c r="A110" s="8">
        <v>173</v>
      </c>
      <c r="B110" s="7" t="s">
        <v>38</v>
      </c>
      <c r="C110" s="8" t="s">
        <v>46</v>
      </c>
      <c r="D110" s="7" t="s">
        <v>780</v>
      </c>
      <c r="E110" s="7" t="s">
        <v>781</v>
      </c>
      <c r="F110" s="7" t="s">
        <v>782</v>
      </c>
      <c r="G110" s="7" t="s">
        <v>783</v>
      </c>
      <c r="H110">
        <v>94</v>
      </c>
      <c r="I110">
        <v>45</v>
      </c>
      <c r="J110">
        <v>28</v>
      </c>
      <c r="K110">
        <v>95</v>
      </c>
      <c r="L110" s="5">
        <v>65.5</v>
      </c>
      <c r="M110">
        <v>33</v>
      </c>
      <c r="N110">
        <v>90</v>
      </c>
      <c r="O110" s="5">
        <v>64.17</v>
      </c>
      <c r="P110" s="5">
        <v>42.779999999999994</v>
      </c>
      <c r="Q110" s="11">
        <v>71.3</v>
      </c>
      <c r="R110" s="10">
        <v>0.13967155310326818</v>
      </c>
      <c r="S110" s="10">
        <v>1.7325900000000003</v>
      </c>
      <c r="T110" t="s">
        <v>152</v>
      </c>
      <c r="U110">
        <v>23</v>
      </c>
      <c r="V110">
        <v>77</v>
      </c>
      <c r="W110" s="49">
        <v>33.650000000000006</v>
      </c>
      <c r="X110" t="str">
        <f t="shared" si="4"/>
        <v>Ch67</v>
      </c>
      <c r="Y110">
        <f>IFERROR(VLOOKUP('Season 1 - Player Stats'!G110,'Season 1 - League Table'!$T$2:$W$177,4,FALSE),0)</f>
        <v>8</v>
      </c>
      <c r="Z110">
        <f>38</f>
        <v>38</v>
      </c>
      <c r="AA110">
        <f t="shared" si="5"/>
        <v>8</v>
      </c>
      <c r="AB110">
        <f t="shared" si="6"/>
        <v>0</v>
      </c>
      <c r="AC110">
        <f t="shared" si="7"/>
        <v>0</v>
      </c>
    </row>
    <row r="111" spans="1:29" x14ac:dyDescent="0.25">
      <c r="A111" s="8">
        <v>54</v>
      </c>
      <c r="B111" s="7" t="s">
        <v>28</v>
      </c>
      <c r="C111" s="8" t="s">
        <v>59</v>
      </c>
      <c r="D111" s="7" t="s">
        <v>1202</v>
      </c>
      <c r="E111" s="7" t="s">
        <v>1203</v>
      </c>
      <c r="F111" s="7" t="s">
        <v>1204</v>
      </c>
      <c r="G111" s="7" t="s">
        <v>1205</v>
      </c>
      <c r="H111">
        <v>69</v>
      </c>
      <c r="I111">
        <v>51</v>
      </c>
      <c r="J111">
        <v>94</v>
      </c>
      <c r="K111">
        <v>65</v>
      </c>
      <c r="L111" s="5">
        <v>69.75</v>
      </c>
      <c r="M111">
        <v>55</v>
      </c>
      <c r="N111">
        <v>13</v>
      </c>
      <c r="O111" s="5">
        <v>65.8</v>
      </c>
      <c r="P111" s="5">
        <v>19.739999999999998</v>
      </c>
      <c r="Q111" s="11">
        <v>65.8</v>
      </c>
      <c r="R111" s="10">
        <v>0.19132297803963574</v>
      </c>
      <c r="S111" s="10">
        <v>0.25661999999999996</v>
      </c>
      <c r="T111" t="s">
        <v>157</v>
      </c>
      <c r="U111">
        <v>22</v>
      </c>
      <c r="V111">
        <v>82</v>
      </c>
      <c r="W111" s="49">
        <v>33.5</v>
      </c>
      <c r="X111" t="str">
        <f t="shared" si="4"/>
        <v>Sh83</v>
      </c>
      <c r="Y111">
        <f>IFERROR(VLOOKUP('Season 1 - Player Stats'!G111,'Season 1 - League Table'!$T$2:$W$177,4,FALSE),0)</f>
        <v>9</v>
      </c>
      <c r="Z111">
        <f>38</f>
        <v>38</v>
      </c>
      <c r="AA111">
        <f t="shared" si="5"/>
        <v>9</v>
      </c>
      <c r="AB111">
        <f t="shared" si="6"/>
        <v>0</v>
      </c>
      <c r="AC111">
        <f t="shared" si="7"/>
        <v>0</v>
      </c>
    </row>
    <row r="112" spans="1:29" x14ac:dyDescent="0.25">
      <c r="A112" s="8">
        <v>91</v>
      </c>
      <c r="B112" s="7" t="s">
        <v>31</v>
      </c>
      <c r="C112" s="8" t="s">
        <v>56</v>
      </c>
      <c r="D112" s="7" t="s">
        <v>1019</v>
      </c>
      <c r="E112" s="7" t="s">
        <v>695</v>
      </c>
      <c r="F112" s="7" t="s">
        <v>1020</v>
      </c>
      <c r="G112" s="7" t="s">
        <v>1021</v>
      </c>
      <c r="H112">
        <v>84</v>
      </c>
      <c r="I112">
        <v>72</v>
      </c>
      <c r="J112">
        <v>70</v>
      </c>
      <c r="K112">
        <v>83</v>
      </c>
      <c r="L112" s="5">
        <v>77.25</v>
      </c>
      <c r="M112">
        <v>45</v>
      </c>
      <c r="N112">
        <v>70</v>
      </c>
      <c r="O112" s="5">
        <v>22.2</v>
      </c>
      <c r="P112" s="5">
        <v>74</v>
      </c>
      <c r="Q112" s="11">
        <v>74</v>
      </c>
      <c r="R112" s="10">
        <v>2.754278677672177E-2</v>
      </c>
      <c r="S112" s="10">
        <v>0.46619999999999995</v>
      </c>
      <c r="T112" t="s">
        <v>140</v>
      </c>
      <c r="U112">
        <v>34</v>
      </c>
      <c r="V112">
        <v>76</v>
      </c>
      <c r="W112" s="49">
        <v>33.400000000000006</v>
      </c>
      <c r="X112" t="str">
        <f t="shared" si="4"/>
        <v>Ti84</v>
      </c>
      <c r="Y112">
        <f>IFERROR(VLOOKUP('Season 1 - Player Stats'!G112,'Season 1 - League Table'!$T$2:$W$177,4,FALSE),0)</f>
        <v>0</v>
      </c>
      <c r="Z112">
        <f>38</f>
        <v>38</v>
      </c>
      <c r="AA112">
        <f t="shared" si="5"/>
        <v>0</v>
      </c>
      <c r="AB112">
        <f t="shared" si="6"/>
        <v>0</v>
      </c>
      <c r="AC112">
        <f t="shared" si="7"/>
        <v>0</v>
      </c>
    </row>
    <row r="113" spans="1:29" x14ac:dyDescent="0.25">
      <c r="A113" s="8">
        <v>12</v>
      </c>
      <c r="B113" s="7" t="s">
        <v>23</v>
      </c>
      <c r="C113" s="8" t="s">
        <v>11</v>
      </c>
      <c r="D113" s="7" t="s">
        <v>757</v>
      </c>
      <c r="E113" s="7" t="s">
        <v>1279</v>
      </c>
      <c r="F113" s="7" t="s">
        <v>1280</v>
      </c>
      <c r="G113" s="7" t="s">
        <v>1281</v>
      </c>
      <c r="H113">
        <v>82</v>
      </c>
      <c r="I113">
        <v>64</v>
      </c>
      <c r="J113">
        <v>85</v>
      </c>
      <c r="K113">
        <v>75</v>
      </c>
      <c r="L113" s="5">
        <v>76.5</v>
      </c>
      <c r="M113">
        <v>54</v>
      </c>
      <c r="N113">
        <v>68</v>
      </c>
      <c r="O113" s="5">
        <v>0</v>
      </c>
      <c r="P113" s="5">
        <v>74.95</v>
      </c>
      <c r="Q113" s="11">
        <v>74.95</v>
      </c>
      <c r="R113" s="10">
        <v>0</v>
      </c>
      <c r="S113" s="10">
        <v>0</v>
      </c>
      <c r="T113" t="s">
        <v>144</v>
      </c>
      <c r="U113">
        <v>35</v>
      </c>
      <c r="V113">
        <v>75</v>
      </c>
      <c r="W113" s="49">
        <v>33.275000000000006</v>
      </c>
      <c r="X113" t="str">
        <f t="shared" si="4"/>
        <v>Li76</v>
      </c>
      <c r="Y113">
        <f>IFERROR(VLOOKUP('Season 1 - Player Stats'!G113,'Season 1 - League Table'!$T$2:$W$177,4,FALSE),0)</f>
        <v>0</v>
      </c>
      <c r="Z113">
        <f>38</f>
        <v>38</v>
      </c>
      <c r="AA113">
        <f t="shared" si="5"/>
        <v>0</v>
      </c>
      <c r="AB113">
        <f t="shared" si="6"/>
        <v>0</v>
      </c>
      <c r="AC113">
        <f t="shared" si="7"/>
        <v>0</v>
      </c>
    </row>
    <row r="114" spans="1:29" x14ac:dyDescent="0.25">
      <c r="A114" s="8">
        <v>187</v>
      </c>
      <c r="B114" s="7" t="s">
        <v>39</v>
      </c>
      <c r="C114" s="8" t="s">
        <v>53</v>
      </c>
      <c r="D114" s="7" t="s">
        <v>750</v>
      </c>
      <c r="E114" s="7" t="s">
        <v>711</v>
      </c>
      <c r="F114" s="7" t="s">
        <v>751</v>
      </c>
      <c r="G114" s="7" t="s">
        <v>752</v>
      </c>
      <c r="H114">
        <v>75</v>
      </c>
      <c r="I114">
        <v>100</v>
      </c>
      <c r="J114">
        <v>18</v>
      </c>
      <c r="K114">
        <v>71</v>
      </c>
      <c r="L114" s="5">
        <v>66</v>
      </c>
      <c r="M114">
        <v>94</v>
      </c>
      <c r="N114">
        <v>103</v>
      </c>
      <c r="O114" s="5">
        <v>74.099999999999994</v>
      </c>
      <c r="P114" s="5">
        <v>22.229999999999997</v>
      </c>
      <c r="Q114" s="11">
        <v>74.099999999999994</v>
      </c>
      <c r="R114" s="10">
        <v>0.23459833251010195</v>
      </c>
      <c r="S114" s="10">
        <v>2.2896899999999998</v>
      </c>
      <c r="T114" t="s">
        <v>153</v>
      </c>
      <c r="U114">
        <v>35</v>
      </c>
      <c r="V114">
        <v>75</v>
      </c>
      <c r="W114" s="49">
        <v>32.849999999999994</v>
      </c>
      <c r="X114" t="str">
        <f t="shared" si="4"/>
        <v>Ra82</v>
      </c>
      <c r="Y114">
        <f>IFERROR(VLOOKUP('Season 1 - Player Stats'!G114,'Season 1 - League Table'!$T$2:$W$177,4,FALSE),0)</f>
        <v>9</v>
      </c>
      <c r="Z114">
        <f>38</f>
        <v>38</v>
      </c>
      <c r="AA114">
        <f t="shared" si="5"/>
        <v>9</v>
      </c>
      <c r="AB114">
        <f t="shared" si="6"/>
        <v>0</v>
      </c>
      <c r="AC114">
        <f t="shared" si="7"/>
        <v>0</v>
      </c>
    </row>
    <row r="115" spans="1:29" x14ac:dyDescent="0.25">
      <c r="A115" s="8">
        <v>189</v>
      </c>
      <c r="B115" s="7" t="s">
        <v>40</v>
      </c>
      <c r="C115" s="8" t="s">
        <v>54</v>
      </c>
      <c r="D115" s="7" t="s">
        <v>1400</v>
      </c>
      <c r="E115" s="7" t="s">
        <v>1401</v>
      </c>
      <c r="F115" s="7" t="s">
        <v>1402</v>
      </c>
      <c r="G115" s="7" t="s">
        <v>1403</v>
      </c>
      <c r="H115">
        <v>29</v>
      </c>
      <c r="I115">
        <v>71</v>
      </c>
      <c r="J115">
        <v>68</v>
      </c>
      <c r="K115">
        <v>79</v>
      </c>
      <c r="L115" s="5">
        <v>61.75</v>
      </c>
      <c r="M115">
        <v>50</v>
      </c>
      <c r="N115">
        <v>89</v>
      </c>
      <c r="O115" s="5">
        <v>26.42</v>
      </c>
      <c r="P115" s="5">
        <v>59.445</v>
      </c>
      <c r="Q115" s="11">
        <v>66.05</v>
      </c>
      <c r="R115" s="10">
        <v>4.3181782144403595E-2</v>
      </c>
      <c r="S115" s="10">
        <v>0.70541399999999999</v>
      </c>
      <c r="T115" t="s">
        <v>154</v>
      </c>
      <c r="U115">
        <v>25</v>
      </c>
      <c r="V115">
        <v>81</v>
      </c>
      <c r="W115" s="49">
        <v>32.824999999999989</v>
      </c>
      <c r="X115" t="str">
        <f t="shared" si="4"/>
        <v>St83</v>
      </c>
      <c r="Y115">
        <f>IFERROR(VLOOKUP('Season 1 - Player Stats'!G115,'Season 1 - League Table'!$T$2:$W$177,4,FALSE),0)</f>
        <v>5</v>
      </c>
      <c r="Z115">
        <f>38</f>
        <v>38</v>
      </c>
      <c r="AA115">
        <f t="shared" si="5"/>
        <v>5</v>
      </c>
      <c r="AB115">
        <f t="shared" si="6"/>
        <v>0</v>
      </c>
      <c r="AC115">
        <f t="shared" si="7"/>
        <v>0</v>
      </c>
    </row>
    <row r="116" spans="1:29" x14ac:dyDescent="0.25">
      <c r="A116" s="8">
        <v>218</v>
      </c>
      <c r="B116" s="7" t="s">
        <v>42</v>
      </c>
      <c r="C116" s="8" t="s">
        <v>52</v>
      </c>
      <c r="D116" s="7" t="s">
        <v>654</v>
      </c>
      <c r="E116" s="7" t="s">
        <v>655</v>
      </c>
      <c r="F116" s="7" t="s">
        <v>656</v>
      </c>
      <c r="G116" s="7" t="s">
        <v>657</v>
      </c>
      <c r="H116">
        <v>57</v>
      </c>
      <c r="I116">
        <v>90</v>
      </c>
      <c r="J116">
        <v>90</v>
      </c>
      <c r="K116">
        <v>57</v>
      </c>
      <c r="L116" s="5">
        <v>73.5</v>
      </c>
      <c r="M116">
        <v>13</v>
      </c>
      <c r="N116">
        <v>79</v>
      </c>
      <c r="O116" s="5">
        <v>63.600000000000009</v>
      </c>
      <c r="P116" s="5">
        <v>19.080000000000002</v>
      </c>
      <c r="Q116" s="11">
        <v>63.600000000000009</v>
      </c>
      <c r="R116" s="10">
        <v>0.18557019925300691</v>
      </c>
      <c r="S116" s="10">
        <v>1.5073200000000004</v>
      </c>
      <c r="T116" t="s">
        <v>155</v>
      </c>
      <c r="U116">
        <v>18</v>
      </c>
      <c r="V116">
        <v>82</v>
      </c>
      <c r="W116" s="49">
        <v>32.800000000000011</v>
      </c>
      <c r="X116" t="str">
        <f t="shared" si="4"/>
        <v>Go71</v>
      </c>
      <c r="Y116">
        <f>IFERROR(VLOOKUP('Season 1 - Player Stats'!G116,'Season 1 - League Table'!$T$2:$W$177,4,FALSE),0)</f>
        <v>12</v>
      </c>
      <c r="Z116">
        <f>38</f>
        <v>38</v>
      </c>
      <c r="AA116">
        <f t="shared" si="5"/>
        <v>12</v>
      </c>
      <c r="AB116">
        <f t="shared" si="6"/>
        <v>0</v>
      </c>
      <c r="AC116">
        <f t="shared" si="7"/>
        <v>0</v>
      </c>
    </row>
    <row r="117" spans="1:29" x14ac:dyDescent="0.25">
      <c r="A117" s="8">
        <v>112</v>
      </c>
      <c r="B117" s="7" t="s">
        <v>33</v>
      </c>
      <c r="C117" s="8" t="s">
        <v>54</v>
      </c>
      <c r="D117" s="7" t="s">
        <v>927</v>
      </c>
      <c r="E117" s="7" t="s">
        <v>928</v>
      </c>
      <c r="F117" s="7" t="s">
        <v>929</v>
      </c>
      <c r="G117" s="7" t="s">
        <v>930</v>
      </c>
      <c r="H117">
        <v>100</v>
      </c>
      <c r="I117">
        <v>78</v>
      </c>
      <c r="J117">
        <v>15</v>
      </c>
      <c r="K117">
        <v>97</v>
      </c>
      <c r="L117" s="5">
        <v>72.5</v>
      </c>
      <c r="M117">
        <v>81</v>
      </c>
      <c r="N117">
        <v>73</v>
      </c>
      <c r="O117" s="5">
        <v>25.980000000000004</v>
      </c>
      <c r="P117" s="5">
        <v>58.455000000000005</v>
      </c>
      <c r="Q117" s="11">
        <v>64.95</v>
      </c>
      <c r="R117" s="10">
        <v>3.5540718507855819E-2</v>
      </c>
      <c r="S117" s="10">
        <v>0.56896200000000008</v>
      </c>
      <c r="T117" t="s">
        <v>148</v>
      </c>
      <c r="U117">
        <v>21</v>
      </c>
      <c r="V117">
        <v>80</v>
      </c>
      <c r="W117" s="49">
        <v>32.175000000000011</v>
      </c>
      <c r="X117" t="str">
        <f t="shared" si="4"/>
        <v>Ha72</v>
      </c>
      <c r="Y117">
        <f>IFERROR(VLOOKUP('Season 1 - Player Stats'!G117,'Season 1 - League Table'!$T$2:$W$177,4,FALSE),0)</f>
        <v>1</v>
      </c>
      <c r="Z117">
        <f>38</f>
        <v>38</v>
      </c>
      <c r="AA117">
        <f t="shared" si="5"/>
        <v>1</v>
      </c>
      <c r="AB117">
        <f t="shared" si="6"/>
        <v>0</v>
      </c>
      <c r="AC117">
        <f t="shared" si="7"/>
        <v>0</v>
      </c>
    </row>
    <row r="118" spans="1:29" x14ac:dyDescent="0.25">
      <c r="A118" s="8">
        <v>160</v>
      </c>
      <c r="B118" s="7" t="s">
        <v>37</v>
      </c>
      <c r="C118" s="8" t="s">
        <v>45</v>
      </c>
      <c r="D118" s="7" t="s">
        <v>815</v>
      </c>
      <c r="E118" s="7" t="s">
        <v>816</v>
      </c>
      <c r="F118" s="7" t="s">
        <v>817</v>
      </c>
      <c r="G118" s="7" t="s">
        <v>818</v>
      </c>
      <c r="H118">
        <v>37</v>
      </c>
      <c r="I118">
        <v>98</v>
      </c>
      <c r="J118">
        <v>96</v>
      </c>
      <c r="K118">
        <v>0</v>
      </c>
      <c r="L118" s="5">
        <v>57.75</v>
      </c>
      <c r="M118">
        <v>75</v>
      </c>
      <c r="N118">
        <v>93</v>
      </c>
      <c r="O118" s="5">
        <v>44.01</v>
      </c>
      <c r="P118" s="5">
        <v>66.015000000000001</v>
      </c>
      <c r="Q118" s="11">
        <v>73.349999999999994</v>
      </c>
      <c r="R118" s="10">
        <v>0.1307486631016043</v>
      </c>
      <c r="S118" s="10">
        <v>1.2278790000000002</v>
      </c>
      <c r="T118" t="s">
        <v>151</v>
      </c>
      <c r="U118">
        <v>35</v>
      </c>
      <c r="V118">
        <v>74</v>
      </c>
      <c r="W118" s="49">
        <v>31.974999999999994</v>
      </c>
      <c r="X118" t="str">
        <f t="shared" si="4"/>
        <v>El69</v>
      </c>
      <c r="Y118">
        <f>IFERROR(VLOOKUP('Season 1 - Player Stats'!G118,'Season 1 - League Table'!$T$2:$W$177,4,FALSE),0)</f>
        <v>4</v>
      </c>
      <c r="Z118">
        <f>38</f>
        <v>38</v>
      </c>
      <c r="AA118">
        <f t="shared" si="5"/>
        <v>4</v>
      </c>
      <c r="AB118">
        <f t="shared" si="6"/>
        <v>0</v>
      </c>
      <c r="AC118">
        <f t="shared" si="7"/>
        <v>0</v>
      </c>
    </row>
    <row r="119" spans="1:29" x14ac:dyDescent="0.25">
      <c r="A119" s="8">
        <v>41</v>
      </c>
      <c r="B119" s="7" t="s">
        <v>26</v>
      </c>
      <c r="C119" s="8" t="s">
        <v>46</v>
      </c>
      <c r="D119" s="7" t="s">
        <v>947</v>
      </c>
      <c r="E119" s="7" t="s">
        <v>948</v>
      </c>
      <c r="F119" s="7" t="s">
        <v>949</v>
      </c>
      <c r="G119" s="7" t="s">
        <v>950</v>
      </c>
      <c r="H119">
        <v>84</v>
      </c>
      <c r="I119">
        <v>52</v>
      </c>
      <c r="J119">
        <v>8</v>
      </c>
      <c r="K119">
        <v>96</v>
      </c>
      <c r="L119" s="5">
        <v>60</v>
      </c>
      <c r="M119">
        <v>84</v>
      </c>
      <c r="N119">
        <v>37</v>
      </c>
      <c r="O119" s="5">
        <v>62.820000000000014</v>
      </c>
      <c r="P119" s="5">
        <v>41.88</v>
      </c>
      <c r="Q119" s="11">
        <v>69.800000000000011</v>
      </c>
      <c r="R119" s="10">
        <v>0.14317296077671676</v>
      </c>
      <c r="S119" s="10">
        <v>0.69730200000000009</v>
      </c>
      <c r="T119" t="s">
        <v>145</v>
      </c>
      <c r="U119">
        <v>31</v>
      </c>
      <c r="V119">
        <v>76</v>
      </c>
      <c r="W119" s="49">
        <v>31.600000000000009</v>
      </c>
      <c r="X119" t="str">
        <f t="shared" si="4"/>
        <v>Fa70</v>
      </c>
      <c r="Y119">
        <f>IFERROR(VLOOKUP('Season 1 - Player Stats'!G119,'Season 1 - League Table'!$T$2:$W$177,4,FALSE),0)</f>
        <v>14</v>
      </c>
      <c r="Z119">
        <f>38</f>
        <v>38</v>
      </c>
      <c r="AA119">
        <f t="shared" si="5"/>
        <v>14</v>
      </c>
      <c r="AB119">
        <f t="shared" si="6"/>
        <v>0</v>
      </c>
      <c r="AC119">
        <f t="shared" si="7"/>
        <v>0</v>
      </c>
    </row>
    <row r="120" spans="1:29" x14ac:dyDescent="0.25">
      <c r="A120" s="8">
        <v>46</v>
      </c>
      <c r="B120" s="7" t="s">
        <v>28</v>
      </c>
      <c r="C120" s="8" t="s">
        <v>54</v>
      </c>
      <c r="D120" s="7" t="s">
        <v>971</v>
      </c>
      <c r="E120" s="7" t="s">
        <v>1173</v>
      </c>
      <c r="F120" s="7" t="s">
        <v>1174</v>
      </c>
      <c r="G120" s="7" t="s">
        <v>1175</v>
      </c>
      <c r="H120">
        <v>51</v>
      </c>
      <c r="I120">
        <v>56</v>
      </c>
      <c r="J120">
        <v>86</v>
      </c>
      <c r="K120">
        <v>71</v>
      </c>
      <c r="L120" s="5">
        <v>66</v>
      </c>
      <c r="M120">
        <v>58</v>
      </c>
      <c r="N120">
        <v>11</v>
      </c>
      <c r="O120" s="5">
        <v>28.1</v>
      </c>
      <c r="P120" s="5">
        <v>63.225000000000001</v>
      </c>
      <c r="Q120" s="11">
        <v>70.25</v>
      </c>
      <c r="R120" s="10">
        <v>4.1159559699616315E-2</v>
      </c>
      <c r="S120" s="10">
        <v>9.2730000000000007E-2</v>
      </c>
      <c r="T120" t="s">
        <v>157</v>
      </c>
      <c r="U120">
        <v>29</v>
      </c>
      <c r="V120">
        <v>75</v>
      </c>
      <c r="W120" s="49">
        <v>31.525000000000006</v>
      </c>
      <c r="X120" t="str">
        <f t="shared" si="4"/>
        <v>Sh83</v>
      </c>
      <c r="Y120">
        <f>IFERROR(VLOOKUP('Season 1 - Player Stats'!G120,'Season 1 - League Table'!$T$2:$W$177,4,FALSE),0)</f>
        <v>7</v>
      </c>
      <c r="Z120">
        <f>38</f>
        <v>38</v>
      </c>
      <c r="AA120">
        <f t="shared" si="5"/>
        <v>7</v>
      </c>
      <c r="AB120">
        <f t="shared" si="6"/>
        <v>0</v>
      </c>
      <c r="AC120">
        <f t="shared" si="7"/>
        <v>0</v>
      </c>
    </row>
    <row r="121" spans="1:29" x14ac:dyDescent="0.25">
      <c r="A121" s="8">
        <v>104</v>
      </c>
      <c r="B121" s="7" t="s">
        <v>32</v>
      </c>
      <c r="C121" s="8" t="s">
        <v>55</v>
      </c>
      <c r="D121" s="7" t="s">
        <v>983</v>
      </c>
      <c r="E121" s="7" t="s">
        <v>984</v>
      </c>
      <c r="F121" s="7" t="s">
        <v>985</v>
      </c>
      <c r="G121" s="7" t="s">
        <v>986</v>
      </c>
      <c r="H121">
        <v>78</v>
      </c>
      <c r="I121">
        <v>66</v>
      </c>
      <c r="J121">
        <v>98</v>
      </c>
      <c r="K121">
        <v>35</v>
      </c>
      <c r="L121" s="5">
        <v>69.25</v>
      </c>
      <c r="M121">
        <v>26</v>
      </c>
      <c r="N121">
        <v>82</v>
      </c>
      <c r="O121" s="5">
        <v>27.879999999999995</v>
      </c>
      <c r="P121" s="5">
        <v>62.72999999999999</v>
      </c>
      <c r="Q121" s="11">
        <v>69.699999999999989</v>
      </c>
      <c r="R121" s="10">
        <v>5.0148260008725104E-2</v>
      </c>
      <c r="S121" s="10">
        <v>0.68584799999999979</v>
      </c>
      <c r="T121" t="s">
        <v>141</v>
      </c>
      <c r="U121">
        <v>24</v>
      </c>
      <c r="V121">
        <v>74</v>
      </c>
      <c r="W121" s="49">
        <v>31.25</v>
      </c>
      <c r="X121" t="str">
        <f t="shared" si="4"/>
        <v>Be66</v>
      </c>
      <c r="Y121">
        <f>IFERROR(VLOOKUP('Season 1 - Player Stats'!G121,'Season 1 - League Table'!$T$2:$W$177,4,FALSE),0)</f>
        <v>1</v>
      </c>
      <c r="Z121">
        <f>38</f>
        <v>38</v>
      </c>
      <c r="AA121">
        <f t="shared" si="5"/>
        <v>1</v>
      </c>
      <c r="AB121">
        <f t="shared" si="6"/>
        <v>0</v>
      </c>
      <c r="AC121">
        <f t="shared" si="7"/>
        <v>0</v>
      </c>
    </row>
    <row r="122" spans="1:29" x14ac:dyDescent="0.25">
      <c r="A122" s="8">
        <v>186</v>
      </c>
      <c r="B122" s="7" t="s">
        <v>39</v>
      </c>
      <c r="C122" s="8" t="s">
        <v>59</v>
      </c>
      <c r="D122" s="7" t="s">
        <v>746</v>
      </c>
      <c r="E122" s="7" t="s">
        <v>747</v>
      </c>
      <c r="F122" s="7" t="s">
        <v>748</v>
      </c>
      <c r="G122" s="7" t="s">
        <v>749</v>
      </c>
      <c r="H122">
        <v>63</v>
      </c>
      <c r="I122">
        <v>74</v>
      </c>
      <c r="J122">
        <v>19</v>
      </c>
      <c r="K122">
        <v>81</v>
      </c>
      <c r="L122" s="5">
        <v>59.25</v>
      </c>
      <c r="M122">
        <v>99</v>
      </c>
      <c r="N122">
        <v>95</v>
      </c>
      <c r="O122" s="5">
        <v>66.75</v>
      </c>
      <c r="P122" s="5">
        <v>20.024999999999999</v>
      </c>
      <c r="Q122" s="11">
        <v>66.75</v>
      </c>
      <c r="R122" s="10">
        <v>0.21132845742306758</v>
      </c>
      <c r="S122" s="10">
        <v>1.9023749999999997</v>
      </c>
      <c r="T122" t="s">
        <v>153</v>
      </c>
      <c r="U122">
        <v>18</v>
      </c>
      <c r="V122">
        <v>75</v>
      </c>
      <c r="W122" s="49">
        <v>30.875</v>
      </c>
      <c r="X122" t="str">
        <f t="shared" si="4"/>
        <v>Ra82</v>
      </c>
      <c r="Y122">
        <f>IFERROR(VLOOKUP('Season 1 - Player Stats'!G122,'Season 1 - League Table'!$T$2:$W$177,4,FALSE),0)</f>
        <v>10</v>
      </c>
      <c r="Z122">
        <f>38</f>
        <v>38</v>
      </c>
      <c r="AA122">
        <f t="shared" si="5"/>
        <v>10</v>
      </c>
      <c r="AB122">
        <f t="shared" si="6"/>
        <v>0</v>
      </c>
      <c r="AC122">
        <f t="shared" si="7"/>
        <v>0</v>
      </c>
    </row>
    <row r="123" spans="1:29" x14ac:dyDescent="0.25">
      <c r="A123" s="8">
        <v>29</v>
      </c>
      <c r="B123" s="7" t="s">
        <v>25</v>
      </c>
      <c r="C123" s="8" t="s">
        <v>57</v>
      </c>
      <c r="D123" s="7" t="s">
        <v>1260</v>
      </c>
      <c r="E123" s="7" t="s">
        <v>1261</v>
      </c>
      <c r="F123" s="7" t="s">
        <v>1262</v>
      </c>
      <c r="G123" s="7" t="s">
        <v>1263</v>
      </c>
      <c r="H123">
        <v>82</v>
      </c>
      <c r="I123">
        <v>52</v>
      </c>
      <c r="J123">
        <v>42</v>
      </c>
      <c r="K123">
        <v>82</v>
      </c>
      <c r="L123" s="5">
        <v>64.5</v>
      </c>
      <c r="M123">
        <v>90</v>
      </c>
      <c r="N123">
        <v>26</v>
      </c>
      <c r="O123" s="5">
        <v>46.875</v>
      </c>
      <c r="P123" s="5">
        <v>46.875</v>
      </c>
      <c r="Q123" s="11">
        <v>62.5</v>
      </c>
      <c r="R123" s="10">
        <v>0.10899325113788955</v>
      </c>
      <c r="S123" s="10">
        <v>0.36562500000000003</v>
      </c>
      <c r="T123" t="s">
        <v>142</v>
      </c>
      <c r="U123">
        <v>22</v>
      </c>
      <c r="V123">
        <v>80</v>
      </c>
      <c r="W123" s="49">
        <v>30.849999999999994</v>
      </c>
      <c r="X123" t="str">
        <f t="shared" si="4"/>
        <v>Co67</v>
      </c>
      <c r="Y123">
        <f>IFERROR(VLOOKUP('Season 1 - Player Stats'!G123,'Season 1 - League Table'!$T$2:$W$177,4,FALSE),0)</f>
        <v>6</v>
      </c>
      <c r="Z123">
        <f>38</f>
        <v>38</v>
      </c>
      <c r="AA123">
        <f t="shared" si="5"/>
        <v>6</v>
      </c>
      <c r="AB123">
        <f t="shared" si="6"/>
        <v>0</v>
      </c>
      <c r="AC123">
        <f t="shared" si="7"/>
        <v>0</v>
      </c>
    </row>
    <row r="124" spans="1:29" x14ac:dyDescent="0.25">
      <c r="A124" s="8">
        <v>106</v>
      </c>
      <c r="B124" s="7" t="s">
        <v>32</v>
      </c>
      <c r="C124" s="8" t="s">
        <v>57</v>
      </c>
      <c r="D124" s="7" t="s">
        <v>991</v>
      </c>
      <c r="E124" s="7" t="s">
        <v>992</v>
      </c>
      <c r="F124" s="7" t="s">
        <v>993</v>
      </c>
      <c r="G124" s="7" t="s">
        <v>994</v>
      </c>
      <c r="H124">
        <v>68</v>
      </c>
      <c r="I124">
        <v>51</v>
      </c>
      <c r="J124">
        <v>100</v>
      </c>
      <c r="K124">
        <v>23</v>
      </c>
      <c r="L124" s="5">
        <v>60.5</v>
      </c>
      <c r="M124">
        <v>31</v>
      </c>
      <c r="N124">
        <v>76</v>
      </c>
      <c r="O124" s="5">
        <v>43.800000000000004</v>
      </c>
      <c r="P124" s="5">
        <v>43.800000000000004</v>
      </c>
      <c r="Q124" s="11">
        <v>58.400000000000006</v>
      </c>
      <c r="R124" s="10">
        <v>0.11758783851807107</v>
      </c>
      <c r="S124" s="10">
        <v>0.99864000000000019</v>
      </c>
      <c r="T124" t="s">
        <v>141</v>
      </c>
      <c r="U124">
        <v>18</v>
      </c>
      <c r="V124">
        <v>83</v>
      </c>
      <c r="W124" s="49">
        <v>30.700000000000003</v>
      </c>
      <c r="X124" t="str">
        <f t="shared" si="4"/>
        <v>Be66</v>
      </c>
      <c r="Y124">
        <f>IFERROR(VLOOKUP('Season 1 - Player Stats'!G124,'Season 1 - League Table'!$T$2:$W$177,4,FALSE),0)</f>
        <v>7</v>
      </c>
      <c r="Z124">
        <f>38</f>
        <v>38</v>
      </c>
      <c r="AA124">
        <f t="shared" si="5"/>
        <v>7</v>
      </c>
      <c r="AB124">
        <f t="shared" si="6"/>
        <v>0</v>
      </c>
      <c r="AC124">
        <f t="shared" si="7"/>
        <v>0</v>
      </c>
    </row>
    <row r="125" spans="1:29" x14ac:dyDescent="0.25">
      <c r="A125" s="8">
        <v>157</v>
      </c>
      <c r="B125" s="7" t="s">
        <v>37</v>
      </c>
      <c r="C125" s="8" t="s">
        <v>56</v>
      </c>
      <c r="D125" s="7" t="s">
        <v>803</v>
      </c>
      <c r="E125" s="7" t="s">
        <v>804</v>
      </c>
      <c r="F125" s="7" t="s">
        <v>805</v>
      </c>
      <c r="G125" s="7" t="s">
        <v>806</v>
      </c>
      <c r="H125">
        <v>33</v>
      </c>
      <c r="I125">
        <v>93</v>
      </c>
      <c r="J125">
        <v>88</v>
      </c>
      <c r="K125">
        <v>11</v>
      </c>
      <c r="L125" s="5">
        <v>56.25</v>
      </c>
      <c r="M125">
        <v>75</v>
      </c>
      <c r="N125">
        <v>90</v>
      </c>
      <c r="O125" s="5">
        <v>21.0975</v>
      </c>
      <c r="P125" s="5">
        <v>70.325000000000003</v>
      </c>
      <c r="Q125" s="11">
        <v>70.325000000000003</v>
      </c>
      <c r="R125" s="10">
        <v>4.1994429590017833E-2</v>
      </c>
      <c r="S125" s="10">
        <v>0.56963249999999999</v>
      </c>
      <c r="T125" t="s">
        <v>151</v>
      </c>
      <c r="U125">
        <v>18</v>
      </c>
      <c r="V125">
        <v>71</v>
      </c>
      <c r="W125" s="49">
        <v>30.662499999999994</v>
      </c>
      <c r="X125" t="str">
        <f t="shared" si="4"/>
        <v>El69</v>
      </c>
      <c r="Y125">
        <f>IFERROR(VLOOKUP('Season 1 - Player Stats'!G125,'Season 1 - League Table'!$T$2:$W$177,4,FALSE),0)</f>
        <v>1</v>
      </c>
      <c r="Z125">
        <f>38</f>
        <v>38</v>
      </c>
      <c r="AA125">
        <f t="shared" si="5"/>
        <v>1</v>
      </c>
      <c r="AB125">
        <f t="shared" si="6"/>
        <v>0</v>
      </c>
      <c r="AC125">
        <f t="shared" si="7"/>
        <v>0</v>
      </c>
    </row>
    <row r="126" spans="1:29" x14ac:dyDescent="0.25">
      <c r="A126" s="8">
        <v>5</v>
      </c>
      <c r="B126" s="7" t="s">
        <v>21</v>
      </c>
      <c r="C126" s="8" t="s">
        <v>55</v>
      </c>
      <c r="D126" s="7" t="s">
        <v>999</v>
      </c>
      <c r="E126" s="7" t="s">
        <v>1329</v>
      </c>
      <c r="F126" s="7" t="s">
        <v>1330</v>
      </c>
      <c r="G126" s="7" t="s">
        <v>1331</v>
      </c>
      <c r="H126">
        <v>84</v>
      </c>
      <c r="I126">
        <v>54</v>
      </c>
      <c r="J126">
        <v>18</v>
      </c>
      <c r="K126">
        <v>92</v>
      </c>
      <c r="L126" s="5">
        <v>62</v>
      </c>
      <c r="M126">
        <v>95</v>
      </c>
      <c r="N126">
        <v>24</v>
      </c>
      <c r="O126" s="5">
        <v>22.92</v>
      </c>
      <c r="P126" s="5">
        <v>51.57</v>
      </c>
      <c r="Q126" s="11">
        <v>57.3</v>
      </c>
      <c r="R126" s="10">
        <v>3.1298392931753106E-2</v>
      </c>
      <c r="S126" s="10">
        <v>0.165024</v>
      </c>
      <c r="T126" t="s">
        <v>143</v>
      </c>
      <c r="U126">
        <v>19</v>
      </c>
      <c r="V126">
        <v>84</v>
      </c>
      <c r="W126" s="49">
        <v>30.549999999999997</v>
      </c>
      <c r="X126" t="str">
        <f t="shared" si="4"/>
        <v>Ea69</v>
      </c>
      <c r="Y126">
        <f>IFERROR(VLOOKUP('Season 1 - Player Stats'!G126,'Season 1 - League Table'!$T$2:$W$177,4,FALSE),0)</f>
        <v>1</v>
      </c>
      <c r="Z126">
        <f>38</f>
        <v>38</v>
      </c>
      <c r="AA126">
        <f t="shared" si="5"/>
        <v>1</v>
      </c>
      <c r="AB126">
        <f t="shared" si="6"/>
        <v>0</v>
      </c>
      <c r="AC126">
        <f t="shared" si="7"/>
        <v>0</v>
      </c>
    </row>
    <row r="127" spans="1:29" x14ac:dyDescent="0.25">
      <c r="A127" s="8">
        <v>178</v>
      </c>
      <c r="B127" s="7" t="s">
        <v>39</v>
      </c>
      <c r="C127" s="8" t="s">
        <v>54</v>
      </c>
      <c r="D127" s="7" t="s">
        <v>714</v>
      </c>
      <c r="E127" s="7" t="s">
        <v>715</v>
      </c>
      <c r="F127" s="7" t="s">
        <v>716</v>
      </c>
      <c r="G127" s="7" t="s">
        <v>717</v>
      </c>
      <c r="H127">
        <v>82</v>
      </c>
      <c r="I127">
        <v>87</v>
      </c>
      <c r="J127">
        <v>23</v>
      </c>
      <c r="K127">
        <v>73</v>
      </c>
      <c r="L127" s="5">
        <v>66.25</v>
      </c>
      <c r="M127">
        <v>95</v>
      </c>
      <c r="N127">
        <v>100</v>
      </c>
      <c r="O127" s="5">
        <v>23.86</v>
      </c>
      <c r="P127" s="5">
        <v>53.685000000000002</v>
      </c>
      <c r="Q127" s="11">
        <v>59.65</v>
      </c>
      <c r="R127" s="10">
        <v>3.8054000011902143E-2</v>
      </c>
      <c r="S127" s="10">
        <v>0.71579999999999999</v>
      </c>
      <c r="T127" t="s">
        <v>153</v>
      </c>
      <c r="U127">
        <v>21</v>
      </c>
      <c r="V127">
        <v>80</v>
      </c>
      <c r="W127" s="49">
        <v>29.525000000000006</v>
      </c>
      <c r="X127" t="str">
        <f t="shared" si="4"/>
        <v>Ra82</v>
      </c>
      <c r="Y127">
        <f>IFERROR(VLOOKUP('Season 1 - Player Stats'!G127,'Season 1 - League Table'!$T$2:$W$177,4,FALSE),0)</f>
        <v>3</v>
      </c>
      <c r="Z127">
        <f>38</f>
        <v>38</v>
      </c>
      <c r="AA127">
        <f t="shared" si="5"/>
        <v>3</v>
      </c>
      <c r="AB127">
        <f t="shared" si="6"/>
        <v>0</v>
      </c>
      <c r="AC127">
        <f t="shared" si="7"/>
        <v>0</v>
      </c>
    </row>
    <row r="128" spans="1:29" x14ac:dyDescent="0.25">
      <c r="A128" s="8">
        <v>52</v>
      </c>
      <c r="B128" s="7" t="s">
        <v>28</v>
      </c>
      <c r="C128" s="8" t="s">
        <v>46</v>
      </c>
      <c r="D128" s="7" t="s">
        <v>1194</v>
      </c>
      <c r="E128" s="7" t="s">
        <v>1195</v>
      </c>
      <c r="F128" s="7" t="s">
        <v>1196</v>
      </c>
      <c r="G128" s="7" t="s">
        <v>1197</v>
      </c>
      <c r="H128">
        <v>68</v>
      </c>
      <c r="I128">
        <v>66</v>
      </c>
      <c r="J128">
        <v>80</v>
      </c>
      <c r="K128">
        <v>65</v>
      </c>
      <c r="L128" s="5">
        <v>69.75</v>
      </c>
      <c r="M128">
        <v>62</v>
      </c>
      <c r="N128">
        <v>8</v>
      </c>
      <c r="O128" s="5">
        <v>60.480000000000004</v>
      </c>
      <c r="P128" s="5">
        <v>40.32</v>
      </c>
      <c r="Q128" s="11">
        <v>67.2</v>
      </c>
      <c r="R128" s="10">
        <v>0.13222128701507382</v>
      </c>
      <c r="S128" s="10">
        <v>0.145152</v>
      </c>
      <c r="T128" t="s">
        <v>157</v>
      </c>
      <c r="U128">
        <v>29</v>
      </c>
      <c r="V128">
        <v>74</v>
      </c>
      <c r="W128" s="49">
        <v>29.5</v>
      </c>
      <c r="X128" t="str">
        <f t="shared" si="4"/>
        <v>Sh83</v>
      </c>
      <c r="Y128">
        <f>IFERROR(VLOOKUP('Season 1 - Player Stats'!G128,'Season 1 - League Table'!$T$2:$W$177,4,FALSE),0)</f>
        <v>6</v>
      </c>
      <c r="Z128">
        <f>38</f>
        <v>38</v>
      </c>
      <c r="AA128">
        <f t="shared" si="5"/>
        <v>6</v>
      </c>
      <c r="AB128">
        <f t="shared" si="6"/>
        <v>0</v>
      </c>
      <c r="AC128">
        <f t="shared" si="7"/>
        <v>0</v>
      </c>
    </row>
    <row r="129" spans="1:29" x14ac:dyDescent="0.25">
      <c r="A129" s="8">
        <v>210</v>
      </c>
      <c r="B129" s="7" t="s">
        <v>42</v>
      </c>
      <c r="C129" s="8" t="s">
        <v>11</v>
      </c>
      <c r="D129" s="7" t="s">
        <v>622</v>
      </c>
      <c r="E129" s="7" t="s">
        <v>623</v>
      </c>
      <c r="F129" s="7" t="s">
        <v>624</v>
      </c>
      <c r="G129" s="7" t="s">
        <v>625</v>
      </c>
      <c r="H129">
        <v>50</v>
      </c>
      <c r="I129">
        <v>88</v>
      </c>
      <c r="J129">
        <v>97</v>
      </c>
      <c r="K129">
        <v>22</v>
      </c>
      <c r="L129" s="5">
        <v>64.25</v>
      </c>
      <c r="M129">
        <v>7</v>
      </c>
      <c r="N129">
        <v>71</v>
      </c>
      <c r="O129" s="5">
        <v>0</v>
      </c>
      <c r="P129" s="5">
        <v>63.8</v>
      </c>
      <c r="Q129" s="11">
        <v>63.8</v>
      </c>
      <c r="R129" s="10">
        <v>0</v>
      </c>
      <c r="S129" s="10">
        <v>0</v>
      </c>
      <c r="T129" t="s">
        <v>155</v>
      </c>
      <c r="U129">
        <v>27</v>
      </c>
      <c r="V129">
        <v>77</v>
      </c>
      <c r="W129" s="49">
        <v>29.5</v>
      </c>
      <c r="X129" t="str">
        <f t="shared" si="4"/>
        <v>Go71</v>
      </c>
      <c r="Y129">
        <f>IFERROR(VLOOKUP('Season 1 - Player Stats'!G129,'Season 1 - League Table'!$T$2:$W$177,4,FALSE),0)</f>
        <v>0</v>
      </c>
      <c r="Z129">
        <f>38</f>
        <v>38</v>
      </c>
      <c r="AA129">
        <f t="shared" si="5"/>
        <v>0</v>
      </c>
      <c r="AB129">
        <f t="shared" si="6"/>
        <v>0</v>
      </c>
      <c r="AC129">
        <f t="shared" si="7"/>
        <v>0</v>
      </c>
    </row>
    <row r="130" spans="1:29" x14ac:dyDescent="0.25">
      <c r="A130" s="8">
        <v>177</v>
      </c>
      <c r="B130" s="7" t="s">
        <v>39</v>
      </c>
      <c r="C130" s="8" t="s">
        <v>11</v>
      </c>
      <c r="D130" s="7" t="s">
        <v>710</v>
      </c>
      <c r="E130" s="7" t="s">
        <v>711</v>
      </c>
      <c r="F130" s="7" t="s">
        <v>712</v>
      </c>
      <c r="G130" s="7" t="s">
        <v>713</v>
      </c>
      <c r="H130">
        <v>74</v>
      </c>
      <c r="I130">
        <v>80</v>
      </c>
      <c r="J130">
        <v>13</v>
      </c>
      <c r="K130">
        <v>59</v>
      </c>
      <c r="L130" s="5">
        <v>56.5</v>
      </c>
      <c r="M130">
        <v>97</v>
      </c>
      <c r="N130">
        <v>103</v>
      </c>
      <c r="O130" s="5">
        <v>0</v>
      </c>
      <c r="P130" s="5">
        <v>67.75</v>
      </c>
      <c r="Q130" s="11">
        <v>67.75</v>
      </c>
      <c r="R130" s="10">
        <v>0</v>
      </c>
      <c r="S130" s="10">
        <v>0</v>
      </c>
      <c r="T130" t="s">
        <v>153</v>
      </c>
      <c r="U130">
        <v>30</v>
      </c>
      <c r="V130">
        <v>73</v>
      </c>
      <c r="W130" s="49">
        <v>29.174999999999997</v>
      </c>
      <c r="X130" t="str">
        <f t="shared" si="4"/>
        <v>Ra82</v>
      </c>
      <c r="Y130">
        <f>IFERROR(VLOOKUP('Season 1 - Player Stats'!G130,'Season 1 - League Table'!$T$2:$W$177,4,FALSE),0)</f>
        <v>0</v>
      </c>
      <c r="Z130">
        <f>38</f>
        <v>38</v>
      </c>
      <c r="AA130">
        <f t="shared" si="5"/>
        <v>0</v>
      </c>
      <c r="AB130">
        <f t="shared" si="6"/>
        <v>0</v>
      </c>
      <c r="AC130">
        <f t="shared" si="7"/>
        <v>0</v>
      </c>
    </row>
    <row r="131" spans="1:29" x14ac:dyDescent="0.25">
      <c r="A131" s="8">
        <v>79</v>
      </c>
      <c r="B131" s="7" t="s">
        <v>30</v>
      </c>
      <c r="C131" s="8" t="s">
        <v>54</v>
      </c>
      <c r="D131" s="7" t="s">
        <v>1050</v>
      </c>
      <c r="E131" s="7" t="s">
        <v>1051</v>
      </c>
      <c r="F131" s="7" t="s">
        <v>1052</v>
      </c>
      <c r="G131" s="7" t="s">
        <v>641</v>
      </c>
      <c r="H131">
        <v>20</v>
      </c>
      <c r="I131">
        <v>31</v>
      </c>
      <c r="J131">
        <v>97</v>
      </c>
      <c r="K131">
        <v>64</v>
      </c>
      <c r="L131" s="5">
        <v>53</v>
      </c>
      <c r="M131">
        <v>38</v>
      </c>
      <c r="N131">
        <v>28</v>
      </c>
      <c r="O131" s="5">
        <v>24.939999999999998</v>
      </c>
      <c r="P131" s="5">
        <v>56.114999999999995</v>
      </c>
      <c r="Q131" s="11">
        <v>62.349999999999994</v>
      </c>
      <c r="R131" s="10">
        <v>5.4436408652593173E-2</v>
      </c>
      <c r="S131" s="10">
        <v>0.20949600000000002</v>
      </c>
      <c r="T131" t="s">
        <v>139</v>
      </c>
      <c r="U131">
        <v>21</v>
      </c>
      <c r="V131">
        <v>76</v>
      </c>
      <c r="W131" s="49">
        <v>28.875</v>
      </c>
      <c r="X131" t="str">
        <f t="shared" si="4"/>
        <v>Rh82</v>
      </c>
      <c r="Y131">
        <f>IFERROR(VLOOKUP('Season 1 - Player Stats'!G131,'Season 1 - League Table'!$T$2:$W$177,4,FALSE),0)</f>
        <v>7</v>
      </c>
      <c r="Z131">
        <f>38</f>
        <v>38</v>
      </c>
      <c r="AA131">
        <f t="shared" si="5"/>
        <v>7</v>
      </c>
      <c r="AB131">
        <f t="shared" si="6"/>
        <v>0</v>
      </c>
      <c r="AC131">
        <f t="shared" si="7"/>
        <v>0</v>
      </c>
    </row>
    <row r="132" spans="1:29" x14ac:dyDescent="0.25">
      <c r="A132" s="8">
        <v>30</v>
      </c>
      <c r="B132" s="7" t="s">
        <v>25</v>
      </c>
      <c r="C132" s="8" t="s">
        <v>46</v>
      </c>
      <c r="D132" s="7" t="s">
        <v>1264</v>
      </c>
      <c r="E132" s="7" t="s">
        <v>1265</v>
      </c>
      <c r="F132" s="7" t="s">
        <v>1266</v>
      </c>
      <c r="G132" s="7" t="s">
        <v>1267</v>
      </c>
      <c r="H132">
        <v>92</v>
      </c>
      <c r="I132">
        <v>21</v>
      </c>
      <c r="J132">
        <v>29</v>
      </c>
      <c r="K132">
        <v>85</v>
      </c>
      <c r="L132" s="5">
        <v>56.75</v>
      </c>
      <c r="M132">
        <v>97</v>
      </c>
      <c r="N132">
        <v>41</v>
      </c>
      <c r="O132" s="5">
        <v>53.144999999999996</v>
      </c>
      <c r="P132" s="5">
        <v>35.43</v>
      </c>
      <c r="Q132" s="11">
        <v>59.05</v>
      </c>
      <c r="R132" s="10">
        <v>0.12357218841009364</v>
      </c>
      <c r="S132" s="10">
        <v>0.65368349999999997</v>
      </c>
      <c r="T132" t="s">
        <v>142</v>
      </c>
      <c r="U132">
        <v>22</v>
      </c>
      <c r="V132">
        <v>79</v>
      </c>
      <c r="W132" s="49">
        <v>28.625</v>
      </c>
      <c r="X132" t="str">
        <f t="shared" si="4"/>
        <v>Co67</v>
      </c>
      <c r="Y132">
        <f>IFERROR(VLOOKUP('Season 1 - Player Stats'!G132,'Season 1 - League Table'!$T$2:$W$177,4,FALSE),0)</f>
        <v>4</v>
      </c>
      <c r="Z132">
        <f>38</f>
        <v>38</v>
      </c>
      <c r="AA132">
        <f t="shared" si="5"/>
        <v>4</v>
      </c>
      <c r="AB132">
        <f t="shared" si="6"/>
        <v>0</v>
      </c>
      <c r="AC132">
        <f t="shared" si="7"/>
        <v>0</v>
      </c>
    </row>
    <row r="133" spans="1:29" x14ac:dyDescent="0.25">
      <c r="A133" s="8">
        <v>196</v>
      </c>
      <c r="B133" s="7" t="s">
        <v>40</v>
      </c>
      <c r="C133" s="8" t="s">
        <v>52</v>
      </c>
      <c r="D133" s="7" t="s">
        <v>1404</v>
      </c>
      <c r="E133" s="7" t="s">
        <v>1405</v>
      </c>
      <c r="F133" s="7" t="s">
        <v>1406</v>
      </c>
      <c r="G133" s="7" t="s">
        <v>1407</v>
      </c>
      <c r="H133">
        <v>48</v>
      </c>
      <c r="I133">
        <v>59</v>
      </c>
      <c r="J133">
        <v>73</v>
      </c>
      <c r="K133">
        <v>76</v>
      </c>
      <c r="L133" s="5">
        <v>64</v>
      </c>
      <c r="M133">
        <v>55</v>
      </c>
      <c r="N133">
        <v>83</v>
      </c>
      <c r="O133" s="5">
        <v>63.5</v>
      </c>
      <c r="P133" s="5">
        <v>19.05</v>
      </c>
      <c r="Q133" s="11">
        <v>63.5</v>
      </c>
      <c r="R133" s="10">
        <v>0.20602423599295</v>
      </c>
      <c r="S133" s="10">
        <v>1.5811500000000001</v>
      </c>
      <c r="T133" t="s">
        <v>154</v>
      </c>
      <c r="U133">
        <v>25</v>
      </c>
      <c r="V133">
        <v>75</v>
      </c>
      <c r="W133" s="49">
        <v>28.549999999999997</v>
      </c>
      <c r="X133" t="str">
        <f t="shared" ref="X133:X196" si="8">_xlfn.CONCAT(LEFT(B133,2),CODE(B133))</f>
        <v>St83</v>
      </c>
      <c r="Y133">
        <f>IFERROR(VLOOKUP('Season 1 - Player Stats'!G133,'Season 1 - League Table'!$T$2:$W$177,4,FALSE),0)</f>
        <v>10</v>
      </c>
      <c r="Z133">
        <f>38</f>
        <v>38</v>
      </c>
      <c r="AA133">
        <f t="shared" ref="AA133:AA196" si="9">Y133</f>
        <v>10</v>
      </c>
      <c r="AB133">
        <f t="shared" ref="AB133:AB196" si="10">IF($D$2=X133,1,0)</f>
        <v>0</v>
      </c>
      <c r="AC133">
        <f t="shared" ref="AC133:AC196" si="11">AB133</f>
        <v>0</v>
      </c>
    </row>
    <row r="134" spans="1:29" x14ac:dyDescent="0.25">
      <c r="A134" s="8">
        <v>105</v>
      </c>
      <c r="B134" s="7" t="s">
        <v>32</v>
      </c>
      <c r="C134" s="8" t="s">
        <v>45</v>
      </c>
      <c r="D134" s="7" t="s">
        <v>987</v>
      </c>
      <c r="E134" s="7" t="s">
        <v>988</v>
      </c>
      <c r="F134" s="7" t="s">
        <v>989</v>
      </c>
      <c r="G134" s="7" t="s">
        <v>990</v>
      </c>
      <c r="H134">
        <v>77</v>
      </c>
      <c r="I134">
        <v>48</v>
      </c>
      <c r="J134">
        <v>95</v>
      </c>
      <c r="K134">
        <v>30</v>
      </c>
      <c r="L134" s="5">
        <v>62.5</v>
      </c>
      <c r="M134">
        <v>25</v>
      </c>
      <c r="N134">
        <v>84</v>
      </c>
      <c r="O134" s="5">
        <v>41.069999999999993</v>
      </c>
      <c r="P134" s="5">
        <v>61.60499999999999</v>
      </c>
      <c r="Q134" s="11">
        <v>68.449999999999989</v>
      </c>
      <c r="R134" s="10">
        <v>0.11025873351454743</v>
      </c>
      <c r="S134" s="10">
        <v>1.034964</v>
      </c>
      <c r="T134" t="s">
        <v>141</v>
      </c>
      <c r="U134">
        <v>30</v>
      </c>
      <c r="V134">
        <v>71</v>
      </c>
      <c r="W134" s="49">
        <v>28.524999999999991</v>
      </c>
      <c r="X134" t="str">
        <f t="shared" si="8"/>
        <v>Be66</v>
      </c>
      <c r="Y134">
        <f>IFERROR(VLOOKUP('Season 1 - Player Stats'!G134,'Season 1 - League Table'!$T$2:$W$177,4,FALSE),0)</f>
        <v>4</v>
      </c>
      <c r="Z134">
        <f>38</f>
        <v>38</v>
      </c>
      <c r="AA134">
        <f t="shared" si="9"/>
        <v>4</v>
      </c>
      <c r="AB134">
        <f t="shared" si="10"/>
        <v>0</v>
      </c>
      <c r="AC134">
        <f t="shared" si="11"/>
        <v>0</v>
      </c>
    </row>
    <row r="135" spans="1:29" x14ac:dyDescent="0.25">
      <c r="A135" s="8">
        <v>217</v>
      </c>
      <c r="B135" s="7" t="s">
        <v>42</v>
      </c>
      <c r="C135" s="8" t="s">
        <v>46</v>
      </c>
      <c r="D135" s="7" t="s">
        <v>650</v>
      </c>
      <c r="E135" s="7" t="s">
        <v>651</v>
      </c>
      <c r="F135" s="7" t="s">
        <v>652</v>
      </c>
      <c r="G135" s="7" t="s">
        <v>653</v>
      </c>
      <c r="H135">
        <v>77</v>
      </c>
      <c r="I135">
        <v>78</v>
      </c>
      <c r="J135">
        <v>93</v>
      </c>
      <c r="K135">
        <v>29</v>
      </c>
      <c r="L135" s="5">
        <v>69.25</v>
      </c>
      <c r="M135">
        <v>7</v>
      </c>
      <c r="N135">
        <v>70</v>
      </c>
      <c r="O135" s="5">
        <v>61.740000000000009</v>
      </c>
      <c r="P135" s="5">
        <v>41.160000000000004</v>
      </c>
      <c r="Q135" s="11">
        <v>68.600000000000009</v>
      </c>
      <c r="R135" s="10">
        <v>0.13544597462856015</v>
      </c>
      <c r="S135" s="10">
        <v>1.29654</v>
      </c>
      <c r="T135" t="s">
        <v>155</v>
      </c>
      <c r="U135">
        <v>33</v>
      </c>
      <c r="V135">
        <v>71</v>
      </c>
      <c r="W135" s="49">
        <v>28.300000000000011</v>
      </c>
      <c r="X135" t="str">
        <f t="shared" si="8"/>
        <v>Go71</v>
      </c>
      <c r="Y135">
        <f>IFERROR(VLOOKUP('Season 1 - Player Stats'!G135,'Season 1 - League Table'!$T$2:$W$177,4,FALSE),0)</f>
        <v>6</v>
      </c>
      <c r="Z135">
        <f>38</f>
        <v>38</v>
      </c>
      <c r="AA135">
        <f t="shared" si="9"/>
        <v>6</v>
      </c>
      <c r="AB135">
        <f t="shared" si="10"/>
        <v>0</v>
      </c>
      <c r="AC135">
        <f t="shared" si="11"/>
        <v>0</v>
      </c>
    </row>
    <row r="136" spans="1:29" x14ac:dyDescent="0.25">
      <c r="A136" s="8">
        <v>211</v>
      </c>
      <c r="B136" s="7" t="s">
        <v>42</v>
      </c>
      <c r="C136" s="8" t="s">
        <v>54</v>
      </c>
      <c r="D136" s="7" t="s">
        <v>626</v>
      </c>
      <c r="E136" s="7" t="s">
        <v>627</v>
      </c>
      <c r="F136" s="7" t="s">
        <v>628</v>
      </c>
      <c r="G136" s="7" t="s">
        <v>629</v>
      </c>
      <c r="H136">
        <v>45</v>
      </c>
      <c r="I136">
        <v>93</v>
      </c>
      <c r="J136">
        <v>100</v>
      </c>
      <c r="K136">
        <v>26</v>
      </c>
      <c r="L136" s="5">
        <v>66</v>
      </c>
      <c r="M136">
        <v>8</v>
      </c>
      <c r="N136">
        <v>72</v>
      </c>
      <c r="O136" s="5">
        <v>27.260000000000005</v>
      </c>
      <c r="P136" s="5">
        <v>61.335000000000008</v>
      </c>
      <c r="Q136" s="11">
        <v>68.150000000000006</v>
      </c>
      <c r="R136" s="10">
        <v>4.0068227564155304E-2</v>
      </c>
      <c r="S136" s="10">
        <v>0.58881600000000012</v>
      </c>
      <c r="T136" t="s">
        <v>155</v>
      </c>
      <c r="U136">
        <v>26</v>
      </c>
      <c r="V136">
        <v>69</v>
      </c>
      <c r="W136" s="49">
        <v>27.775000000000006</v>
      </c>
      <c r="X136" t="str">
        <f t="shared" si="8"/>
        <v>Go71</v>
      </c>
      <c r="Y136">
        <f>IFERROR(VLOOKUP('Season 1 - Player Stats'!G136,'Season 1 - League Table'!$T$2:$W$177,4,FALSE),0)</f>
        <v>2</v>
      </c>
      <c r="Z136">
        <f>38</f>
        <v>38</v>
      </c>
      <c r="AA136">
        <f t="shared" si="9"/>
        <v>2</v>
      </c>
      <c r="AB136">
        <f t="shared" si="10"/>
        <v>0</v>
      </c>
      <c r="AC136">
        <f t="shared" si="11"/>
        <v>0</v>
      </c>
    </row>
    <row r="137" spans="1:29" x14ac:dyDescent="0.25">
      <c r="A137" s="8">
        <v>193</v>
      </c>
      <c r="B137" s="7" t="s">
        <v>40</v>
      </c>
      <c r="C137" s="8" t="s">
        <v>45</v>
      </c>
      <c r="D137" s="7" t="s">
        <v>1408</v>
      </c>
      <c r="E137" s="7" t="s">
        <v>1409</v>
      </c>
      <c r="F137" s="7" t="s">
        <v>1410</v>
      </c>
      <c r="G137" s="7" t="s">
        <v>1411</v>
      </c>
      <c r="H137">
        <v>53</v>
      </c>
      <c r="I137">
        <v>69</v>
      </c>
      <c r="J137">
        <v>63</v>
      </c>
      <c r="K137">
        <v>70</v>
      </c>
      <c r="L137" s="5">
        <v>63.75</v>
      </c>
      <c r="M137">
        <v>50</v>
      </c>
      <c r="N137">
        <v>88</v>
      </c>
      <c r="O137" s="5">
        <v>38.609999999999992</v>
      </c>
      <c r="P137" s="5">
        <v>57.914999999999999</v>
      </c>
      <c r="Q137" s="11">
        <v>64.349999999999994</v>
      </c>
      <c r="R137" s="10">
        <v>9.4187386794006248E-2</v>
      </c>
      <c r="S137" s="10">
        <v>1.019304</v>
      </c>
      <c r="T137" t="s">
        <v>154</v>
      </c>
      <c r="U137">
        <v>29</v>
      </c>
      <c r="V137">
        <v>73</v>
      </c>
      <c r="W137" s="49">
        <v>27.574999999999989</v>
      </c>
      <c r="X137" t="str">
        <f t="shared" si="8"/>
        <v>St83</v>
      </c>
      <c r="Y137">
        <f>IFERROR(VLOOKUP('Season 1 - Player Stats'!G137,'Season 1 - League Table'!$T$2:$W$177,4,FALSE),0)</f>
        <v>4</v>
      </c>
      <c r="Z137">
        <f>38</f>
        <v>38</v>
      </c>
      <c r="AA137">
        <f t="shared" si="9"/>
        <v>4</v>
      </c>
      <c r="AB137">
        <f t="shared" si="10"/>
        <v>0</v>
      </c>
      <c r="AC137">
        <f t="shared" si="11"/>
        <v>0</v>
      </c>
    </row>
    <row r="138" spans="1:29" x14ac:dyDescent="0.25">
      <c r="A138" s="8">
        <v>77</v>
      </c>
      <c r="B138" s="7" t="s">
        <v>29</v>
      </c>
      <c r="C138" s="8" t="s">
        <v>53</v>
      </c>
      <c r="D138" s="7" t="s">
        <v>1127</v>
      </c>
      <c r="E138" s="7" t="s">
        <v>1128</v>
      </c>
      <c r="F138" s="7" t="s">
        <v>1129</v>
      </c>
      <c r="G138" s="7" t="s">
        <v>1130</v>
      </c>
      <c r="H138">
        <v>86</v>
      </c>
      <c r="I138">
        <v>70</v>
      </c>
      <c r="J138">
        <v>32</v>
      </c>
      <c r="K138">
        <v>58</v>
      </c>
      <c r="L138" s="5">
        <v>61.5</v>
      </c>
      <c r="M138">
        <v>76</v>
      </c>
      <c r="N138">
        <v>96</v>
      </c>
      <c r="O138" s="5">
        <v>68.3</v>
      </c>
      <c r="P138" s="5">
        <v>20.49</v>
      </c>
      <c r="Q138" s="11">
        <v>68.3</v>
      </c>
      <c r="R138" s="10">
        <v>0.17487703221707784</v>
      </c>
      <c r="S138" s="10">
        <v>1.9670399999999999</v>
      </c>
      <c r="T138" t="s">
        <v>147</v>
      </c>
      <c r="U138">
        <v>29</v>
      </c>
      <c r="V138">
        <v>69</v>
      </c>
      <c r="W138" s="49">
        <v>27.549999999999997</v>
      </c>
      <c r="X138" t="str">
        <f t="shared" si="8"/>
        <v>Wo87</v>
      </c>
      <c r="Y138">
        <f>IFERROR(VLOOKUP('Season 1 - Player Stats'!G138,'Season 1 - League Table'!$T$2:$W$177,4,FALSE),0)</f>
        <v>7</v>
      </c>
      <c r="Z138">
        <f>38</f>
        <v>38</v>
      </c>
      <c r="AA138">
        <f t="shared" si="9"/>
        <v>7</v>
      </c>
      <c r="AB138">
        <f t="shared" si="10"/>
        <v>1</v>
      </c>
      <c r="AC138">
        <f t="shared" si="11"/>
        <v>1</v>
      </c>
    </row>
    <row r="139" spans="1:29" x14ac:dyDescent="0.25">
      <c r="A139" s="8">
        <v>70</v>
      </c>
      <c r="B139" s="7" t="s">
        <v>29</v>
      </c>
      <c r="C139" s="8" t="s">
        <v>56</v>
      </c>
      <c r="D139" s="7" t="s">
        <v>1099</v>
      </c>
      <c r="E139" s="7" t="s">
        <v>1100</v>
      </c>
      <c r="F139" s="7" t="s">
        <v>1101</v>
      </c>
      <c r="G139" s="7" t="s">
        <v>1102</v>
      </c>
      <c r="H139">
        <v>98</v>
      </c>
      <c r="I139">
        <v>77</v>
      </c>
      <c r="J139">
        <v>53</v>
      </c>
      <c r="K139">
        <v>61</v>
      </c>
      <c r="L139" s="5">
        <v>72.25</v>
      </c>
      <c r="M139">
        <v>83</v>
      </c>
      <c r="N139">
        <v>93</v>
      </c>
      <c r="O139" s="5">
        <v>19.027499999999996</v>
      </c>
      <c r="P139" s="5">
        <v>63.42499999999999</v>
      </c>
      <c r="Q139" s="11">
        <v>63.42499999999999</v>
      </c>
      <c r="R139" s="10">
        <v>2.4542396211340946E-2</v>
      </c>
      <c r="S139" s="10">
        <v>0.53086725000000001</v>
      </c>
      <c r="T139" t="s">
        <v>147</v>
      </c>
      <c r="U139">
        <v>23</v>
      </c>
      <c r="V139">
        <v>72</v>
      </c>
      <c r="W139" s="49">
        <v>27.212499999999991</v>
      </c>
      <c r="X139" t="str">
        <f t="shared" si="8"/>
        <v>Wo87</v>
      </c>
      <c r="Y139">
        <f>IFERROR(VLOOKUP('Season 1 - Player Stats'!G139,'Season 1 - League Table'!$T$2:$W$177,4,FALSE),0)</f>
        <v>0</v>
      </c>
      <c r="Z139">
        <f>38</f>
        <v>38</v>
      </c>
      <c r="AA139">
        <f t="shared" si="9"/>
        <v>0</v>
      </c>
      <c r="AB139">
        <f t="shared" si="10"/>
        <v>1</v>
      </c>
      <c r="AC139">
        <f t="shared" si="11"/>
        <v>1</v>
      </c>
    </row>
    <row r="140" spans="1:29" x14ac:dyDescent="0.25">
      <c r="A140" s="8">
        <v>184</v>
      </c>
      <c r="B140" s="7" t="s">
        <v>39</v>
      </c>
      <c r="C140" s="8" t="s">
        <v>46</v>
      </c>
      <c r="D140" s="7" t="s">
        <v>738</v>
      </c>
      <c r="E140" s="7" t="s">
        <v>739</v>
      </c>
      <c r="F140" s="7" t="s">
        <v>740</v>
      </c>
      <c r="G140" s="7" t="s">
        <v>741</v>
      </c>
      <c r="H140">
        <v>68</v>
      </c>
      <c r="I140">
        <v>78</v>
      </c>
      <c r="J140">
        <v>0</v>
      </c>
      <c r="K140">
        <v>51</v>
      </c>
      <c r="L140" s="5">
        <v>49.25</v>
      </c>
      <c r="M140">
        <v>96</v>
      </c>
      <c r="N140">
        <v>95</v>
      </c>
      <c r="O140" s="5">
        <v>58.680000000000007</v>
      </c>
      <c r="P140" s="5">
        <v>39.119999999999997</v>
      </c>
      <c r="Q140" s="11">
        <v>65.2</v>
      </c>
      <c r="R140" s="10">
        <v>0.13968352208144638</v>
      </c>
      <c r="S140" s="10">
        <v>1.6723800000000002</v>
      </c>
      <c r="T140" t="s">
        <v>153</v>
      </c>
      <c r="U140">
        <v>28</v>
      </c>
      <c r="V140">
        <v>71</v>
      </c>
      <c r="W140" s="49">
        <v>27.099999999999994</v>
      </c>
      <c r="X140" t="str">
        <f t="shared" si="8"/>
        <v>Ra82</v>
      </c>
      <c r="Y140">
        <f>IFERROR(VLOOKUP('Season 1 - Player Stats'!G140,'Season 1 - League Table'!$T$2:$W$177,4,FALSE),0)</f>
        <v>9</v>
      </c>
      <c r="Z140">
        <f>38</f>
        <v>38</v>
      </c>
      <c r="AA140">
        <f t="shared" si="9"/>
        <v>9</v>
      </c>
      <c r="AB140">
        <f t="shared" si="10"/>
        <v>0</v>
      </c>
      <c r="AC140">
        <f t="shared" si="11"/>
        <v>0</v>
      </c>
    </row>
    <row r="141" spans="1:29" x14ac:dyDescent="0.25">
      <c r="A141" s="8">
        <v>154</v>
      </c>
      <c r="B141" s="7" t="s">
        <v>36</v>
      </c>
      <c r="C141" s="8" t="s">
        <v>53</v>
      </c>
      <c r="D141" s="7" t="s">
        <v>963</v>
      </c>
      <c r="E141" s="7" t="s">
        <v>964</v>
      </c>
      <c r="F141" s="7" t="s">
        <v>965</v>
      </c>
      <c r="G141" s="7" t="s">
        <v>1412</v>
      </c>
      <c r="H141">
        <v>54</v>
      </c>
      <c r="I141">
        <v>65</v>
      </c>
      <c r="J141">
        <v>82</v>
      </c>
      <c r="K141">
        <v>74</v>
      </c>
      <c r="L141" s="5">
        <v>68.75</v>
      </c>
      <c r="M141">
        <v>50</v>
      </c>
      <c r="N141">
        <v>64</v>
      </c>
      <c r="O141" s="5">
        <v>66.050000000000011</v>
      </c>
      <c r="P141" s="5">
        <v>19.815000000000001</v>
      </c>
      <c r="Q141" s="11">
        <v>66.050000000000011</v>
      </c>
      <c r="R141" s="10">
        <v>0.18081550320582096</v>
      </c>
      <c r="S141" s="10">
        <v>1.2681600000000002</v>
      </c>
      <c r="T141" t="s">
        <v>150</v>
      </c>
      <c r="U141">
        <v>28</v>
      </c>
      <c r="V141">
        <v>70</v>
      </c>
      <c r="W141" s="49">
        <v>27.025000000000006</v>
      </c>
      <c r="X141" t="str">
        <f t="shared" si="8"/>
        <v>Ja74</v>
      </c>
      <c r="Y141">
        <f>IFERROR(VLOOKUP('Season 1 - Player Stats'!G141,'Season 1 - League Table'!$T$2:$W$177,4,FALSE),0)</f>
        <v>12</v>
      </c>
      <c r="Z141">
        <f>38</f>
        <v>38</v>
      </c>
      <c r="AA141">
        <f t="shared" si="9"/>
        <v>12</v>
      </c>
      <c r="AB141">
        <f t="shared" si="10"/>
        <v>0</v>
      </c>
      <c r="AC141">
        <f t="shared" si="11"/>
        <v>0</v>
      </c>
    </row>
    <row r="142" spans="1:29" x14ac:dyDescent="0.25">
      <c r="A142" s="8">
        <v>23</v>
      </c>
      <c r="B142" s="7" t="s">
        <v>25</v>
      </c>
      <c r="C142" s="8" t="s">
        <v>11</v>
      </c>
      <c r="D142" s="7" t="s">
        <v>1236</v>
      </c>
      <c r="E142" s="7" t="s">
        <v>1237</v>
      </c>
      <c r="F142" s="7" t="s">
        <v>1238</v>
      </c>
      <c r="G142" s="7" t="s">
        <v>1239</v>
      </c>
      <c r="H142">
        <v>84</v>
      </c>
      <c r="I142">
        <v>24</v>
      </c>
      <c r="J142">
        <v>32</v>
      </c>
      <c r="K142">
        <v>86</v>
      </c>
      <c r="L142" s="5">
        <v>56.5</v>
      </c>
      <c r="M142">
        <v>85</v>
      </c>
      <c r="N142">
        <v>20</v>
      </c>
      <c r="O142" s="5">
        <v>0</v>
      </c>
      <c r="P142" s="5">
        <v>58.1</v>
      </c>
      <c r="Q142" s="11">
        <v>58.1</v>
      </c>
      <c r="R142" s="10">
        <v>0</v>
      </c>
      <c r="S142" s="10">
        <v>0</v>
      </c>
      <c r="T142" t="s">
        <v>142</v>
      </c>
      <c r="U142">
        <v>25</v>
      </c>
      <c r="V142">
        <v>77</v>
      </c>
      <c r="W142" s="49">
        <v>26.849999999999994</v>
      </c>
      <c r="X142" t="str">
        <f t="shared" si="8"/>
        <v>Co67</v>
      </c>
      <c r="Y142">
        <f>IFERROR(VLOOKUP('Season 1 - Player Stats'!G142,'Season 1 - League Table'!$T$2:$W$177,4,FALSE),0)</f>
        <v>0</v>
      </c>
      <c r="Z142">
        <f>38</f>
        <v>38</v>
      </c>
      <c r="AA142">
        <f t="shared" si="9"/>
        <v>0</v>
      </c>
      <c r="AB142">
        <f t="shared" si="10"/>
        <v>0</v>
      </c>
      <c r="AC142">
        <f t="shared" si="11"/>
        <v>0</v>
      </c>
    </row>
    <row r="143" spans="1:29" x14ac:dyDescent="0.25">
      <c r="A143" s="8">
        <v>161</v>
      </c>
      <c r="B143" s="7" t="s">
        <v>37</v>
      </c>
      <c r="C143" s="8" t="s">
        <v>57</v>
      </c>
      <c r="D143" s="7" t="s">
        <v>819</v>
      </c>
      <c r="E143" s="7" t="s">
        <v>820</v>
      </c>
      <c r="F143" s="7" t="s">
        <v>821</v>
      </c>
      <c r="G143" s="7" t="s">
        <v>822</v>
      </c>
      <c r="H143">
        <v>11</v>
      </c>
      <c r="I143">
        <v>100</v>
      </c>
      <c r="J143">
        <v>99</v>
      </c>
      <c r="K143">
        <v>17</v>
      </c>
      <c r="L143" s="5">
        <v>56.75</v>
      </c>
      <c r="M143">
        <v>69</v>
      </c>
      <c r="N143">
        <v>92</v>
      </c>
      <c r="O143" s="5">
        <v>48.862500000000004</v>
      </c>
      <c r="P143" s="5">
        <v>48.862500000000004</v>
      </c>
      <c r="Q143" s="11">
        <v>65.150000000000006</v>
      </c>
      <c r="R143" s="10">
        <v>0.14516488413547241</v>
      </c>
      <c r="S143" s="10">
        <v>1.3486050000000003</v>
      </c>
      <c r="T143" t="s">
        <v>151</v>
      </c>
      <c r="U143">
        <v>32</v>
      </c>
      <c r="V143">
        <v>71</v>
      </c>
      <c r="W143" s="49">
        <v>26.675000000000011</v>
      </c>
      <c r="X143" t="str">
        <f t="shared" si="8"/>
        <v>El69</v>
      </c>
      <c r="Y143">
        <f>IFERROR(VLOOKUP('Season 1 - Player Stats'!G143,'Season 1 - League Table'!$T$2:$W$177,4,FALSE),0)</f>
        <v>5</v>
      </c>
      <c r="Z143">
        <f>38</f>
        <v>38</v>
      </c>
      <c r="AA143">
        <f t="shared" si="9"/>
        <v>5</v>
      </c>
      <c r="AB143">
        <f t="shared" si="10"/>
        <v>0</v>
      </c>
      <c r="AC143">
        <f t="shared" si="11"/>
        <v>0</v>
      </c>
    </row>
    <row r="144" spans="1:29" x14ac:dyDescent="0.25">
      <c r="A144" s="8">
        <v>69</v>
      </c>
      <c r="B144" s="7" t="s">
        <v>29</v>
      </c>
      <c r="C144" s="8" t="s">
        <v>56</v>
      </c>
      <c r="D144" s="7" t="s">
        <v>1095</v>
      </c>
      <c r="E144" s="7" t="s">
        <v>1096</v>
      </c>
      <c r="F144" s="7" t="s">
        <v>1097</v>
      </c>
      <c r="G144" s="7" t="s">
        <v>1098</v>
      </c>
      <c r="H144">
        <v>87</v>
      </c>
      <c r="I144">
        <v>73</v>
      </c>
      <c r="J144">
        <v>57</v>
      </c>
      <c r="K144">
        <v>68</v>
      </c>
      <c r="L144" s="5">
        <v>71.25</v>
      </c>
      <c r="M144">
        <v>81</v>
      </c>
      <c r="N144">
        <v>91</v>
      </c>
      <c r="O144" s="5">
        <v>19.439999999999998</v>
      </c>
      <c r="P144" s="5">
        <v>64.8</v>
      </c>
      <c r="Q144" s="11">
        <v>64.8</v>
      </c>
      <c r="R144" s="10">
        <v>2.5074454465824098E-2</v>
      </c>
      <c r="S144" s="10">
        <v>0.53071200000000007</v>
      </c>
      <c r="T144" t="s">
        <v>147</v>
      </c>
      <c r="U144">
        <v>31</v>
      </c>
      <c r="V144">
        <v>71</v>
      </c>
      <c r="W144" s="49">
        <v>26.599999999999994</v>
      </c>
      <c r="X144" t="str">
        <f t="shared" si="8"/>
        <v>Wo87</v>
      </c>
      <c r="Y144">
        <f>IFERROR(VLOOKUP('Season 1 - Player Stats'!G144,'Season 1 - League Table'!$T$2:$W$177,4,FALSE),0)</f>
        <v>0</v>
      </c>
      <c r="Z144">
        <f>38</f>
        <v>38</v>
      </c>
      <c r="AA144">
        <f t="shared" si="9"/>
        <v>0</v>
      </c>
      <c r="AB144">
        <f t="shared" si="10"/>
        <v>1</v>
      </c>
      <c r="AC144">
        <f t="shared" si="11"/>
        <v>1</v>
      </c>
    </row>
    <row r="145" spans="1:29" x14ac:dyDescent="0.25">
      <c r="A145" s="8">
        <v>219</v>
      </c>
      <c r="B145" s="7" t="s">
        <v>42</v>
      </c>
      <c r="C145" s="8" t="s">
        <v>59</v>
      </c>
      <c r="D145" s="7" t="s">
        <v>658</v>
      </c>
      <c r="E145" s="7" t="s">
        <v>659</v>
      </c>
      <c r="F145" s="7" t="s">
        <v>660</v>
      </c>
      <c r="G145" s="7" t="s">
        <v>661</v>
      </c>
      <c r="H145">
        <v>54</v>
      </c>
      <c r="I145">
        <v>91</v>
      </c>
      <c r="J145">
        <v>100</v>
      </c>
      <c r="K145">
        <v>42</v>
      </c>
      <c r="L145" s="5">
        <v>71.75</v>
      </c>
      <c r="M145">
        <v>12</v>
      </c>
      <c r="N145">
        <v>80</v>
      </c>
      <c r="O145" s="5">
        <v>64.25</v>
      </c>
      <c r="P145" s="5">
        <v>19.274999999999999</v>
      </c>
      <c r="Q145" s="11">
        <v>64.25</v>
      </c>
      <c r="R145" s="10">
        <v>0.18746675003153604</v>
      </c>
      <c r="S145" s="10">
        <v>1.542</v>
      </c>
      <c r="T145" t="s">
        <v>155</v>
      </c>
      <c r="U145">
        <v>24</v>
      </c>
      <c r="V145">
        <v>69</v>
      </c>
      <c r="W145" s="49">
        <v>26.025000000000006</v>
      </c>
      <c r="X145" t="str">
        <f t="shared" si="8"/>
        <v>Go71</v>
      </c>
      <c r="Y145">
        <f>IFERROR(VLOOKUP('Season 1 - Player Stats'!G145,'Season 1 - League Table'!$T$2:$W$177,4,FALSE),0)</f>
        <v>17</v>
      </c>
      <c r="Z145">
        <f>38</f>
        <v>38</v>
      </c>
      <c r="AA145">
        <f t="shared" si="9"/>
        <v>17</v>
      </c>
      <c r="AB145">
        <f t="shared" si="10"/>
        <v>0</v>
      </c>
      <c r="AC145">
        <f t="shared" si="11"/>
        <v>0</v>
      </c>
    </row>
    <row r="146" spans="1:29" x14ac:dyDescent="0.25">
      <c r="A146" s="8">
        <v>111</v>
      </c>
      <c r="B146" s="7" t="s">
        <v>33</v>
      </c>
      <c r="C146" s="8" t="s">
        <v>11</v>
      </c>
      <c r="D146" s="7" t="s">
        <v>923</v>
      </c>
      <c r="E146" s="7" t="s">
        <v>924</v>
      </c>
      <c r="F146" s="7" t="s">
        <v>925</v>
      </c>
      <c r="G146" s="7" t="s">
        <v>926</v>
      </c>
      <c r="H146">
        <v>77</v>
      </c>
      <c r="I146">
        <v>58</v>
      </c>
      <c r="J146">
        <v>9</v>
      </c>
      <c r="K146">
        <v>91</v>
      </c>
      <c r="L146" s="5">
        <v>58.75</v>
      </c>
      <c r="M146">
        <v>82</v>
      </c>
      <c r="N146">
        <v>80</v>
      </c>
      <c r="O146" s="5">
        <v>0</v>
      </c>
      <c r="P146" s="5">
        <v>65.649999999999991</v>
      </c>
      <c r="Q146" s="11">
        <v>65.649999999999991</v>
      </c>
      <c r="R146" s="10">
        <v>0</v>
      </c>
      <c r="S146" s="10">
        <v>0</v>
      </c>
      <c r="T146" t="s">
        <v>148</v>
      </c>
      <c r="U146">
        <v>32</v>
      </c>
      <c r="V146">
        <v>69</v>
      </c>
      <c r="W146" s="49">
        <v>25.924999999999997</v>
      </c>
      <c r="X146" t="str">
        <f t="shared" si="8"/>
        <v>Ha72</v>
      </c>
      <c r="Y146">
        <f>IFERROR(VLOOKUP('Season 1 - Player Stats'!G146,'Season 1 - League Table'!$T$2:$W$177,4,FALSE),0)</f>
        <v>0</v>
      </c>
      <c r="Z146">
        <f>38</f>
        <v>38</v>
      </c>
      <c r="AA146">
        <f t="shared" si="9"/>
        <v>0</v>
      </c>
      <c r="AB146">
        <f t="shared" si="10"/>
        <v>0</v>
      </c>
      <c r="AC146">
        <f t="shared" si="11"/>
        <v>0</v>
      </c>
    </row>
    <row r="147" spans="1:29" x14ac:dyDescent="0.25">
      <c r="A147" s="8">
        <v>151</v>
      </c>
      <c r="B147" s="7" t="s">
        <v>36</v>
      </c>
      <c r="C147" s="8" t="s">
        <v>46</v>
      </c>
      <c r="D147" s="7" t="s">
        <v>1219</v>
      </c>
      <c r="E147" s="7" t="s">
        <v>1220</v>
      </c>
      <c r="F147" s="7" t="s">
        <v>1221</v>
      </c>
      <c r="G147" s="7" t="s">
        <v>1413</v>
      </c>
      <c r="H147">
        <v>52</v>
      </c>
      <c r="I147">
        <v>61</v>
      </c>
      <c r="J147">
        <v>86</v>
      </c>
      <c r="K147">
        <v>78</v>
      </c>
      <c r="L147" s="5">
        <v>69.25</v>
      </c>
      <c r="M147">
        <v>55</v>
      </c>
      <c r="N147">
        <v>64</v>
      </c>
      <c r="O147" s="5">
        <v>56.25</v>
      </c>
      <c r="P147" s="5">
        <v>37.5</v>
      </c>
      <c r="Q147" s="11">
        <v>62.5</v>
      </c>
      <c r="R147" s="10">
        <v>0.1157800487819939</v>
      </c>
      <c r="S147" s="10">
        <v>1.08</v>
      </c>
      <c r="T147" t="s">
        <v>150</v>
      </c>
      <c r="U147">
        <v>19</v>
      </c>
      <c r="V147">
        <v>69</v>
      </c>
      <c r="W147" s="49">
        <v>25.650000000000006</v>
      </c>
      <c r="X147" t="str">
        <f t="shared" si="8"/>
        <v>Ja74</v>
      </c>
      <c r="Y147">
        <f>IFERROR(VLOOKUP('Season 1 - Player Stats'!G147,'Season 1 - League Table'!$T$2:$W$177,4,FALSE),0)</f>
        <v>7</v>
      </c>
      <c r="Z147">
        <f>38</f>
        <v>38</v>
      </c>
      <c r="AA147">
        <f t="shared" si="9"/>
        <v>7</v>
      </c>
      <c r="AB147">
        <f t="shared" si="10"/>
        <v>0</v>
      </c>
      <c r="AC147">
        <f t="shared" si="11"/>
        <v>0</v>
      </c>
    </row>
    <row r="148" spans="1:29" x14ac:dyDescent="0.25">
      <c r="A148" s="8">
        <v>142</v>
      </c>
      <c r="B148" s="7" t="s">
        <v>35</v>
      </c>
      <c r="C148" s="8" t="s">
        <v>59</v>
      </c>
      <c r="D148" s="7" t="s">
        <v>875</v>
      </c>
      <c r="E148" s="7" t="s">
        <v>876</v>
      </c>
      <c r="F148" s="7" t="s">
        <v>877</v>
      </c>
      <c r="G148" s="7" t="s">
        <v>878</v>
      </c>
      <c r="H148">
        <v>64</v>
      </c>
      <c r="I148">
        <v>100</v>
      </c>
      <c r="J148">
        <v>10</v>
      </c>
      <c r="K148">
        <v>48</v>
      </c>
      <c r="L148" s="5">
        <v>55.5</v>
      </c>
      <c r="M148">
        <v>76</v>
      </c>
      <c r="N148">
        <v>93</v>
      </c>
      <c r="O148" s="5">
        <v>62.8</v>
      </c>
      <c r="P148" s="5">
        <v>18.84</v>
      </c>
      <c r="Q148" s="11">
        <v>62.8</v>
      </c>
      <c r="R148" s="10">
        <v>0.19419556966072041</v>
      </c>
      <c r="S148" s="10">
        <v>1.7521200000000001</v>
      </c>
      <c r="T148" t="s">
        <v>158</v>
      </c>
      <c r="U148">
        <v>30</v>
      </c>
      <c r="V148">
        <v>70</v>
      </c>
      <c r="W148" s="49">
        <v>25.199999999999989</v>
      </c>
      <c r="X148" t="str">
        <f t="shared" si="8"/>
        <v>Do68</v>
      </c>
      <c r="Y148">
        <f>IFERROR(VLOOKUP('Season 1 - Player Stats'!G148,'Season 1 - League Table'!$T$2:$W$177,4,FALSE),0)</f>
        <v>8</v>
      </c>
      <c r="Z148">
        <f>38</f>
        <v>38</v>
      </c>
      <c r="AA148">
        <f t="shared" si="9"/>
        <v>8</v>
      </c>
      <c r="AB148">
        <f t="shared" si="10"/>
        <v>0</v>
      </c>
      <c r="AC148">
        <f t="shared" si="11"/>
        <v>0</v>
      </c>
    </row>
    <row r="149" spans="1:29" x14ac:dyDescent="0.25">
      <c r="A149" s="8">
        <v>40</v>
      </c>
      <c r="B149" s="7" t="s">
        <v>26</v>
      </c>
      <c r="C149" s="8" t="s">
        <v>57</v>
      </c>
      <c r="D149" s="7" t="s">
        <v>1222</v>
      </c>
      <c r="E149" s="7" t="s">
        <v>1223</v>
      </c>
      <c r="F149" s="7" t="s">
        <v>1224</v>
      </c>
      <c r="G149" s="7" t="s">
        <v>1225</v>
      </c>
      <c r="H149">
        <v>91</v>
      </c>
      <c r="I149">
        <v>47</v>
      </c>
      <c r="J149">
        <v>11</v>
      </c>
      <c r="K149">
        <v>90</v>
      </c>
      <c r="L149" s="5">
        <v>59.75</v>
      </c>
      <c r="M149">
        <v>82</v>
      </c>
      <c r="N149">
        <v>52</v>
      </c>
      <c r="O149" s="5">
        <v>44.287500000000001</v>
      </c>
      <c r="P149" s="5">
        <v>44.287500000000001</v>
      </c>
      <c r="Q149" s="11">
        <v>59.050000000000004</v>
      </c>
      <c r="R149" s="10">
        <v>0.10093556988855208</v>
      </c>
      <c r="S149" s="10">
        <v>0.69088500000000008</v>
      </c>
      <c r="T149" t="s">
        <v>145</v>
      </c>
      <c r="U149">
        <v>27</v>
      </c>
      <c r="V149">
        <v>73</v>
      </c>
      <c r="W149" s="49">
        <v>25.125</v>
      </c>
      <c r="X149" t="str">
        <f t="shared" si="8"/>
        <v>Fa70</v>
      </c>
      <c r="Y149">
        <f>IFERROR(VLOOKUP('Season 1 - Player Stats'!G149,'Season 1 - League Table'!$T$2:$W$177,4,FALSE),0)</f>
        <v>9</v>
      </c>
      <c r="Z149">
        <f>38</f>
        <v>38</v>
      </c>
      <c r="AA149">
        <f t="shared" si="9"/>
        <v>9</v>
      </c>
      <c r="AB149">
        <f t="shared" si="10"/>
        <v>0</v>
      </c>
      <c r="AC149">
        <f t="shared" si="11"/>
        <v>0</v>
      </c>
    </row>
    <row r="150" spans="1:29" x14ac:dyDescent="0.25">
      <c r="A150" s="8">
        <v>191</v>
      </c>
      <c r="B150" s="7" t="s">
        <v>40</v>
      </c>
      <c r="C150" s="8" t="s">
        <v>56</v>
      </c>
      <c r="D150" s="7" t="s">
        <v>1414</v>
      </c>
      <c r="E150" s="7" t="s">
        <v>1415</v>
      </c>
      <c r="F150" s="7" t="s">
        <v>1416</v>
      </c>
      <c r="G150" s="7" t="s">
        <v>1417</v>
      </c>
      <c r="H150">
        <v>46</v>
      </c>
      <c r="I150">
        <v>44</v>
      </c>
      <c r="J150">
        <v>75</v>
      </c>
      <c r="K150">
        <v>71</v>
      </c>
      <c r="L150" s="5">
        <v>59</v>
      </c>
      <c r="M150">
        <v>59</v>
      </c>
      <c r="N150">
        <v>83</v>
      </c>
      <c r="O150" s="5">
        <v>19.837499999999999</v>
      </c>
      <c r="P150" s="5">
        <v>66.125</v>
      </c>
      <c r="Q150" s="11">
        <v>66.125</v>
      </c>
      <c r="R150" s="10">
        <v>3.2423111403845808E-2</v>
      </c>
      <c r="S150" s="10">
        <v>0.49395374999999997</v>
      </c>
      <c r="T150" t="s">
        <v>154</v>
      </c>
      <c r="U150">
        <v>33</v>
      </c>
      <c r="V150">
        <v>67</v>
      </c>
      <c r="W150" s="49">
        <v>25.0625</v>
      </c>
      <c r="X150" t="str">
        <f t="shared" si="8"/>
        <v>St83</v>
      </c>
      <c r="Y150">
        <f>IFERROR(VLOOKUP('Season 1 - Player Stats'!G150,'Season 1 - League Table'!$T$2:$W$177,4,FALSE),0)</f>
        <v>2</v>
      </c>
      <c r="Z150">
        <f>38</f>
        <v>38</v>
      </c>
      <c r="AA150">
        <f t="shared" si="9"/>
        <v>2</v>
      </c>
      <c r="AB150">
        <f t="shared" si="10"/>
        <v>0</v>
      </c>
      <c r="AC150">
        <f t="shared" si="11"/>
        <v>0</v>
      </c>
    </row>
    <row r="151" spans="1:29" x14ac:dyDescent="0.25">
      <c r="A151" s="8">
        <v>141</v>
      </c>
      <c r="B151" s="7" t="s">
        <v>35</v>
      </c>
      <c r="C151" s="8" t="s">
        <v>52</v>
      </c>
      <c r="D151" s="7" t="s">
        <v>871</v>
      </c>
      <c r="E151" s="7" t="s">
        <v>872</v>
      </c>
      <c r="F151" s="7" t="s">
        <v>873</v>
      </c>
      <c r="G151" s="7" t="s">
        <v>874</v>
      </c>
      <c r="H151">
        <v>41</v>
      </c>
      <c r="I151">
        <v>98</v>
      </c>
      <c r="J151">
        <v>29</v>
      </c>
      <c r="K151">
        <v>57</v>
      </c>
      <c r="L151" s="5">
        <v>56.25</v>
      </c>
      <c r="M151">
        <v>82</v>
      </c>
      <c r="N151">
        <v>98</v>
      </c>
      <c r="O151" s="5">
        <v>56.15</v>
      </c>
      <c r="P151" s="5">
        <v>16.844999999999999</v>
      </c>
      <c r="Q151" s="11">
        <v>56.15</v>
      </c>
      <c r="R151" s="10">
        <v>0.1736318668224435</v>
      </c>
      <c r="S151" s="10">
        <v>1.6508100000000001</v>
      </c>
      <c r="T151" t="s">
        <v>158</v>
      </c>
      <c r="U151">
        <v>19</v>
      </c>
      <c r="V151">
        <v>74</v>
      </c>
      <c r="W151" s="49">
        <v>24.974999999999994</v>
      </c>
      <c r="X151" t="str">
        <f t="shared" si="8"/>
        <v>Do68</v>
      </c>
      <c r="Y151">
        <f>IFERROR(VLOOKUP('Season 1 - Player Stats'!G151,'Season 1 - League Table'!$T$2:$W$177,4,FALSE),0)</f>
        <v>7</v>
      </c>
      <c r="Z151">
        <f>38</f>
        <v>38</v>
      </c>
      <c r="AA151">
        <f t="shared" si="9"/>
        <v>7</v>
      </c>
      <c r="AB151">
        <f t="shared" si="10"/>
        <v>0</v>
      </c>
      <c r="AC151">
        <f t="shared" si="11"/>
        <v>0</v>
      </c>
    </row>
    <row r="152" spans="1:29" x14ac:dyDescent="0.25">
      <c r="A152" s="8">
        <v>80</v>
      </c>
      <c r="B152" s="7" t="s">
        <v>30</v>
      </c>
      <c r="C152" s="8" t="s">
        <v>56</v>
      </c>
      <c r="D152" s="7" t="s">
        <v>1053</v>
      </c>
      <c r="E152" s="7" t="s">
        <v>1054</v>
      </c>
      <c r="F152" s="7" t="s">
        <v>1055</v>
      </c>
      <c r="G152" s="7" t="s">
        <v>1056</v>
      </c>
      <c r="H152">
        <v>22</v>
      </c>
      <c r="I152">
        <v>40</v>
      </c>
      <c r="J152">
        <v>87</v>
      </c>
      <c r="K152">
        <v>41</v>
      </c>
      <c r="L152" s="5">
        <v>47.5</v>
      </c>
      <c r="M152">
        <v>36</v>
      </c>
      <c r="N152">
        <v>31</v>
      </c>
      <c r="O152" s="5">
        <v>19.477499999999999</v>
      </c>
      <c r="P152" s="5">
        <v>64.924999999999997</v>
      </c>
      <c r="Q152" s="11">
        <v>64.924999999999997</v>
      </c>
      <c r="R152" s="10">
        <v>4.2513438232994534E-2</v>
      </c>
      <c r="S152" s="10">
        <v>0.18114075000000002</v>
      </c>
      <c r="T152" t="s">
        <v>139</v>
      </c>
      <c r="U152">
        <v>20</v>
      </c>
      <c r="V152">
        <v>65</v>
      </c>
      <c r="W152" s="49">
        <v>24.762499999999989</v>
      </c>
      <c r="X152" t="str">
        <f t="shared" si="8"/>
        <v>Rh82</v>
      </c>
      <c r="Y152">
        <f>IFERROR(VLOOKUP('Season 1 - Player Stats'!G152,'Season 1 - League Table'!$T$2:$W$177,4,FALSE),0)</f>
        <v>1</v>
      </c>
      <c r="Z152">
        <f>38</f>
        <v>38</v>
      </c>
      <c r="AA152">
        <f t="shared" si="9"/>
        <v>1</v>
      </c>
      <c r="AB152">
        <f t="shared" si="10"/>
        <v>0</v>
      </c>
      <c r="AC152">
        <f t="shared" si="11"/>
        <v>0</v>
      </c>
    </row>
    <row r="153" spans="1:29" x14ac:dyDescent="0.25">
      <c r="A153" s="8">
        <v>138</v>
      </c>
      <c r="B153" s="7" t="s">
        <v>35</v>
      </c>
      <c r="C153" s="8" t="s">
        <v>45</v>
      </c>
      <c r="D153" s="7" t="s">
        <v>859</v>
      </c>
      <c r="E153" s="7" t="s">
        <v>860</v>
      </c>
      <c r="F153" s="7" t="s">
        <v>861</v>
      </c>
      <c r="G153" s="7" t="s">
        <v>862</v>
      </c>
      <c r="H153">
        <v>48</v>
      </c>
      <c r="I153">
        <v>100</v>
      </c>
      <c r="J153">
        <v>22</v>
      </c>
      <c r="K153">
        <v>73</v>
      </c>
      <c r="L153" s="5">
        <v>60.75</v>
      </c>
      <c r="M153">
        <v>80</v>
      </c>
      <c r="N153">
        <v>97</v>
      </c>
      <c r="O153" s="5">
        <v>34.17</v>
      </c>
      <c r="P153" s="5">
        <v>51.255000000000003</v>
      </c>
      <c r="Q153" s="11">
        <v>56.95</v>
      </c>
      <c r="R153" s="10">
        <v>7.9446178527211531E-2</v>
      </c>
      <c r="S153" s="10">
        <v>0.99434699999999998</v>
      </c>
      <c r="T153" t="s">
        <v>158</v>
      </c>
      <c r="U153">
        <v>18</v>
      </c>
      <c r="V153">
        <v>72</v>
      </c>
      <c r="W153" s="49">
        <v>24.474999999999994</v>
      </c>
      <c r="X153" t="str">
        <f t="shared" si="8"/>
        <v>Do68</v>
      </c>
      <c r="Y153">
        <f>IFERROR(VLOOKUP('Season 1 - Player Stats'!G153,'Season 1 - League Table'!$T$2:$W$177,4,FALSE),0)</f>
        <v>7</v>
      </c>
      <c r="Z153">
        <f>38</f>
        <v>38</v>
      </c>
      <c r="AA153">
        <f t="shared" si="9"/>
        <v>7</v>
      </c>
      <c r="AB153">
        <f t="shared" si="10"/>
        <v>0</v>
      </c>
      <c r="AC153">
        <f t="shared" si="11"/>
        <v>0</v>
      </c>
    </row>
    <row r="154" spans="1:29" x14ac:dyDescent="0.25">
      <c r="A154" s="8">
        <v>155</v>
      </c>
      <c r="B154" s="7" t="s">
        <v>37</v>
      </c>
      <c r="C154" s="8" t="s">
        <v>11</v>
      </c>
      <c r="D154" s="7" t="s">
        <v>795</v>
      </c>
      <c r="E154" s="7" t="s">
        <v>796</v>
      </c>
      <c r="F154" s="7" t="s">
        <v>797</v>
      </c>
      <c r="G154" s="7" t="s">
        <v>798</v>
      </c>
      <c r="H154">
        <v>43</v>
      </c>
      <c r="I154">
        <v>100</v>
      </c>
      <c r="J154">
        <v>100</v>
      </c>
      <c r="K154">
        <v>4</v>
      </c>
      <c r="L154" s="5">
        <v>61.75</v>
      </c>
      <c r="M154">
        <v>68</v>
      </c>
      <c r="N154">
        <v>86</v>
      </c>
      <c r="O154" s="5">
        <v>0</v>
      </c>
      <c r="P154" s="5">
        <v>62.800000000000004</v>
      </c>
      <c r="Q154" s="11">
        <v>62.800000000000004</v>
      </c>
      <c r="R154" s="10">
        <v>0</v>
      </c>
      <c r="S154" s="10">
        <v>0</v>
      </c>
      <c r="T154" t="s">
        <v>151</v>
      </c>
      <c r="U154">
        <v>22</v>
      </c>
      <c r="V154">
        <v>66</v>
      </c>
      <c r="W154" s="49">
        <v>24</v>
      </c>
      <c r="X154" t="str">
        <f t="shared" si="8"/>
        <v>El69</v>
      </c>
      <c r="Y154">
        <f>IFERROR(VLOOKUP('Season 1 - Player Stats'!G154,'Season 1 - League Table'!$T$2:$W$177,4,FALSE),0)</f>
        <v>0</v>
      </c>
      <c r="Z154">
        <f>38</f>
        <v>38</v>
      </c>
      <c r="AA154">
        <f t="shared" si="9"/>
        <v>0</v>
      </c>
      <c r="AB154">
        <f t="shared" si="10"/>
        <v>0</v>
      </c>
      <c r="AC154">
        <f t="shared" si="11"/>
        <v>0</v>
      </c>
    </row>
    <row r="155" spans="1:29" x14ac:dyDescent="0.25">
      <c r="A155" s="8">
        <v>146</v>
      </c>
      <c r="B155" s="7" t="s">
        <v>36</v>
      </c>
      <c r="C155" s="8" t="s">
        <v>56</v>
      </c>
      <c r="D155" s="7" t="s">
        <v>1418</v>
      </c>
      <c r="E155" s="7" t="s">
        <v>1211</v>
      </c>
      <c r="F155" s="7" t="s">
        <v>1212</v>
      </c>
      <c r="G155" s="7" t="s">
        <v>1419</v>
      </c>
      <c r="H155">
        <v>50</v>
      </c>
      <c r="I155">
        <v>63</v>
      </c>
      <c r="J155">
        <v>66</v>
      </c>
      <c r="K155">
        <v>56</v>
      </c>
      <c r="L155" s="5">
        <v>58.75</v>
      </c>
      <c r="M155">
        <v>48</v>
      </c>
      <c r="N155">
        <v>55</v>
      </c>
      <c r="O155" s="5">
        <v>18.614999999999995</v>
      </c>
      <c r="P155" s="5">
        <v>62.04999999999999</v>
      </c>
      <c r="Q155" s="11">
        <v>62.04999999999999</v>
      </c>
      <c r="R155" s="10">
        <v>2.5671369909537185E-2</v>
      </c>
      <c r="S155" s="10">
        <v>0.30714749999999996</v>
      </c>
      <c r="T155" t="s">
        <v>150</v>
      </c>
      <c r="U155">
        <v>21</v>
      </c>
      <c r="V155">
        <v>65</v>
      </c>
      <c r="W155" s="49">
        <v>23.224999999999994</v>
      </c>
      <c r="X155" t="str">
        <f t="shared" si="8"/>
        <v>Ja74</v>
      </c>
      <c r="Y155">
        <f>IFERROR(VLOOKUP('Season 1 - Player Stats'!G155,'Season 1 - League Table'!$T$2:$W$177,4,FALSE),0)</f>
        <v>0</v>
      </c>
      <c r="Z155">
        <f>38</f>
        <v>38</v>
      </c>
      <c r="AA155">
        <f t="shared" si="9"/>
        <v>0</v>
      </c>
      <c r="AB155">
        <f t="shared" si="10"/>
        <v>0</v>
      </c>
      <c r="AC155">
        <f t="shared" si="11"/>
        <v>0</v>
      </c>
    </row>
    <row r="156" spans="1:29" x14ac:dyDescent="0.25">
      <c r="A156" s="8">
        <v>101</v>
      </c>
      <c r="B156" s="7" t="s">
        <v>32</v>
      </c>
      <c r="C156" s="8" t="s">
        <v>54</v>
      </c>
      <c r="D156" s="7" t="s">
        <v>971</v>
      </c>
      <c r="E156" s="7" t="s">
        <v>972</v>
      </c>
      <c r="F156" s="7" t="s">
        <v>973</v>
      </c>
      <c r="G156" s="7" t="s">
        <v>974</v>
      </c>
      <c r="H156">
        <v>72</v>
      </c>
      <c r="I156">
        <v>53</v>
      </c>
      <c r="J156">
        <v>86</v>
      </c>
      <c r="K156">
        <v>39</v>
      </c>
      <c r="L156" s="5">
        <v>62.5</v>
      </c>
      <c r="M156">
        <v>26</v>
      </c>
      <c r="N156">
        <v>80</v>
      </c>
      <c r="O156" s="5">
        <v>25.28</v>
      </c>
      <c r="P156" s="5">
        <v>56.88</v>
      </c>
      <c r="Q156" s="11">
        <v>63.2</v>
      </c>
      <c r="R156" s="10">
        <v>4.5471593006476727E-2</v>
      </c>
      <c r="S156" s="10">
        <v>0.60672000000000015</v>
      </c>
      <c r="T156" t="s">
        <v>141</v>
      </c>
      <c r="U156">
        <v>28</v>
      </c>
      <c r="V156">
        <v>65</v>
      </c>
      <c r="W156" s="49">
        <v>23.1</v>
      </c>
      <c r="X156" t="str">
        <f t="shared" si="8"/>
        <v>Be66</v>
      </c>
      <c r="Y156">
        <f>IFERROR(VLOOKUP('Season 1 - Player Stats'!G156,'Season 1 - League Table'!$T$2:$W$177,4,FALSE),0)</f>
        <v>2</v>
      </c>
      <c r="Z156">
        <f>38</f>
        <v>38</v>
      </c>
      <c r="AA156">
        <f t="shared" si="9"/>
        <v>2</v>
      </c>
      <c r="AB156">
        <f t="shared" si="10"/>
        <v>0</v>
      </c>
      <c r="AC156">
        <f t="shared" si="11"/>
        <v>0</v>
      </c>
    </row>
    <row r="157" spans="1:29" x14ac:dyDescent="0.25">
      <c r="A157" s="8">
        <v>48</v>
      </c>
      <c r="B157" s="7" t="s">
        <v>28</v>
      </c>
      <c r="C157" s="8" t="s">
        <v>56</v>
      </c>
      <c r="D157" s="7" t="s">
        <v>1179</v>
      </c>
      <c r="E157" s="7" t="s">
        <v>1180</v>
      </c>
      <c r="F157" s="7" t="s">
        <v>1181</v>
      </c>
      <c r="G157" s="7" t="s">
        <v>1182</v>
      </c>
      <c r="H157">
        <v>54</v>
      </c>
      <c r="I157">
        <v>43</v>
      </c>
      <c r="J157">
        <v>71</v>
      </c>
      <c r="K157">
        <v>69</v>
      </c>
      <c r="L157" s="5">
        <v>59.25</v>
      </c>
      <c r="M157">
        <v>64</v>
      </c>
      <c r="N157">
        <v>8</v>
      </c>
      <c r="O157" s="5">
        <v>19.312499999999996</v>
      </c>
      <c r="P157" s="5">
        <v>64.374999999999986</v>
      </c>
      <c r="Q157" s="11">
        <v>64.374999999999986</v>
      </c>
      <c r="R157" s="10">
        <v>2.8288042587147334E-2</v>
      </c>
      <c r="S157" s="10">
        <v>4.6349999999999988E-2</v>
      </c>
      <c r="T157" t="s">
        <v>157</v>
      </c>
      <c r="U157">
        <v>34</v>
      </c>
      <c r="V157">
        <v>65</v>
      </c>
      <c r="W157" s="49">
        <v>23.087499999999991</v>
      </c>
      <c r="X157" t="str">
        <f t="shared" si="8"/>
        <v>Sh83</v>
      </c>
      <c r="Y157">
        <f>IFERROR(VLOOKUP('Season 1 - Player Stats'!G157,'Season 1 - League Table'!$T$2:$W$177,4,FALSE),0)</f>
        <v>1</v>
      </c>
      <c r="Z157">
        <f>38</f>
        <v>38</v>
      </c>
      <c r="AA157">
        <f t="shared" si="9"/>
        <v>1</v>
      </c>
      <c r="AB157">
        <f t="shared" si="10"/>
        <v>0</v>
      </c>
      <c r="AC157">
        <f t="shared" si="11"/>
        <v>0</v>
      </c>
    </row>
    <row r="158" spans="1:29" x14ac:dyDescent="0.25">
      <c r="A158" s="8">
        <v>167</v>
      </c>
      <c r="B158" s="7" t="s">
        <v>38</v>
      </c>
      <c r="C158" s="8" t="s">
        <v>54</v>
      </c>
      <c r="D158" s="7" t="s">
        <v>757</v>
      </c>
      <c r="E158" s="7" t="s">
        <v>758</v>
      </c>
      <c r="F158" s="7" t="s">
        <v>759</v>
      </c>
      <c r="G158" s="7" t="s">
        <v>760</v>
      </c>
      <c r="H158">
        <v>92</v>
      </c>
      <c r="I158">
        <v>49</v>
      </c>
      <c r="J158">
        <v>14</v>
      </c>
      <c r="K158">
        <v>100</v>
      </c>
      <c r="L158" s="5">
        <v>63.75</v>
      </c>
      <c r="M158">
        <v>35</v>
      </c>
      <c r="N158">
        <v>86</v>
      </c>
      <c r="O158" s="5">
        <v>23.400000000000002</v>
      </c>
      <c r="P158" s="5">
        <v>52.65</v>
      </c>
      <c r="Q158" s="11">
        <v>58.5</v>
      </c>
      <c r="R158" s="10">
        <v>3.4124522511345463E-2</v>
      </c>
      <c r="S158" s="10">
        <v>0.60372000000000003</v>
      </c>
      <c r="T158" t="s">
        <v>152</v>
      </c>
      <c r="U158">
        <v>19</v>
      </c>
      <c r="V158">
        <v>67</v>
      </c>
      <c r="W158" s="49">
        <v>22.65</v>
      </c>
      <c r="X158" t="str">
        <f t="shared" si="8"/>
        <v>Ch67</v>
      </c>
      <c r="Y158">
        <f>IFERROR(VLOOKUP('Season 1 - Player Stats'!G158,'Season 1 - League Table'!$T$2:$W$177,4,FALSE),0)</f>
        <v>3</v>
      </c>
      <c r="Z158">
        <f>38</f>
        <v>38</v>
      </c>
      <c r="AA158">
        <f t="shared" si="9"/>
        <v>3</v>
      </c>
      <c r="AB158">
        <f t="shared" si="10"/>
        <v>0</v>
      </c>
      <c r="AC158">
        <f t="shared" si="11"/>
        <v>0</v>
      </c>
    </row>
    <row r="159" spans="1:29" x14ac:dyDescent="0.25">
      <c r="A159" s="8">
        <v>129</v>
      </c>
      <c r="B159" s="7" t="s">
        <v>34</v>
      </c>
      <c r="C159" s="8" t="s">
        <v>46</v>
      </c>
      <c r="D159" s="7" t="s">
        <v>892</v>
      </c>
      <c r="E159" s="7" t="s">
        <v>909</v>
      </c>
      <c r="F159" s="7" t="s">
        <v>910</v>
      </c>
      <c r="G159" s="7" t="s">
        <v>911</v>
      </c>
      <c r="H159">
        <v>58</v>
      </c>
      <c r="I159">
        <v>61</v>
      </c>
      <c r="J159">
        <v>43</v>
      </c>
      <c r="K159">
        <v>63</v>
      </c>
      <c r="L159" s="5">
        <v>56.25</v>
      </c>
      <c r="M159">
        <v>86</v>
      </c>
      <c r="N159">
        <v>25</v>
      </c>
      <c r="O159" s="5">
        <v>53.505000000000003</v>
      </c>
      <c r="P159" s="5">
        <v>35.67</v>
      </c>
      <c r="Q159" s="11">
        <v>59.45</v>
      </c>
      <c r="R159" s="10">
        <v>0.14292106018818407</v>
      </c>
      <c r="S159" s="10">
        <v>0.40128750000000002</v>
      </c>
      <c r="T159" t="s">
        <v>146</v>
      </c>
      <c r="U159">
        <v>24</v>
      </c>
      <c r="V159">
        <v>67</v>
      </c>
      <c r="W159" s="49">
        <v>22.625</v>
      </c>
      <c r="X159" t="str">
        <f t="shared" si="8"/>
        <v>Py80</v>
      </c>
      <c r="Y159">
        <f>IFERROR(VLOOKUP('Season 1 - Player Stats'!G159,'Season 1 - League Table'!$T$2:$W$177,4,FALSE),0)</f>
        <v>10</v>
      </c>
      <c r="Z159">
        <f>38</f>
        <v>38</v>
      </c>
      <c r="AA159">
        <f t="shared" si="9"/>
        <v>10</v>
      </c>
      <c r="AB159">
        <f t="shared" si="10"/>
        <v>0</v>
      </c>
      <c r="AC159">
        <f t="shared" si="11"/>
        <v>0</v>
      </c>
    </row>
    <row r="160" spans="1:29" x14ac:dyDescent="0.25">
      <c r="A160" s="8">
        <v>124</v>
      </c>
      <c r="B160" s="7" t="s">
        <v>34</v>
      </c>
      <c r="C160" s="8" t="s">
        <v>56</v>
      </c>
      <c r="D160" s="7" t="s">
        <v>891</v>
      </c>
      <c r="E160" s="7" t="s">
        <v>892</v>
      </c>
      <c r="F160" s="7" t="s">
        <v>893</v>
      </c>
      <c r="G160" s="7" t="s">
        <v>894</v>
      </c>
      <c r="H160">
        <v>52</v>
      </c>
      <c r="I160">
        <v>45</v>
      </c>
      <c r="J160">
        <v>51</v>
      </c>
      <c r="K160">
        <v>65</v>
      </c>
      <c r="L160" s="5">
        <v>53.25</v>
      </c>
      <c r="M160">
        <v>90</v>
      </c>
      <c r="N160">
        <v>28</v>
      </c>
      <c r="O160" s="5">
        <v>15.6975</v>
      </c>
      <c r="P160" s="5">
        <v>52.325000000000003</v>
      </c>
      <c r="Q160" s="11">
        <v>52.325000000000003</v>
      </c>
      <c r="R160" s="10">
        <v>2.8093584512544491E-2</v>
      </c>
      <c r="S160" s="10">
        <v>0.131859</v>
      </c>
      <c r="T160" t="s">
        <v>146</v>
      </c>
      <c r="U160">
        <v>24</v>
      </c>
      <c r="V160">
        <v>74</v>
      </c>
      <c r="W160" s="49">
        <v>22.5625</v>
      </c>
      <c r="X160" t="str">
        <f t="shared" si="8"/>
        <v>Py80</v>
      </c>
      <c r="Y160">
        <f>IFERROR(VLOOKUP('Season 1 - Player Stats'!G160,'Season 1 - League Table'!$T$2:$W$177,4,FALSE),0)</f>
        <v>0</v>
      </c>
      <c r="Z160">
        <f>38</f>
        <v>38</v>
      </c>
      <c r="AA160">
        <f t="shared" si="9"/>
        <v>0</v>
      </c>
      <c r="AB160">
        <f t="shared" si="10"/>
        <v>0</v>
      </c>
      <c r="AC160">
        <f t="shared" si="11"/>
        <v>0</v>
      </c>
    </row>
    <row r="161" spans="1:29" x14ac:dyDescent="0.25">
      <c r="A161" s="8">
        <v>170</v>
      </c>
      <c r="B161" s="7" t="s">
        <v>38</v>
      </c>
      <c r="C161" s="8" t="s">
        <v>55</v>
      </c>
      <c r="D161" s="7" t="s">
        <v>768</v>
      </c>
      <c r="E161" s="7" t="s">
        <v>769</v>
      </c>
      <c r="F161" s="7" t="s">
        <v>770</v>
      </c>
      <c r="G161" s="7" t="s">
        <v>771</v>
      </c>
      <c r="H161">
        <v>97</v>
      </c>
      <c r="I161">
        <v>52</v>
      </c>
      <c r="J161">
        <v>21</v>
      </c>
      <c r="K161">
        <v>97</v>
      </c>
      <c r="L161" s="5">
        <v>66.75</v>
      </c>
      <c r="M161">
        <v>29</v>
      </c>
      <c r="N161">
        <v>88</v>
      </c>
      <c r="O161" s="5">
        <v>24.56</v>
      </c>
      <c r="P161" s="5">
        <v>55.259999999999991</v>
      </c>
      <c r="Q161" s="11">
        <v>61.399999999999991</v>
      </c>
      <c r="R161" s="10">
        <v>3.5816165507634383E-2</v>
      </c>
      <c r="S161" s="10">
        <v>0.64838399999999996</v>
      </c>
      <c r="T161" t="s">
        <v>152</v>
      </c>
      <c r="U161">
        <v>25</v>
      </c>
      <c r="V161">
        <v>65</v>
      </c>
      <c r="W161" s="49">
        <v>22.5</v>
      </c>
      <c r="X161" t="str">
        <f t="shared" si="8"/>
        <v>Ch67</v>
      </c>
      <c r="Y161">
        <f>IFERROR(VLOOKUP('Season 1 - Player Stats'!G161,'Season 1 - League Table'!$T$2:$W$177,4,FALSE),0)</f>
        <v>3</v>
      </c>
      <c r="Z161">
        <f>38</f>
        <v>38</v>
      </c>
      <c r="AA161">
        <f t="shared" si="9"/>
        <v>3</v>
      </c>
      <c r="AB161">
        <f t="shared" si="10"/>
        <v>0</v>
      </c>
      <c r="AC161">
        <f t="shared" si="11"/>
        <v>0</v>
      </c>
    </row>
    <row r="162" spans="1:29" x14ac:dyDescent="0.25">
      <c r="A162" s="8">
        <v>83</v>
      </c>
      <c r="B162" s="7" t="s">
        <v>30</v>
      </c>
      <c r="C162" s="8" t="s">
        <v>45</v>
      </c>
      <c r="D162" s="7" t="s">
        <v>1065</v>
      </c>
      <c r="E162" s="7" t="s">
        <v>1066</v>
      </c>
      <c r="F162" s="7" t="s">
        <v>1067</v>
      </c>
      <c r="G162" s="7" t="s">
        <v>1068</v>
      </c>
      <c r="H162">
        <v>26</v>
      </c>
      <c r="I162">
        <v>30</v>
      </c>
      <c r="J162">
        <v>89</v>
      </c>
      <c r="K162">
        <v>64</v>
      </c>
      <c r="L162" s="5">
        <v>52.25</v>
      </c>
      <c r="M162">
        <v>35</v>
      </c>
      <c r="N162">
        <v>32</v>
      </c>
      <c r="O162" s="5">
        <v>34.86</v>
      </c>
      <c r="P162" s="5">
        <v>52.29</v>
      </c>
      <c r="Q162" s="11">
        <v>58.1</v>
      </c>
      <c r="R162" s="10">
        <v>0.1135652853792025</v>
      </c>
      <c r="S162" s="10">
        <v>0.33465600000000006</v>
      </c>
      <c r="T162" t="s">
        <v>139</v>
      </c>
      <c r="U162">
        <v>24</v>
      </c>
      <c r="V162">
        <v>68</v>
      </c>
      <c r="W162" s="49">
        <v>22.450000000000003</v>
      </c>
      <c r="X162" t="str">
        <f t="shared" si="8"/>
        <v>Rh82</v>
      </c>
      <c r="Y162">
        <f>IFERROR(VLOOKUP('Season 1 - Player Stats'!G162,'Season 1 - League Table'!$T$2:$W$177,4,FALSE),0)</f>
        <v>4</v>
      </c>
      <c r="Z162">
        <f>38</f>
        <v>38</v>
      </c>
      <c r="AA162">
        <f t="shared" si="9"/>
        <v>4</v>
      </c>
      <c r="AB162">
        <f t="shared" si="10"/>
        <v>0</v>
      </c>
      <c r="AC162">
        <f t="shared" si="11"/>
        <v>0</v>
      </c>
    </row>
    <row r="163" spans="1:29" x14ac:dyDescent="0.25">
      <c r="A163" s="8">
        <v>181</v>
      </c>
      <c r="B163" s="7" t="s">
        <v>39</v>
      </c>
      <c r="C163" s="8" t="s">
        <v>55</v>
      </c>
      <c r="D163" s="7" t="s">
        <v>726</v>
      </c>
      <c r="E163" s="7" t="s">
        <v>727</v>
      </c>
      <c r="F163" s="7" t="s">
        <v>728</v>
      </c>
      <c r="G163" s="7" t="s">
        <v>729</v>
      </c>
      <c r="H163">
        <v>93</v>
      </c>
      <c r="I163">
        <v>81</v>
      </c>
      <c r="J163">
        <v>25</v>
      </c>
      <c r="K163">
        <v>74</v>
      </c>
      <c r="L163" s="5">
        <v>68.25</v>
      </c>
      <c r="M163">
        <v>91</v>
      </c>
      <c r="N163">
        <v>102</v>
      </c>
      <c r="O163" s="5">
        <v>24.439999999999998</v>
      </c>
      <c r="P163" s="5">
        <v>54.989999999999995</v>
      </c>
      <c r="Q163" s="11">
        <v>61.099999999999994</v>
      </c>
      <c r="R163" s="10">
        <v>3.8979034379333123E-2</v>
      </c>
      <c r="S163" s="10">
        <v>0.74786399999999997</v>
      </c>
      <c r="T163" t="s">
        <v>153</v>
      </c>
      <c r="U163">
        <v>31</v>
      </c>
      <c r="V163">
        <v>66</v>
      </c>
      <c r="W163" s="49">
        <v>22.25</v>
      </c>
      <c r="X163" t="str">
        <f t="shared" si="8"/>
        <v>Ra82</v>
      </c>
      <c r="Y163">
        <f>IFERROR(VLOOKUP('Season 1 - Player Stats'!G163,'Season 1 - League Table'!$T$2:$W$177,4,FALSE),0)</f>
        <v>4</v>
      </c>
      <c r="Z163">
        <f>38</f>
        <v>38</v>
      </c>
      <c r="AA163">
        <f t="shared" si="9"/>
        <v>4</v>
      </c>
      <c r="AB163">
        <f t="shared" si="10"/>
        <v>0</v>
      </c>
      <c r="AC163">
        <f t="shared" si="11"/>
        <v>0</v>
      </c>
    </row>
    <row r="164" spans="1:29" x14ac:dyDescent="0.25">
      <c r="A164" s="8">
        <v>137</v>
      </c>
      <c r="B164" s="7" t="s">
        <v>35</v>
      </c>
      <c r="C164" s="8" t="s">
        <v>55</v>
      </c>
      <c r="D164" s="7" t="s">
        <v>855</v>
      </c>
      <c r="E164" s="7" t="s">
        <v>856</v>
      </c>
      <c r="F164" s="7" t="s">
        <v>857</v>
      </c>
      <c r="G164" s="7" t="s">
        <v>858</v>
      </c>
      <c r="H164">
        <v>62</v>
      </c>
      <c r="I164">
        <v>100</v>
      </c>
      <c r="J164">
        <v>2</v>
      </c>
      <c r="K164">
        <v>73</v>
      </c>
      <c r="L164" s="5">
        <v>59.25</v>
      </c>
      <c r="M164">
        <v>83</v>
      </c>
      <c r="N164">
        <v>96</v>
      </c>
      <c r="O164" s="5">
        <v>20.759999999999998</v>
      </c>
      <c r="P164" s="5">
        <v>46.709999999999994</v>
      </c>
      <c r="Q164" s="11">
        <v>51.899999999999991</v>
      </c>
      <c r="R164" s="10">
        <v>3.2339267965194339E-2</v>
      </c>
      <c r="S164" s="10">
        <v>0.59788799999999998</v>
      </c>
      <c r="T164" t="s">
        <v>158</v>
      </c>
      <c r="U164">
        <v>24</v>
      </c>
      <c r="V164">
        <v>73</v>
      </c>
      <c r="W164" s="49">
        <v>21.849999999999994</v>
      </c>
      <c r="X164" t="str">
        <f t="shared" si="8"/>
        <v>Do68</v>
      </c>
      <c r="Y164">
        <f>IFERROR(VLOOKUP('Season 1 - Player Stats'!G164,'Season 1 - League Table'!$T$2:$W$177,4,FALSE),0)</f>
        <v>4</v>
      </c>
      <c r="Z164">
        <f>38</f>
        <v>38</v>
      </c>
      <c r="AA164">
        <f t="shared" si="9"/>
        <v>4</v>
      </c>
      <c r="AB164">
        <f t="shared" si="10"/>
        <v>0</v>
      </c>
      <c r="AC164">
        <f t="shared" si="11"/>
        <v>0</v>
      </c>
    </row>
    <row r="165" spans="1:29" x14ac:dyDescent="0.25">
      <c r="A165" s="8">
        <v>27</v>
      </c>
      <c r="B165" s="7" t="s">
        <v>25</v>
      </c>
      <c r="C165" s="8" t="s">
        <v>55</v>
      </c>
      <c r="D165" s="7" t="s">
        <v>1252</v>
      </c>
      <c r="E165" s="7" t="s">
        <v>1253</v>
      </c>
      <c r="F165" s="7" t="s">
        <v>1254</v>
      </c>
      <c r="G165" s="7" t="s">
        <v>1255</v>
      </c>
      <c r="H165">
        <v>81</v>
      </c>
      <c r="I165">
        <v>20</v>
      </c>
      <c r="J165">
        <v>45</v>
      </c>
      <c r="K165">
        <v>81</v>
      </c>
      <c r="L165" s="5">
        <v>56.75</v>
      </c>
      <c r="M165">
        <v>89</v>
      </c>
      <c r="N165">
        <v>28</v>
      </c>
      <c r="O165" s="5">
        <v>22.480000000000004</v>
      </c>
      <c r="P165" s="5">
        <v>50.580000000000005</v>
      </c>
      <c r="Q165" s="11">
        <v>56.2</v>
      </c>
      <c r="R165" s="10">
        <v>3.5021072028553334E-2</v>
      </c>
      <c r="S165" s="10">
        <v>0.18883200000000006</v>
      </c>
      <c r="T165" t="s">
        <v>142</v>
      </c>
      <c r="U165">
        <v>26</v>
      </c>
      <c r="V165">
        <v>69</v>
      </c>
      <c r="W165" s="49">
        <v>21.800000000000004</v>
      </c>
      <c r="X165" t="str">
        <f t="shared" si="8"/>
        <v>Co67</v>
      </c>
      <c r="Y165">
        <f>IFERROR(VLOOKUP('Season 1 - Player Stats'!G165,'Season 1 - League Table'!$T$2:$W$177,4,FALSE),0)</f>
        <v>2</v>
      </c>
      <c r="Z165">
        <f>38</f>
        <v>38</v>
      </c>
      <c r="AA165">
        <f t="shared" si="9"/>
        <v>2</v>
      </c>
      <c r="AB165">
        <f t="shared" si="10"/>
        <v>0</v>
      </c>
      <c r="AC165">
        <f t="shared" si="11"/>
        <v>0</v>
      </c>
    </row>
    <row r="166" spans="1:29" x14ac:dyDescent="0.25">
      <c r="A166" s="8">
        <v>116</v>
      </c>
      <c r="B166" s="7" t="s">
        <v>33</v>
      </c>
      <c r="C166" s="8" t="s">
        <v>45</v>
      </c>
      <c r="D166" s="7" t="s">
        <v>943</v>
      </c>
      <c r="E166" s="7" t="s">
        <v>944</v>
      </c>
      <c r="F166" s="7" t="s">
        <v>945</v>
      </c>
      <c r="G166" s="7" t="s">
        <v>946</v>
      </c>
      <c r="H166">
        <v>89</v>
      </c>
      <c r="I166">
        <v>100</v>
      </c>
      <c r="J166">
        <v>19</v>
      </c>
      <c r="K166">
        <v>79</v>
      </c>
      <c r="L166" s="5">
        <v>71.75</v>
      </c>
      <c r="M166">
        <v>85</v>
      </c>
      <c r="N166">
        <v>79</v>
      </c>
      <c r="O166" s="5">
        <v>37.68</v>
      </c>
      <c r="P166" s="5">
        <v>56.52</v>
      </c>
      <c r="Q166" s="11">
        <v>62.800000000000004</v>
      </c>
      <c r="R166" s="10">
        <v>7.6934856512817368E-2</v>
      </c>
      <c r="S166" s="10">
        <v>0.89301600000000014</v>
      </c>
      <c r="T166" t="s">
        <v>148</v>
      </c>
      <c r="U166">
        <v>34</v>
      </c>
      <c r="V166">
        <v>64</v>
      </c>
      <c r="W166" s="49">
        <v>21.799999999999997</v>
      </c>
      <c r="X166" t="str">
        <f t="shared" si="8"/>
        <v>Ha72</v>
      </c>
      <c r="Y166">
        <f>IFERROR(VLOOKUP('Season 1 - Player Stats'!G166,'Season 1 - League Table'!$T$2:$W$177,4,FALSE),0)</f>
        <v>6</v>
      </c>
      <c r="Z166">
        <f>38</f>
        <v>38</v>
      </c>
      <c r="AA166">
        <f t="shared" si="9"/>
        <v>6</v>
      </c>
      <c r="AB166">
        <f t="shared" si="10"/>
        <v>0</v>
      </c>
      <c r="AC166">
        <f t="shared" si="11"/>
        <v>0</v>
      </c>
    </row>
    <row r="167" spans="1:29" x14ac:dyDescent="0.25">
      <c r="A167" s="8">
        <v>132</v>
      </c>
      <c r="B167" s="7" t="s">
        <v>34</v>
      </c>
      <c r="C167" s="8" t="s">
        <v>53</v>
      </c>
      <c r="D167" s="7" t="s">
        <v>919</v>
      </c>
      <c r="E167" s="7" t="s">
        <v>920</v>
      </c>
      <c r="F167" s="7" t="s">
        <v>921</v>
      </c>
      <c r="G167" s="7" t="s">
        <v>922</v>
      </c>
      <c r="H167">
        <v>63</v>
      </c>
      <c r="I167">
        <v>39</v>
      </c>
      <c r="J167">
        <v>39</v>
      </c>
      <c r="K167">
        <v>71</v>
      </c>
      <c r="L167" s="5">
        <v>53</v>
      </c>
      <c r="M167">
        <v>81</v>
      </c>
      <c r="N167">
        <v>26</v>
      </c>
      <c r="O167" s="5">
        <v>61.8</v>
      </c>
      <c r="P167" s="5">
        <v>18.54</v>
      </c>
      <c r="Q167" s="11">
        <v>61.8</v>
      </c>
      <c r="R167" s="10">
        <v>0.21955431494453981</v>
      </c>
      <c r="S167" s="10">
        <v>0.48204000000000002</v>
      </c>
      <c r="T167" t="s">
        <v>146</v>
      </c>
      <c r="U167">
        <v>24</v>
      </c>
      <c r="V167">
        <v>63</v>
      </c>
      <c r="W167" s="49">
        <v>21.799999999999997</v>
      </c>
      <c r="X167" t="str">
        <f t="shared" si="8"/>
        <v>Py80</v>
      </c>
      <c r="Y167">
        <f>IFERROR(VLOOKUP('Season 1 - Player Stats'!G167,'Season 1 - League Table'!$T$2:$W$177,4,FALSE),0)</f>
        <v>11</v>
      </c>
      <c r="Z167">
        <f>38</f>
        <v>38</v>
      </c>
      <c r="AA167">
        <f t="shared" si="9"/>
        <v>11</v>
      </c>
      <c r="AB167">
        <f t="shared" si="10"/>
        <v>0</v>
      </c>
      <c r="AC167">
        <f t="shared" si="11"/>
        <v>0</v>
      </c>
    </row>
    <row r="168" spans="1:29" x14ac:dyDescent="0.25">
      <c r="A168" s="8">
        <v>82</v>
      </c>
      <c r="B168" s="7" t="s">
        <v>30</v>
      </c>
      <c r="C168" s="8" t="s">
        <v>55</v>
      </c>
      <c r="D168" s="7" t="s">
        <v>1061</v>
      </c>
      <c r="E168" s="7" t="s">
        <v>1062</v>
      </c>
      <c r="F168" s="7" t="s">
        <v>1063</v>
      </c>
      <c r="G168" s="7" t="s">
        <v>1064</v>
      </c>
      <c r="H168">
        <v>25</v>
      </c>
      <c r="I168">
        <v>57</v>
      </c>
      <c r="J168">
        <v>74</v>
      </c>
      <c r="K168">
        <v>67</v>
      </c>
      <c r="L168" s="5">
        <v>55.75</v>
      </c>
      <c r="M168">
        <v>45</v>
      </c>
      <c r="N168">
        <v>26</v>
      </c>
      <c r="O168" s="5">
        <v>24.459999999999997</v>
      </c>
      <c r="P168" s="5">
        <v>55.034999999999997</v>
      </c>
      <c r="Q168" s="11">
        <v>61.149999999999991</v>
      </c>
      <c r="R168" s="10">
        <v>5.3388715142038044E-2</v>
      </c>
      <c r="S168" s="10">
        <v>0.19078800000000001</v>
      </c>
      <c r="T168" t="s">
        <v>139</v>
      </c>
      <c r="U168">
        <v>27</v>
      </c>
      <c r="V168">
        <v>64</v>
      </c>
      <c r="W168" s="49">
        <v>21.674999999999997</v>
      </c>
      <c r="X168" t="str">
        <f t="shared" si="8"/>
        <v>Rh82</v>
      </c>
      <c r="Y168">
        <f>IFERROR(VLOOKUP('Season 1 - Player Stats'!G168,'Season 1 - League Table'!$T$2:$W$177,4,FALSE),0)</f>
        <v>1</v>
      </c>
      <c r="Z168">
        <f>38</f>
        <v>38</v>
      </c>
      <c r="AA168">
        <f t="shared" si="9"/>
        <v>1</v>
      </c>
      <c r="AB168">
        <f t="shared" si="10"/>
        <v>0</v>
      </c>
      <c r="AC168">
        <f t="shared" si="11"/>
        <v>0</v>
      </c>
    </row>
    <row r="169" spans="1:29" x14ac:dyDescent="0.25">
      <c r="A169" s="8">
        <v>198</v>
      </c>
      <c r="B169" s="7" t="s">
        <v>40</v>
      </c>
      <c r="C169" s="8" t="s">
        <v>53</v>
      </c>
      <c r="D169" s="7" t="s">
        <v>1420</v>
      </c>
      <c r="E169" s="7" t="s">
        <v>1421</v>
      </c>
      <c r="F169" s="7" t="s">
        <v>1422</v>
      </c>
      <c r="G169" s="7" t="s">
        <v>1423</v>
      </c>
      <c r="H169">
        <v>45</v>
      </c>
      <c r="I169">
        <v>80</v>
      </c>
      <c r="J169">
        <v>55</v>
      </c>
      <c r="K169">
        <v>66</v>
      </c>
      <c r="L169" s="5">
        <v>61.5</v>
      </c>
      <c r="M169">
        <v>56</v>
      </c>
      <c r="N169">
        <v>85</v>
      </c>
      <c r="O169" s="5">
        <v>60.2</v>
      </c>
      <c r="P169" s="5">
        <v>18.059999999999999</v>
      </c>
      <c r="Q169" s="11">
        <v>60.2</v>
      </c>
      <c r="R169" s="10">
        <v>0.19531746467363134</v>
      </c>
      <c r="S169" s="10">
        <v>1.5350999999999999</v>
      </c>
      <c r="T169" t="s">
        <v>154</v>
      </c>
      <c r="U169">
        <v>30</v>
      </c>
      <c r="V169">
        <v>65</v>
      </c>
      <c r="W169" s="49">
        <v>21.400000000000006</v>
      </c>
      <c r="X169" t="str">
        <f t="shared" si="8"/>
        <v>St83</v>
      </c>
      <c r="Y169">
        <f>IFERROR(VLOOKUP('Season 1 - Player Stats'!G169,'Season 1 - League Table'!$T$2:$W$177,4,FALSE),0)</f>
        <v>10</v>
      </c>
      <c r="Z169">
        <f>38</f>
        <v>38</v>
      </c>
      <c r="AA169">
        <f t="shared" si="9"/>
        <v>10</v>
      </c>
      <c r="AB169">
        <f t="shared" si="10"/>
        <v>0</v>
      </c>
      <c r="AC169">
        <f t="shared" si="11"/>
        <v>0</v>
      </c>
    </row>
    <row r="170" spans="1:29" x14ac:dyDescent="0.25">
      <c r="A170" s="8">
        <v>34</v>
      </c>
      <c r="B170" s="7" t="s">
        <v>26</v>
      </c>
      <c r="C170" s="8" t="s">
        <v>11</v>
      </c>
      <c r="D170" s="7" t="s">
        <v>1210</v>
      </c>
      <c r="E170" s="7" t="s">
        <v>1211</v>
      </c>
      <c r="F170" s="7" t="s">
        <v>1212</v>
      </c>
      <c r="G170" s="7" t="s">
        <v>930</v>
      </c>
      <c r="H170">
        <v>80</v>
      </c>
      <c r="I170">
        <v>40</v>
      </c>
      <c r="J170">
        <v>10</v>
      </c>
      <c r="K170">
        <v>95</v>
      </c>
      <c r="L170" s="5">
        <v>56.25</v>
      </c>
      <c r="M170">
        <v>80</v>
      </c>
      <c r="N170">
        <v>40</v>
      </c>
      <c r="O170" s="5">
        <v>0</v>
      </c>
      <c r="P170" s="5">
        <v>61.25</v>
      </c>
      <c r="Q170" s="11">
        <v>61.25</v>
      </c>
      <c r="R170" s="10">
        <v>0</v>
      </c>
      <c r="S170" s="10">
        <v>0</v>
      </c>
      <c r="T170" t="s">
        <v>145</v>
      </c>
      <c r="U170">
        <v>26</v>
      </c>
      <c r="V170">
        <v>63</v>
      </c>
      <c r="W170" s="49">
        <v>21.325000000000003</v>
      </c>
      <c r="X170" t="str">
        <f t="shared" si="8"/>
        <v>Fa70</v>
      </c>
      <c r="Y170">
        <f>IFERROR(VLOOKUP('Season 1 - Player Stats'!G170,'Season 1 - League Table'!$T$2:$W$177,4,FALSE),0)</f>
        <v>1</v>
      </c>
      <c r="Z170">
        <f>38</f>
        <v>38</v>
      </c>
      <c r="AA170">
        <f t="shared" si="9"/>
        <v>1</v>
      </c>
      <c r="AB170">
        <f t="shared" si="10"/>
        <v>0</v>
      </c>
      <c r="AC170">
        <f t="shared" si="11"/>
        <v>0</v>
      </c>
    </row>
    <row r="171" spans="1:29" x14ac:dyDescent="0.25">
      <c r="A171" s="8">
        <v>123</v>
      </c>
      <c r="B171" s="7" t="s">
        <v>34</v>
      </c>
      <c r="C171" s="8" t="s">
        <v>54</v>
      </c>
      <c r="D171" s="7" t="s">
        <v>887</v>
      </c>
      <c r="E171" s="7" t="s">
        <v>888</v>
      </c>
      <c r="F171" s="7" t="s">
        <v>889</v>
      </c>
      <c r="G171" s="7" t="s">
        <v>890</v>
      </c>
      <c r="H171">
        <v>76</v>
      </c>
      <c r="I171">
        <v>43</v>
      </c>
      <c r="J171">
        <v>44</v>
      </c>
      <c r="K171">
        <v>62</v>
      </c>
      <c r="L171" s="5">
        <v>56.25</v>
      </c>
      <c r="M171">
        <v>84</v>
      </c>
      <c r="N171">
        <v>32</v>
      </c>
      <c r="O171" s="5">
        <v>21.6</v>
      </c>
      <c r="P171" s="5">
        <v>48.6</v>
      </c>
      <c r="Q171" s="11">
        <v>54</v>
      </c>
      <c r="R171" s="10">
        <v>3.8657201813725818E-2</v>
      </c>
      <c r="S171" s="10">
        <v>0.20736000000000004</v>
      </c>
      <c r="T171" t="s">
        <v>146</v>
      </c>
      <c r="U171">
        <v>25</v>
      </c>
      <c r="V171">
        <v>70</v>
      </c>
      <c r="W171" s="49">
        <v>21.299999999999997</v>
      </c>
      <c r="X171" t="str">
        <f t="shared" si="8"/>
        <v>Py80</v>
      </c>
      <c r="Y171">
        <f>IFERROR(VLOOKUP('Season 1 - Player Stats'!G171,'Season 1 - League Table'!$T$2:$W$177,4,FALSE),0)</f>
        <v>3</v>
      </c>
      <c r="Z171">
        <f>38</f>
        <v>38</v>
      </c>
      <c r="AA171">
        <f t="shared" si="9"/>
        <v>3</v>
      </c>
      <c r="AB171">
        <f t="shared" si="10"/>
        <v>0</v>
      </c>
      <c r="AC171">
        <f t="shared" si="11"/>
        <v>0</v>
      </c>
    </row>
    <row r="172" spans="1:29" x14ac:dyDescent="0.25">
      <c r="A172" s="8">
        <v>130</v>
      </c>
      <c r="B172" s="7" t="s">
        <v>34</v>
      </c>
      <c r="C172" s="8" t="s">
        <v>52</v>
      </c>
      <c r="D172" s="7" t="s">
        <v>912</v>
      </c>
      <c r="E172" s="7" t="s">
        <v>895</v>
      </c>
      <c r="F172" s="7" t="s">
        <v>913</v>
      </c>
      <c r="G172" s="7" t="s">
        <v>914</v>
      </c>
      <c r="H172">
        <v>56</v>
      </c>
      <c r="I172">
        <v>48</v>
      </c>
      <c r="J172">
        <v>61</v>
      </c>
      <c r="K172">
        <v>56</v>
      </c>
      <c r="L172" s="5">
        <v>55.25</v>
      </c>
      <c r="M172">
        <v>88</v>
      </c>
      <c r="N172">
        <v>30</v>
      </c>
      <c r="O172" s="5">
        <v>55.05</v>
      </c>
      <c r="P172" s="5">
        <v>16.514999999999997</v>
      </c>
      <c r="Q172" s="11">
        <v>55.05</v>
      </c>
      <c r="R172" s="10">
        <v>0.1955738679238983</v>
      </c>
      <c r="S172" s="10">
        <v>0.49544999999999995</v>
      </c>
      <c r="T172" t="s">
        <v>146</v>
      </c>
      <c r="U172">
        <v>26</v>
      </c>
      <c r="V172">
        <v>69</v>
      </c>
      <c r="W172" s="49">
        <v>21.225000000000001</v>
      </c>
      <c r="X172" t="str">
        <f t="shared" si="8"/>
        <v>Py80</v>
      </c>
      <c r="Y172">
        <f>IFERROR(VLOOKUP('Season 1 - Player Stats'!G172,'Season 1 - League Table'!$T$2:$W$177,4,FALSE),0)</f>
        <v>6</v>
      </c>
      <c r="Z172">
        <f>38</f>
        <v>38</v>
      </c>
      <c r="AA172">
        <f t="shared" si="9"/>
        <v>6</v>
      </c>
      <c r="AB172">
        <f t="shared" si="10"/>
        <v>0</v>
      </c>
      <c r="AC172">
        <f t="shared" si="11"/>
        <v>0</v>
      </c>
    </row>
    <row r="173" spans="1:29" x14ac:dyDescent="0.25">
      <c r="A173" s="8">
        <v>159</v>
      </c>
      <c r="B173" s="7" t="s">
        <v>37</v>
      </c>
      <c r="C173" s="8" t="s">
        <v>55</v>
      </c>
      <c r="D173" s="7" t="s">
        <v>811</v>
      </c>
      <c r="E173" s="7" t="s">
        <v>812</v>
      </c>
      <c r="F173" s="7" t="s">
        <v>813</v>
      </c>
      <c r="G173" s="7" t="s">
        <v>814</v>
      </c>
      <c r="H173">
        <v>25</v>
      </c>
      <c r="I173">
        <v>89</v>
      </c>
      <c r="J173">
        <v>98</v>
      </c>
      <c r="K173">
        <v>9</v>
      </c>
      <c r="L173" s="5">
        <v>55.25</v>
      </c>
      <c r="M173">
        <v>67</v>
      </c>
      <c r="N173">
        <v>86</v>
      </c>
      <c r="O173" s="5">
        <v>23.42</v>
      </c>
      <c r="P173" s="5">
        <v>52.695</v>
      </c>
      <c r="Q173" s="11">
        <v>58.55</v>
      </c>
      <c r="R173" s="10">
        <v>4.6617349970291155E-2</v>
      </c>
      <c r="S173" s="10">
        <v>0.604236</v>
      </c>
      <c r="T173" t="s">
        <v>151</v>
      </c>
      <c r="U173">
        <v>20</v>
      </c>
      <c r="V173">
        <v>64</v>
      </c>
      <c r="W173" s="49">
        <v>21.075000000000003</v>
      </c>
      <c r="X173" t="str">
        <f t="shared" si="8"/>
        <v>El69</v>
      </c>
      <c r="Y173">
        <f>IFERROR(VLOOKUP('Season 1 - Player Stats'!G173,'Season 1 - League Table'!$T$2:$W$177,4,FALSE),0)</f>
        <v>7</v>
      </c>
      <c r="Z173">
        <f>38</f>
        <v>38</v>
      </c>
      <c r="AA173">
        <f t="shared" si="9"/>
        <v>7</v>
      </c>
      <c r="AB173">
        <f t="shared" si="10"/>
        <v>0</v>
      </c>
      <c r="AC173">
        <f t="shared" si="11"/>
        <v>0</v>
      </c>
    </row>
    <row r="174" spans="1:29" x14ac:dyDescent="0.25">
      <c r="A174" s="8">
        <v>172</v>
      </c>
      <c r="B174" s="7" t="s">
        <v>38</v>
      </c>
      <c r="C174" s="8" t="s">
        <v>57</v>
      </c>
      <c r="D174" s="7" t="s">
        <v>776</v>
      </c>
      <c r="E174" s="7" t="s">
        <v>777</v>
      </c>
      <c r="F174" s="7" t="s">
        <v>778</v>
      </c>
      <c r="G174" s="7" t="s">
        <v>779</v>
      </c>
      <c r="H174">
        <v>95</v>
      </c>
      <c r="I174">
        <v>43</v>
      </c>
      <c r="J174">
        <v>17</v>
      </c>
      <c r="K174">
        <v>100</v>
      </c>
      <c r="L174" s="5">
        <v>63.75</v>
      </c>
      <c r="M174">
        <v>33</v>
      </c>
      <c r="N174">
        <v>87</v>
      </c>
      <c r="O174" s="5">
        <v>45.487499999999997</v>
      </c>
      <c r="P174" s="5">
        <v>45.487499999999997</v>
      </c>
      <c r="Q174" s="11">
        <v>60.65</v>
      </c>
      <c r="R174" s="10">
        <v>9.9007476574488232E-2</v>
      </c>
      <c r="S174" s="10">
        <v>1.18722375</v>
      </c>
      <c r="T174" t="s">
        <v>152</v>
      </c>
      <c r="U174">
        <v>32</v>
      </c>
      <c r="V174">
        <v>64</v>
      </c>
      <c r="W174" s="49">
        <v>20.924999999999997</v>
      </c>
      <c r="X174" t="str">
        <f t="shared" si="8"/>
        <v>Ch67</v>
      </c>
      <c r="Y174">
        <f>IFERROR(VLOOKUP('Season 1 - Player Stats'!G174,'Season 1 - League Table'!$T$2:$W$177,4,FALSE),0)</f>
        <v>5</v>
      </c>
      <c r="Z174">
        <f>38</f>
        <v>38</v>
      </c>
      <c r="AA174">
        <f t="shared" si="9"/>
        <v>5</v>
      </c>
      <c r="AB174">
        <f t="shared" si="10"/>
        <v>0</v>
      </c>
      <c r="AC174">
        <f t="shared" si="11"/>
        <v>0</v>
      </c>
    </row>
    <row r="175" spans="1:29" x14ac:dyDescent="0.25">
      <c r="A175" s="8">
        <v>53</v>
      </c>
      <c r="B175" s="7" t="s">
        <v>28</v>
      </c>
      <c r="C175" s="8" t="s">
        <v>52</v>
      </c>
      <c r="D175" s="7" t="s">
        <v>1198</v>
      </c>
      <c r="E175" s="7" t="s">
        <v>1199</v>
      </c>
      <c r="F175" s="7" t="s">
        <v>1200</v>
      </c>
      <c r="G175" s="7" t="s">
        <v>1201</v>
      </c>
      <c r="H175">
        <v>40</v>
      </c>
      <c r="I175">
        <v>30</v>
      </c>
      <c r="J175">
        <v>81</v>
      </c>
      <c r="K175">
        <v>69</v>
      </c>
      <c r="L175" s="5">
        <v>55</v>
      </c>
      <c r="M175">
        <v>58</v>
      </c>
      <c r="N175">
        <v>13</v>
      </c>
      <c r="O175" s="5">
        <v>53.6</v>
      </c>
      <c r="P175" s="5">
        <v>16.079999999999998</v>
      </c>
      <c r="Q175" s="11">
        <v>53.6</v>
      </c>
      <c r="R175" s="10">
        <v>0.15584972071313793</v>
      </c>
      <c r="S175" s="10">
        <v>0.20904</v>
      </c>
      <c r="T175" t="s">
        <v>157</v>
      </c>
      <c r="U175">
        <v>24</v>
      </c>
      <c r="V175">
        <v>69</v>
      </c>
      <c r="W175" s="49">
        <v>20.700000000000003</v>
      </c>
      <c r="X175" t="str">
        <f t="shared" si="8"/>
        <v>Sh83</v>
      </c>
      <c r="Y175">
        <f>IFERROR(VLOOKUP('Season 1 - Player Stats'!G175,'Season 1 - League Table'!$T$2:$W$177,4,FALSE),0)</f>
        <v>10</v>
      </c>
      <c r="Z175">
        <f>38</f>
        <v>38</v>
      </c>
      <c r="AA175">
        <f t="shared" si="9"/>
        <v>10</v>
      </c>
      <c r="AB175">
        <f t="shared" si="10"/>
        <v>0</v>
      </c>
      <c r="AC175">
        <f t="shared" si="11"/>
        <v>0</v>
      </c>
    </row>
    <row r="176" spans="1:29" x14ac:dyDescent="0.25">
      <c r="A176" s="8">
        <v>131</v>
      </c>
      <c r="B176" s="7" t="s">
        <v>34</v>
      </c>
      <c r="C176" s="8" t="s">
        <v>59</v>
      </c>
      <c r="D176" s="7" t="s">
        <v>915</v>
      </c>
      <c r="E176" s="7" t="s">
        <v>916</v>
      </c>
      <c r="F176" s="7" t="s">
        <v>917</v>
      </c>
      <c r="G176" s="7" t="s">
        <v>918</v>
      </c>
      <c r="H176">
        <v>62</v>
      </c>
      <c r="I176">
        <v>51</v>
      </c>
      <c r="J176">
        <v>52</v>
      </c>
      <c r="K176">
        <v>73</v>
      </c>
      <c r="L176" s="5">
        <v>59.5</v>
      </c>
      <c r="M176">
        <v>88</v>
      </c>
      <c r="N176">
        <v>28</v>
      </c>
      <c r="O176" s="5">
        <v>61.550000000000004</v>
      </c>
      <c r="P176" s="5">
        <v>18.465</v>
      </c>
      <c r="Q176" s="11">
        <v>61.550000000000004</v>
      </c>
      <c r="R176" s="10">
        <v>0.21866615024007161</v>
      </c>
      <c r="S176" s="10">
        <v>0.51702000000000004</v>
      </c>
      <c r="T176" t="s">
        <v>146</v>
      </c>
      <c r="U176">
        <v>29</v>
      </c>
      <c r="V176">
        <v>62</v>
      </c>
      <c r="W176" s="49">
        <v>20.674999999999997</v>
      </c>
      <c r="X176" t="str">
        <f t="shared" si="8"/>
        <v>Py80</v>
      </c>
      <c r="Y176">
        <f>IFERROR(VLOOKUP('Season 1 - Player Stats'!G176,'Season 1 - League Table'!$T$2:$W$177,4,FALSE),0)</f>
        <v>17</v>
      </c>
      <c r="Z176">
        <f>38</f>
        <v>38</v>
      </c>
      <c r="AA176">
        <f t="shared" si="9"/>
        <v>17</v>
      </c>
      <c r="AB176">
        <f t="shared" si="10"/>
        <v>0</v>
      </c>
      <c r="AC176">
        <f t="shared" si="11"/>
        <v>0</v>
      </c>
    </row>
    <row r="177" spans="1:29" x14ac:dyDescent="0.25">
      <c r="A177" s="8">
        <v>126</v>
      </c>
      <c r="B177" s="7" t="s">
        <v>34</v>
      </c>
      <c r="C177" s="8" t="s">
        <v>55</v>
      </c>
      <c r="D177" s="7" t="s">
        <v>899</v>
      </c>
      <c r="E177" s="7" t="s">
        <v>887</v>
      </c>
      <c r="F177" s="7" t="s">
        <v>900</v>
      </c>
      <c r="G177" s="7" t="s">
        <v>901</v>
      </c>
      <c r="H177">
        <v>63</v>
      </c>
      <c r="I177">
        <v>36</v>
      </c>
      <c r="J177">
        <v>57</v>
      </c>
      <c r="K177">
        <v>55</v>
      </c>
      <c r="L177" s="5">
        <v>52.75</v>
      </c>
      <c r="M177">
        <v>81</v>
      </c>
      <c r="N177">
        <v>29</v>
      </c>
      <c r="O177" s="5">
        <v>21.24</v>
      </c>
      <c r="P177" s="5">
        <v>47.79</v>
      </c>
      <c r="Q177" s="11">
        <v>53.099999999999994</v>
      </c>
      <c r="R177" s="10">
        <v>3.8012915116830387E-2</v>
      </c>
      <c r="S177" s="10">
        <v>0.18478799999999998</v>
      </c>
      <c r="T177" t="s">
        <v>146</v>
      </c>
      <c r="U177">
        <v>27</v>
      </c>
      <c r="V177">
        <v>69</v>
      </c>
      <c r="W177" s="49">
        <v>20.149999999999999</v>
      </c>
      <c r="X177" t="str">
        <f t="shared" si="8"/>
        <v>Py80</v>
      </c>
      <c r="Y177">
        <f>IFERROR(VLOOKUP('Season 1 - Player Stats'!G177,'Season 1 - League Table'!$T$2:$W$177,4,FALSE),0)</f>
        <v>3</v>
      </c>
      <c r="Z177">
        <f>38</f>
        <v>38</v>
      </c>
      <c r="AA177">
        <f t="shared" si="9"/>
        <v>3</v>
      </c>
      <c r="AB177">
        <f t="shared" si="10"/>
        <v>0</v>
      </c>
      <c r="AC177">
        <f t="shared" si="11"/>
        <v>0</v>
      </c>
    </row>
    <row r="178" spans="1:29" x14ac:dyDescent="0.25">
      <c r="A178" s="8">
        <v>201</v>
      </c>
      <c r="B178" s="7" t="s">
        <v>41</v>
      </c>
      <c r="C178" s="8" t="s">
        <v>56</v>
      </c>
      <c r="D178" s="7" t="s">
        <v>674</v>
      </c>
      <c r="E178" s="7" t="s">
        <v>675</v>
      </c>
      <c r="F178" s="7" t="s">
        <v>676</v>
      </c>
      <c r="G178" s="7" t="s">
        <v>677</v>
      </c>
      <c r="H178">
        <v>24</v>
      </c>
      <c r="I178">
        <v>15</v>
      </c>
      <c r="J178">
        <v>86</v>
      </c>
      <c r="K178">
        <v>29</v>
      </c>
      <c r="L178" s="5">
        <v>38.5</v>
      </c>
      <c r="M178">
        <v>71</v>
      </c>
      <c r="N178">
        <v>75</v>
      </c>
      <c r="O178" s="5">
        <v>17.715</v>
      </c>
      <c r="P178" s="5">
        <v>59.05</v>
      </c>
      <c r="Q178" s="11">
        <v>59.05</v>
      </c>
      <c r="R178" s="10">
        <v>5.4324324324324325E-2</v>
      </c>
      <c r="S178" s="10">
        <v>0.39858749999999998</v>
      </c>
      <c r="T178" t="s">
        <v>156</v>
      </c>
      <c r="U178">
        <v>27</v>
      </c>
      <c r="V178">
        <v>62</v>
      </c>
      <c r="W178" s="49">
        <v>19.625</v>
      </c>
      <c r="X178" t="str">
        <f t="shared" si="8"/>
        <v>Bu66</v>
      </c>
      <c r="Y178">
        <f>IFERROR(VLOOKUP('Season 1 - Player Stats'!G178,'Season 1 - League Table'!$T$2:$W$177,4,FALSE),0)</f>
        <v>1</v>
      </c>
      <c r="Z178">
        <f>38</f>
        <v>38</v>
      </c>
      <c r="AA178">
        <f t="shared" si="9"/>
        <v>1</v>
      </c>
      <c r="AB178">
        <f t="shared" si="10"/>
        <v>0</v>
      </c>
      <c r="AC178">
        <f t="shared" si="11"/>
        <v>0</v>
      </c>
    </row>
    <row r="179" spans="1:29" x14ac:dyDescent="0.25">
      <c r="A179" s="8">
        <v>125</v>
      </c>
      <c r="B179" s="7" t="s">
        <v>34</v>
      </c>
      <c r="C179" s="8" t="s">
        <v>56</v>
      </c>
      <c r="D179" s="7" t="s">
        <v>895</v>
      </c>
      <c r="E179" s="7" t="s">
        <v>896</v>
      </c>
      <c r="F179" s="7" t="s">
        <v>897</v>
      </c>
      <c r="G179" s="7" t="s">
        <v>898</v>
      </c>
      <c r="H179">
        <v>57</v>
      </c>
      <c r="I179">
        <v>25</v>
      </c>
      <c r="J179">
        <v>65</v>
      </c>
      <c r="K179">
        <v>56</v>
      </c>
      <c r="L179" s="5">
        <v>50.75</v>
      </c>
      <c r="M179">
        <v>89</v>
      </c>
      <c r="N179">
        <v>28</v>
      </c>
      <c r="O179" s="5">
        <v>16.994999999999997</v>
      </c>
      <c r="P179" s="5">
        <v>56.65</v>
      </c>
      <c r="Q179" s="11">
        <v>56.65</v>
      </c>
      <c r="R179" s="10">
        <v>3.0415701149271768E-2</v>
      </c>
      <c r="S179" s="10">
        <v>0.142758</v>
      </c>
      <c r="T179" t="s">
        <v>146</v>
      </c>
      <c r="U179">
        <v>22</v>
      </c>
      <c r="V179">
        <v>63</v>
      </c>
      <c r="W179" s="49">
        <v>19.424999999999997</v>
      </c>
      <c r="X179" t="str">
        <f t="shared" si="8"/>
        <v>Py80</v>
      </c>
      <c r="Y179">
        <f>IFERROR(VLOOKUP('Season 1 - Player Stats'!G179,'Season 1 - League Table'!$T$2:$W$177,4,FALSE),0)</f>
        <v>1</v>
      </c>
      <c r="Z179">
        <f>38</f>
        <v>38</v>
      </c>
      <c r="AA179">
        <f t="shared" si="9"/>
        <v>1</v>
      </c>
      <c r="AB179">
        <f t="shared" si="10"/>
        <v>0</v>
      </c>
      <c r="AC179">
        <f t="shared" si="11"/>
        <v>0</v>
      </c>
    </row>
    <row r="180" spans="1:29" x14ac:dyDescent="0.25">
      <c r="A180" s="8">
        <v>164</v>
      </c>
      <c r="B180" s="7" t="s">
        <v>37</v>
      </c>
      <c r="C180" s="8" t="s">
        <v>59</v>
      </c>
      <c r="D180" s="7" t="s">
        <v>831</v>
      </c>
      <c r="E180" s="7" t="s">
        <v>832</v>
      </c>
      <c r="F180" s="7" t="s">
        <v>833</v>
      </c>
      <c r="G180" s="7" t="s">
        <v>834</v>
      </c>
      <c r="H180">
        <v>33</v>
      </c>
      <c r="I180">
        <v>97</v>
      </c>
      <c r="J180">
        <v>100</v>
      </c>
      <c r="K180">
        <v>15</v>
      </c>
      <c r="L180" s="5">
        <v>61.25</v>
      </c>
      <c r="M180">
        <v>74</v>
      </c>
      <c r="N180">
        <v>91</v>
      </c>
      <c r="O180" s="5">
        <v>50.3</v>
      </c>
      <c r="P180" s="5">
        <v>15.089999999999998</v>
      </c>
      <c r="Q180" s="11">
        <v>50.3</v>
      </c>
      <c r="R180" s="10">
        <v>0.19874925727866904</v>
      </c>
      <c r="S180" s="10">
        <v>1.3731900000000001</v>
      </c>
      <c r="T180" t="s">
        <v>151</v>
      </c>
      <c r="U180">
        <v>18</v>
      </c>
      <c r="V180">
        <v>68</v>
      </c>
      <c r="W180" s="49">
        <v>19.149999999999999</v>
      </c>
      <c r="X180" t="str">
        <f t="shared" si="8"/>
        <v>El69</v>
      </c>
      <c r="Y180">
        <f>IFERROR(VLOOKUP('Season 1 - Player Stats'!G180,'Season 1 - League Table'!$T$2:$W$177,4,FALSE),0)</f>
        <v>13</v>
      </c>
      <c r="Z180">
        <f>38</f>
        <v>38</v>
      </c>
      <c r="AA180">
        <f t="shared" si="9"/>
        <v>13</v>
      </c>
      <c r="AB180">
        <f t="shared" si="10"/>
        <v>0</v>
      </c>
      <c r="AC180">
        <f t="shared" si="11"/>
        <v>0</v>
      </c>
    </row>
    <row r="181" spans="1:29" x14ac:dyDescent="0.25">
      <c r="A181" s="8">
        <v>6</v>
      </c>
      <c r="B181" s="7" t="s">
        <v>21</v>
      </c>
      <c r="C181" s="8" t="s">
        <v>45</v>
      </c>
      <c r="D181" s="7" t="s">
        <v>995</v>
      </c>
      <c r="E181" s="7" t="s">
        <v>1332</v>
      </c>
      <c r="F181" s="7" t="s">
        <v>1333</v>
      </c>
      <c r="G181" s="7" t="s">
        <v>1334</v>
      </c>
      <c r="H181">
        <v>82</v>
      </c>
      <c r="I181">
        <v>68</v>
      </c>
      <c r="J181">
        <v>25</v>
      </c>
      <c r="K181">
        <v>74</v>
      </c>
      <c r="L181" s="5">
        <v>62.25</v>
      </c>
      <c r="M181">
        <v>87</v>
      </c>
      <c r="N181">
        <v>25</v>
      </c>
      <c r="O181" s="5">
        <v>32.279999999999994</v>
      </c>
      <c r="P181" s="5">
        <v>48.42</v>
      </c>
      <c r="Q181" s="11">
        <v>53.8</v>
      </c>
      <c r="R181" s="10">
        <v>6.5790948649227021E-2</v>
      </c>
      <c r="S181" s="10">
        <v>0.24209999999999993</v>
      </c>
      <c r="T181" t="s">
        <v>143</v>
      </c>
      <c r="U181">
        <v>26</v>
      </c>
      <c r="V181">
        <v>66</v>
      </c>
      <c r="W181" s="49">
        <v>19.100000000000001</v>
      </c>
      <c r="X181" t="str">
        <f t="shared" si="8"/>
        <v>Ea69</v>
      </c>
      <c r="Y181">
        <f>IFERROR(VLOOKUP('Season 1 - Player Stats'!G181,'Season 1 - League Table'!$T$2:$W$177,4,FALSE),0)</f>
        <v>6</v>
      </c>
      <c r="Z181">
        <f>38</f>
        <v>38</v>
      </c>
      <c r="AA181">
        <f t="shared" si="9"/>
        <v>6</v>
      </c>
      <c r="AB181">
        <f t="shared" si="10"/>
        <v>0</v>
      </c>
      <c r="AC181">
        <f t="shared" si="11"/>
        <v>0</v>
      </c>
    </row>
    <row r="182" spans="1:29" x14ac:dyDescent="0.25">
      <c r="A182" s="8">
        <v>100</v>
      </c>
      <c r="B182" s="7" t="s">
        <v>32</v>
      </c>
      <c r="C182" s="8" t="s">
        <v>11</v>
      </c>
      <c r="D182" s="7" t="s">
        <v>967</v>
      </c>
      <c r="E182" s="7" t="s">
        <v>968</v>
      </c>
      <c r="F182" s="7" t="s">
        <v>969</v>
      </c>
      <c r="G182" s="7" t="s">
        <v>970</v>
      </c>
      <c r="H182">
        <v>58</v>
      </c>
      <c r="I182">
        <v>68</v>
      </c>
      <c r="J182">
        <v>93</v>
      </c>
      <c r="K182">
        <v>19</v>
      </c>
      <c r="L182" s="5">
        <v>59.5</v>
      </c>
      <c r="M182">
        <v>35</v>
      </c>
      <c r="N182">
        <v>76</v>
      </c>
      <c r="O182" s="5">
        <v>0</v>
      </c>
      <c r="P182" s="5">
        <v>59.15</v>
      </c>
      <c r="Q182" s="11">
        <v>59.15</v>
      </c>
      <c r="R182" s="10">
        <v>0</v>
      </c>
      <c r="S182" s="10">
        <v>0</v>
      </c>
      <c r="T182" t="s">
        <v>141</v>
      </c>
      <c r="U182">
        <v>23</v>
      </c>
      <c r="V182">
        <v>60</v>
      </c>
      <c r="W182" s="49">
        <v>19.075000000000003</v>
      </c>
      <c r="X182" t="str">
        <f t="shared" si="8"/>
        <v>Be66</v>
      </c>
      <c r="Y182">
        <f>IFERROR(VLOOKUP('Season 1 - Player Stats'!G182,'Season 1 - League Table'!$T$2:$W$177,4,FALSE),0)</f>
        <v>0</v>
      </c>
      <c r="Z182">
        <f>38</f>
        <v>38</v>
      </c>
      <c r="AA182">
        <f t="shared" si="9"/>
        <v>0</v>
      </c>
      <c r="AB182">
        <f t="shared" si="10"/>
        <v>0</v>
      </c>
      <c r="AC182">
        <f t="shared" si="11"/>
        <v>0</v>
      </c>
    </row>
    <row r="183" spans="1:29" x14ac:dyDescent="0.25">
      <c r="A183" s="8">
        <v>24</v>
      </c>
      <c r="B183" s="7" t="s">
        <v>25</v>
      </c>
      <c r="C183" s="8" t="s">
        <v>54</v>
      </c>
      <c r="D183" s="7" t="s">
        <v>1240</v>
      </c>
      <c r="E183" s="7" t="s">
        <v>1241</v>
      </c>
      <c r="F183" s="7" t="s">
        <v>1242</v>
      </c>
      <c r="G183" s="7" t="s">
        <v>1243</v>
      </c>
      <c r="H183">
        <v>85</v>
      </c>
      <c r="I183">
        <v>27</v>
      </c>
      <c r="J183">
        <v>42</v>
      </c>
      <c r="K183">
        <v>92</v>
      </c>
      <c r="L183" s="5">
        <v>61.5</v>
      </c>
      <c r="M183">
        <v>84</v>
      </c>
      <c r="N183">
        <v>18</v>
      </c>
      <c r="O183" s="5">
        <v>24.179999999999996</v>
      </c>
      <c r="P183" s="5">
        <v>54.404999999999994</v>
      </c>
      <c r="Q183" s="11">
        <v>60.449999999999989</v>
      </c>
      <c r="R183" s="10">
        <v>3.7669462706869189E-2</v>
      </c>
      <c r="S183" s="10">
        <v>0.13057199999999997</v>
      </c>
      <c r="T183" t="s">
        <v>142</v>
      </c>
      <c r="U183">
        <v>35</v>
      </c>
      <c r="V183">
        <v>61</v>
      </c>
      <c r="W183" s="49">
        <v>19.024999999999991</v>
      </c>
      <c r="X183" t="str">
        <f t="shared" si="8"/>
        <v>Co67</v>
      </c>
      <c r="Y183">
        <f>IFERROR(VLOOKUP('Season 1 - Player Stats'!G183,'Season 1 - League Table'!$T$2:$W$177,4,FALSE),0)</f>
        <v>1</v>
      </c>
      <c r="Z183">
        <f>38</f>
        <v>38</v>
      </c>
      <c r="AA183">
        <f t="shared" si="9"/>
        <v>1</v>
      </c>
      <c r="AB183">
        <f t="shared" si="10"/>
        <v>0</v>
      </c>
      <c r="AC183">
        <f t="shared" si="11"/>
        <v>0</v>
      </c>
    </row>
    <row r="184" spans="1:29" x14ac:dyDescent="0.25">
      <c r="A184" s="8">
        <v>39</v>
      </c>
      <c r="B184" s="7" t="s">
        <v>26</v>
      </c>
      <c r="C184" s="8" t="s">
        <v>45</v>
      </c>
      <c r="D184" s="7" t="s">
        <v>1219</v>
      </c>
      <c r="E184" s="7" t="s">
        <v>1220</v>
      </c>
      <c r="F184" s="7" t="s">
        <v>1221</v>
      </c>
      <c r="G184" s="7" t="s">
        <v>946</v>
      </c>
      <c r="H184">
        <v>79</v>
      </c>
      <c r="I184">
        <v>52</v>
      </c>
      <c r="J184">
        <v>15</v>
      </c>
      <c r="K184">
        <v>87</v>
      </c>
      <c r="L184" s="5">
        <v>58.25</v>
      </c>
      <c r="M184">
        <v>79</v>
      </c>
      <c r="N184">
        <v>50</v>
      </c>
      <c r="O184" s="5">
        <v>27.9</v>
      </c>
      <c r="P184" s="5">
        <v>41.85</v>
      </c>
      <c r="Q184" s="11">
        <v>46.5</v>
      </c>
      <c r="R184" s="10">
        <v>6.3586845044100546E-2</v>
      </c>
      <c r="S184" s="10">
        <v>0.41849999999999998</v>
      </c>
      <c r="T184" t="s">
        <v>145</v>
      </c>
      <c r="U184">
        <v>21</v>
      </c>
      <c r="V184">
        <v>72</v>
      </c>
      <c r="W184" s="49">
        <v>18.950000000000003</v>
      </c>
      <c r="X184" t="str">
        <f t="shared" si="8"/>
        <v>Fa70</v>
      </c>
      <c r="Y184">
        <f>IFERROR(VLOOKUP('Season 1 - Player Stats'!G184,'Season 1 - League Table'!$T$2:$W$177,4,FALSE),0)</f>
        <v>6</v>
      </c>
      <c r="Z184">
        <f>38</f>
        <v>38</v>
      </c>
      <c r="AA184">
        <f t="shared" si="9"/>
        <v>6</v>
      </c>
      <c r="AB184">
        <f t="shared" si="10"/>
        <v>0</v>
      </c>
      <c r="AC184">
        <f t="shared" si="11"/>
        <v>0</v>
      </c>
    </row>
    <row r="185" spans="1:29" x14ac:dyDescent="0.25">
      <c r="A185" s="8">
        <v>197</v>
      </c>
      <c r="B185" s="7" t="s">
        <v>40</v>
      </c>
      <c r="C185" s="8" t="s">
        <v>59</v>
      </c>
      <c r="D185" s="7" t="s">
        <v>1424</v>
      </c>
      <c r="E185" s="7" t="s">
        <v>1425</v>
      </c>
      <c r="F185" s="7" t="s">
        <v>1426</v>
      </c>
      <c r="G185" s="7" t="s">
        <v>1427</v>
      </c>
      <c r="H185">
        <v>42</v>
      </c>
      <c r="I185">
        <v>70</v>
      </c>
      <c r="J185">
        <v>70</v>
      </c>
      <c r="K185">
        <v>69</v>
      </c>
      <c r="L185" s="5">
        <v>62.75</v>
      </c>
      <c r="M185">
        <v>51</v>
      </c>
      <c r="N185">
        <v>87</v>
      </c>
      <c r="O185" s="5">
        <v>59.900000000000006</v>
      </c>
      <c r="P185" s="5">
        <v>17.970000000000002</v>
      </c>
      <c r="Q185" s="11">
        <v>59.900000000000006</v>
      </c>
      <c r="R185" s="10">
        <v>0.19434412182642055</v>
      </c>
      <c r="S185" s="10">
        <v>1.5633900000000003</v>
      </c>
      <c r="T185" t="s">
        <v>154</v>
      </c>
      <c r="U185">
        <v>34</v>
      </c>
      <c r="V185">
        <v>61</v>
      </c>
      <c r="W185" s="49">
        <v>18.850000000000001</v>
      </c>
      <c r="X185" t="str">
        <f t="shared" si="8"/>
        <v>St83</v>
      </c>
      <c r="Y185">
        <f>IFERROR(VLOOKUP('Season 1 - Player Stats'!G185,'Season 1 - League Table'!$T$2:$W$177,4,FALSE),0)</f>
        <v>8</v>
      </c>
      <c r="Z185">
        <f>38</f>
        <v>38</v>
      </c>
      <c r="AA185">
        <f t="shared" si="9"/>
        <v>8</v>
      </c>
      <c r="AB185">
        <f t="shared" si="10"/>
        <v>0</v>
      </c>
      <c r="AC185">
        <f t="shared" si="11"/>
        <v>0</v>
      </c>
    </row>
    <row r="186" spans="1:29" x14ac:dyDescent="0.25">
      <c r="A186" s="8">
        <v>2</v>
      </c>
      <c r="B186" s="7" t="s">
        <v>21</v>
      </c>
      <c r="C186" s="8" t="s">
        <v>54</v>
      </c>
      <c r="D186" s="7" t="s">
        <v>971</v>
      </c>
      <c r="E186" s="7" t="s">
        <v>1319</v>
      </c>
      <c r="F186" s="7" t="s">
        <v>1320</v>
      </c>
      <c r="G186" s="7" t="s">
        <v>1321</v>
      </c>
      <c r="H186">
        <v>75</v>
      </c>
      <c r="I186">
        <v>64</v>
      </c>
      <c r="J186">
        <v>12</v>
      </c>
      <c r="K186">
        <v>84</v>
      </c>
      <c r="L186" s="5">
        <v>58.75</v>
      </c>
      <c r="M186">
        <v>94</v>
      </c>
      <c r="N186">
        <v>35</v>
      </c>
      <c r="O186" s="5">
        <v>21.380000000000003</v>
      </c>
      <c r="P186" s="5">
        <v>48.105000000000004</v>
      </c>
      <c r="Q186" s="11">
        <v>53.45</v>
      </c>
      <c r="R186" s="10">
        <v>2.9195446809811582E-2</v>
      </c>
      <c r="S186" s="10">
        <v>0.22449000000000002</v>
      </c>
      <c r="T186" t="s">
        <v>143</v>
      </c>
      <c r="U186">
        <v>18</v>
      </c>
      <c r="V186">
        <v>63</v>
      </c>
      <c r="W186" s="49">
        <v>18.225000000000001</v>
      </c>
      <c r="X186" t="str">
        <f t="shared" si="8"/>
        <v>Ea69</v>
      </c>
      <c r="Y186">
        <f>IFERROR(VLOOKUP('Season 1 - Player Stats'!G186,'Season 1 - League Table'!$T$2:$W$177,4,FALSE),0)</f>
        <v>0</v>
      </c>
      <c r="Z186">
        <f>38</f>
        <v>38</v>
      </c>
      <c r="AA186">
        <f t="shared" si="9"/>
        <v>0</v>
      </c>
      <c r="AB186">
        <f t="shared" si="10"/>
        <v>0</v>
      </c>
      <c r="AC186">
        <f t="shared" si="11"/>
        <v>0</v>
      </c>
    </row>
    <row r="187" spans="1:29" x14ac:dyDescent="0.25">
      <c r="A187" s="8">
        <v>115</v>
      </c>
      <c r="B187" s="7" t="s">
        <v>33</v>
      </c>
      <c r="C187" s="8" t="s">
        <v>55</v>
      </c>
      <c r="D187" s="7" t="s">
        <v>939</v>
      </c>
      <c r="E187" s="7" t="s">
        <v>940</v>
      </c>
      <c r="F187" s="7" t="s">
        <v>941</v>
      </c>
      <c r="G187" s="7" t="s">
        <v>942</v>
      </c>
      <c r="H187">
        <v>100</v>
      </c>
      <c r="I187">
        <v>73</v>
      </c>
      <c r="J187">
        <v>9</v>
      </c>
      <c r="K187">
        <v>90</v>
      </c>
      <c r="L187" s="5">
        <v>68</v>
      </c>
      <c r="M187">
        <v>89</v>
      </c>
      <c r="N187">
        <v>79</v>
      </c>
      <c r="O187" s="5">
        <v>23.900000000000002</v>
      </c>
      <c r="P187" s="5">
        <v>53.774999999999999</v>
      </c>
      <c r="Q187" s="11">
        <v>59.75</v>
      </c>
      <c r="R187" s="10">
        <v>3.2695272222392373E-2</v>
      </c>
      <c r="S187" s="10">
        <v>0.5664300000000001</v>
      </c>
      <c r="T187" t="s">
        <v>148</v>
      </c>
      <c r="U187">
        <v>35</v>
      </c>
      <c r="V187">
        <v>60</v>
      </c>
      <c r="W187" s="49">
        <v>18.174999999999997</v>
      </c>
      <c r="X187" t="str">
        <f t="shared" si="8"/>
        <v>Ha72</v>
      </c>
      <c r="Y187">
        <f>IFERROR(VLOOKUP('Season 1 - Player Stats'!G187,'Season 1 - League Table'!$T$2:$W$177,4,FALSE),0)</f>
        <v>1</v>
      </c>
      <c r="Z187">
        <f>38</f>
        <v>38</v>
      </c>
      <c r="AA187">
        <f t="shared" si="9"/>
        <v>1</v>
      </c>
      <c r="AB187">
        <f t="shared" si="10"/>
        <v>0</v>
      </c>
      <c r="AC187">
        <f t="shared" si="11"/>
        <v>0</v>
      </c>
    </row>
    <row r="188" spans="1:29" x14ac:dyDescent="0.25">
      <c r="A188" s="8">
        <v>38</v>
      </c>
      <c r="B188" s="7" t="s">
        <v>26</v>
      </c>
      <c r="C188" s="8" t="s">
        <v>55</v>
      </c>
      <c r="D188" s="7" t="s">
        <v>1215</v>
      </c>
      <c r="E188" s="7" t="s">
        <v>1216</v>
      </c>
      <c r="F188" s="7" t="s">
        <v>1217</v>
      </c>
      <c r="G188" s="7" t="s">
        <v>1218</v>
      </c>
      <c r="H188">
        <v>81</v>
      </c>
      <c r="I188">
        <v>35</v>
      </c>
      <c r="J188">
        <v>12</v>
      </c>
      <c r="K188">
        <v>94</v>
      </c>
      <c r="L188" s="5">
        <v>55.5</v>
      </c>
      <c r="M188">
        <v>76</v>
      </c>
      <c r="N188">
        <v>41</v>
      </c>
      <c r="O188" s="5">
        <v>20.62</v>
      </c>
      <c r="P188" s="5">
        <v>46.394999999999996</v>
      </c>
      <c r="Q188" s="11">
        <v>51.55</v>
      </c>
      <c r="R188" s="10">
        <v>3.1486655878934296E-2</v>
      </c>
      <c r="S188" s="10">
        <v>0.25362600000000002</v>
      </c>
      <c r="T188" t="s">
        <v>145</v>
      </c>
      <c r="U188">
        <v>21</v>
      </c>
      <c r="V188">
        <v>65</v>
      </c>
      <c r="W188" s="49">
        <v>17.975000000000001</v>
      </c>
      <c r="X188" t="str">
        <f t="shared" si="8"/>
        <v>Fa70</v>
      </c>
      <c r="Y188">
        <f>IFERROR(VLOOKUP('Season 1 - Player Stats'!G188,'Season 1 - League Table'!$T$2:$W$177,4,FALSE),0)</f>
        <v>2</v>
      </c>
      <c r="Z188">
        <f>38</f>
        <v>38</v>
      </c>
      <c r="AA188">
        <f t="shared" si="9"/>
        <v>2</v>
      </c>
      <c r="AB188">
        <f t="shared" si="10"/>
        <v>0</v>
      </c>
      <c r="AC188">
        <f t="shared" si="11"/>
        <v>0</v>
      </c>
    </row>
    <row r="189" spans="1:29" x14ac:dyDescent="0.25">
      <c r="A189" s="8">
        <v>195</v>
      </c>
      <c r="B189" s="7" t="s">
        <v>40</v>
      </c>
      <c r="C189" s="8" t="s">
        <v>46</v>
      </c>
      <c r="D189" s="7" t="s">
        <v>1428</v>
      </c>
      <c r="E189" s="7" t="s">
        <v>1429</v>
      </c>
      <c r="F189" s="7" t="s">
        <v>1430</v>
      </c>
      <c r="G189" s="7" t="s">
        <v>1431</v>
      </c>
      <c r="H189">
        <v>51</v>
      </c>
      <c r="I189">
        <v>52</v>
      </c>
      <c r="J189">
        <v>74</v>
      </c>
      <c r="K189">
        <v>64</v>
      </c>
      <c r="L189" s="5">
        <v>60.25</v>
      </c>
      <c r="M189">
        <v>58</v>
      </c>
      <c r="N189">
        <v>82</v>
      </c>
      <c r="O189" s="5">
        <v>49.635000000000005</v>
      </c>
      <c r="P189" s="5">
        <v>33.090000000000003</v>
      </c>
      <c r="Q189" s="11">
        <v>55.150000000000006</v>
      </c>
      <c r="R189" s="10">
        <v>0.12108238651956751</v>
      </c>
      <c r="S189" s="10">
        <v>1.2210209999999999</v>
      </c>
      <c r="T189" t="s">
        <v>154</v>
      </c>
      <c r="U189">
        <v>20</v>
      </c>
      <c r="V189">
        <v>60</v>
      </c>
      <c r="W189" s="49">
        <v>17.375</v>
      </c>
      <c r="X189" t="str">
        <f t="shared" si="8"/>
        <v>St83</v>
      </c>
      <c r="Y189">
        <f>IFERROR(VLOOKUP('Season 1 - Player Stats'!G189,'Season 1 - League Table'!$T$2:$W$177,4,FALSE),0)</f>
        <v>8</v>
      </c>
      <c r="Z189">
        <f>38</f>
        <v>38</v>
      </c>
      <c r="AA189">
        <f t="shared" si="9"/>
        <v>8</v>
      </c>
      <c r="AB189">
        <f t="shared" si="10"/>
        <v>0</v>
      </c>
      <c r="AC189">
        <f t="shared" si="11"/>
        <v>0</v>
      </c>
    </row>
    <row r="190" spans="1:29" x14ac:dyDescent="0.25">
      <c r="A190" s="8">
        <v>194</v>
      </c>
      <c r="B190" s="7" t="s">
        <v>40</v>
      </c>
      <c r="C190" s="8" t="s">
        <v>57</v>
      </c>
      <c r="D190" s="7" t="s">
        <v>1432</v>
      </c>
      <c r="E190" s="7" t="s">
        <v>1433</v>
      </c>
      <c r="F190" s="7" t="s">
        <v>1434</v>
      </c>
      <c r="G190" s="7" t="s">
        <v>1435</v>
      </c>
      <c r="H190">
        <v>38</v>
      </c>
      <c r="I190">
        <v>51</v>
      </c>
      <c r="J190">
        <v>77</v>
      </c>
      <c r="K190">
        <v>66</v>
      </c>
      <c r="L190" s="5">
        <v>58</v>
      </c>
      <c r="M190">
        <v>57</v>
      </c>
      <c r="N190">
        <v>86</v>
      </c>
      <c r="O190" s="5">
        <v>40.424999999999997</v>
      </c>
      <c r="P190" s="5">
        <v>40.424999999999997</v>
      </c>
      <c r="Q190" s="11">
        <v>53.9</v>
      </c>
      <c r="R190" s="10">
        <v>9.8614998993724501E-2</v>
      </c>
      <c r="S190" s="10">
        <v>1.0429649999999999</v>
      </c>
      <c r="T190" t="s">
        <v>154</v>
      </c>
      <c r="U190">
        <v>28</v>
      </c>
      <c r="V190">
        <v>62</v>
      </c>
      <c r="W190" s="49">
        <v>16.950000000000003</v>
      </c>
      <c r="X190" t="str">
        <f t="shared" si="8"/>
        <v>St83</v>
      </c>
      <c r="Y190">
        <f>IFERROR(VLOOKUP('Season 1 - Player Stats'!G190,'Season 1 - League Table'!$T$2:$W$177,4,FALSE),0)</f>
        <v>7</v>
      </c>
      <c r="Z190">
        <f>38</f>
        <v>38</v>
      </c>
      <c r="AA190">
        <f t="shared" si="9"/>
        <v>7</v>
      </c>
      <c r="AB190">
        <f t="shared" si="10"/>
        <v>0</v>
      </c>
      <c r="AC190">
        <f t="shared" si="11"/>
        <v>0</v>
      </c>
    </row>
    <row r="191" spans="1:29" x14ac:dyDescent="0.25">
      <c r="A191" s="8">
        <v>4</v>
      </c>
      <c r="B191" s="7" t="s">
        <v>21</v>
      </c>
      <c r="C191" s="8" t="s">
        <v>56</v>
      </c>
      <c r="D191" s="7" t="s">
        <v>1325</v>
      </c>
      <c r="E191" s="7" t="s">
        <v>1326</v>
      </c>
      <c r="F191" s="7" t="s">
        <v>1327</v>
      </c>
      <c r="G191" s="7" t="s">
        <v>1328</v>
      </c>
      <c r="H191">
        <v>65</v>
      </c>
      <c r="I191">
        <v>42</v>
      </c>
      <c r="J191">
        <v>55</v>
      </c>
      <c r="K191">
        <v>67</v>
      </c>
      <c r="L191" s="5">
        <v>57.25</v>
      </c>
      <c r="M191">
        <v>81</v>
      </c>
      <c r="N191">
        <v>19</v>
      </c>
      <c r="O191" s="5">
        <v>16.829999999999998</v>
      </c>
      <c r="P191" s="5">
        <v>56.099999999999994</v>
      </c>
      <c r="Q191" s="11">
        <v>56.099999999999994</v>
      </c>
      <c r="R191" s="10">
        <v>2.2982196904075249E-2</v>
      </c>
      <c r="S191" s="10">
        <v>9.5930999999999989E-2</v>
      </c>
      <c r="T191" t="s">
        <v>143</v>
      </c>
      <c r="U191">
        <v>30</v>
      </c>
      <c r="V191">
        <v>60</v>
      </c>
      <c r="W191" s="49">
        <v>16.849999999999994</v>
      </c>
      <c r="X191" t="str">
        <f t="shared" si="8"/>
        <v>Ea69</v>
      </c>
      <c r="Y191">
        <f>IFERROR(VLOOKUP('Season 1 - Player Stats'!G191,'Season 1 - League Table'!$T$2:$W$177,4,FALSE),0)</f>
        <v>2</v>
      </c>
      <c r="Z191">
        <f>38</f>
        <v>38</v>
      </c>
      <c r="AA191">
        <f t="shared" si="9"/>
        <v>2</v>
      </c>
      <c r="AB191">
        <f t="shared" si="10"/>
        <v>0</v>
      </c>
      <c r="AC191">
        <f t="shared" si="11"/>
        <v>0</v>
      </c>
    </row>
    <row r="192" spans="1:29" x14ac:dyDescent="0.25">
      <c r="A192" s="8">
        <v>182</v>
      </c>
      <c r="B192" s="7" t="s">
        <v>39</v>
      </c>
      <c r="C192" s="8" t="s">
        <v>45</v>
      </c>
      <c r="D192" s="7" t="s">
        <v>730</v>
      </c>
      <c r="E192" s="7" t="s">
        <v>731</v>
      </c>
      <c r="F192" s="7" t="s">
        <v>732</v>
      </c>
      <c r="G192" s="7" t="s">
        <v>733</v>
      </c>
      <c r="H192">
        <v>72</v>
      </c>
      <c r="I192">
        <v>66</v>
      </c>
      <c r="J192">
        <v>20</v>
      </c>
      <c r="K192">
        <v>78</v>
      </c>
      <c r="L192" s="5">
        <v>59</v>
      </c>
      <c r="M192">
        <v>98</v>
      </c>
      <c r="N192">
        <v>102</v>
      </c>
      <c r="O192" s="5">
        <v>30.179999999999996</v>
      </c>
      <c r="P192" s="5">
        <v>45.269999999999996</v>
      </c>
      <c r="Q192" s="11">
        <v>50.3</v>
      </c>
      <c r="R192" s="10">
        <v>7.1841320661520963E-2</v>
      </c>
      <c r="S192" s="10">
        <v>0.92350799999999977</v>
      </c>
      <c r="T192" t="s">
        <v>153</v>
      </c>
      <c r="U192">
        <v>20</v>
      </c>
      <c r="V192">
        <v>61</v>
      </c>
      <c r="W192" s="49">
        <v>15.450000000000003</v>
      </c>
      <c r="X192" t="str">
        <f t="shared" si="8"/>
        <v>Ra82</v>
      </c>
      <c r="Y192">
        <f>IFERROR(VLOOKUP('Season 1 - Player Stats'!G192,'Season 1 - League Table'!$T$2:$W$177,4,FALSE),0)</f>
        <v>3</v>
      </c>
      <c r="Z192">
        <f>38</f>
        <v>38</v>
      </c>
      <c r="AA192">
        <f t="shared" si="9"/>
        <v>3</v>
      </c>
      <c r="AB192">
        <f t="shared" si="10"/>
        <v>0</v>
      </c>
      <c r="AC192">
        <f t="shared" si="11"/>
        <v>0</v>
      </c>
    </row>
    <row r="193" spans="1:29" x14ac:dyDescent="0.25">
      <c r="A193" s="8">
        <v>45</v>
      </c>
      <c r="B193" s="7" t="s">
        <v>28</v>
      </c>
      <c r="C193" s="8" t="s">
        <v>11</v>
      </c>
      <c r="D193" s="7" t="s">
        <v>979</v>
      </c>
      <c r="E193" s="7" t="s">
        <v>1170</v>
      </c>
      <c r="F193" s="7" t="s">
        <v>1171</v>
      </c>
      <c r="G193" s="7" t="s">
        <v>1172</v>
      </c>
      <c r="H193">
        <v>48</v>
      </c>
      <c r="I193">
        <v>44</v>
      </c>
      <c r="J193">
        <v>77</v>
      </c>
      <c r="K193">
        <v>81</v>
      </c>
      <c r="L193" s="5">
        <v>62.5</v>
      </c>
      <c r="M193">
        <v>60</v>
      </c>
      <c r="N193">
        <v>8</v>
      </c>
      <c r="O193" s="5">
        <v>0</v>
      </c>
      <c r="P193" s="5">
        <v>54.45</v>
      </c>
      <c r="Q193" s="11">
        <v>54.45</v>
      </c>
      <c r="R193" s="10">
        <v>0</v>
      </c>
      <c r="S193" s="10">
        <v>0</v>
      </c>
      <c r="T193" t="s">
        <v>157</v>
      </c>
      <c r="U193">
        <v>32</v>
      </c>
      <c r="V193">
        <v>58</v>
      </c>
      <c r="W193" s="49">
        <v>14.825000000000003</v>
      </c>
      <c r="X193" t="str">
        <f t="shared" si="8"/>
        <v>Sh83</v>
      </c>
      <c r="Y193">
        <f>IFERROR(VLOOKUP('Season 1 - Player Stats'!G193,'Season 1 - League Table'!$T$2:$W$177,4,FALSE),0)</f>
        <v>0</v>
      </c>
      <c r="Z193">
        <f>38</f>
        <v>38</v>
      </c>
      <c r="AA193">
        <f t="shared" si="9"/>
        <v>0</v>
      </c>
      <c r="AB193">
        <f t="shared" si="10"/>
        <v>0</v>
      </c>
      <c r="AC193">
        <f t="shared" si="11"/>
        <v>0</v>
      </c>
    </row>
    <row r="194" spans="1:29" x14ac:dyDescent="0.25">
      <c r="A194" s="8">
        <v>108</v>
      </c>
      <c r="B194" s="7" t="s">
        <v>32</v>
      </c>
      <c r="C194" s="8" t="s">
        <v>52</v>
      </c>
      <c r="D194" s="7" t="s">
        <v>999</v>
      </c>
      <c r="E194" s="7" t="s">
        <v>1000</v>
      </c>
      <c r="F194" s="7" t="s">
        <v>1001</v>
      </c>
      <c r="G194" s="7" t="s">
        <v>1002</v>
      </c>
      <c r="H194">
        <v>71</v>
      </c>
      <c r="I194">
        <v>53</v>
      </c>
      <c r="J194">
        <v>86</v>
      </c>
      <c r="K194">
        <v>33</v>
      </c>
      <c r="L194" s="5">
        <v>60.75</v>
      </c>
      <c r="M194">
        <v>32</v>
      </c>
      <c r="N194">
        <v>76</v>
      </c>
      <c r="O194" s="5">
        <v>51.949999999999996</v>
      </c>
      <c r="P194" s="5">
        <v>15.584999999999997</v>
      </c>
      <c r="Q194" s="11">
        <v>51.949999999999996</v>
      </c>
      <c r="R194" s="10">
        <v>0.18549213060840966</v>
      </c>
      <c r="S194" s="10">
        <v>1.1844599999999998</v>
      </c>
      <c r="T194" t="s">
        <v>141</v>
      </c>
      <c r="U194">
        <v>27</v>
      </c>
      <c r="V194">
        <v>59</v>
      </c>
      <c r="W194" s="49">
        <v>14.575000000000003</v>
      </c>
      <c r="X194" t="str">
        <f t="shared" si="8"/>
        <v>Be66</v>
      </c>
      <c r="Y194">
        <f>IFERROR(VLOOKUP('Season 1 - Player Stats'!G194,'Season 1 - League Table'!$T$2:$W$177,4,FALSE),0)</f>
        <v>10</v>
      </c>
      <c r="Z194">
        <f>38</f>
        <v>38</v>
      </c>
      <c r="AA194">
        <f t="shared" si="9"/>
        <v>10</v>
      </c>
      <c r="AB194">
        <f t="shared" si="10"/>
        <v>0</v>
      </c>
      <c r="AC194">
        <f t="shared" si="11"/>
        <v>0</v>
      </c>
    </row>
    <row r="195" spans="1:29" x14ac:dyDescent="0.25">
      <c r="A195" s="8">
        <v>28</v>
      </c>
      <c r="B195" s="7" t="s">
        <v>25</v>
      </c>
      <c r="C195" s="8" t="s">
        <v>45</v>
      </c>
      <c r="D195" s="7" t="s">
        <v>1256</v>
      </c>
      <c r="E195" s="7" t="s">
        <v>1257</v>
      </c>
      <c r="F195" s="7" t="s">
        <v>1258</v>
      </c>
      <c r="G195" s="7" t="s">
        <v>1259</v>
      </c>
      <c r="H195">
        <v>75</v>
      </c>
      <c r="I195">
        <v>49</v>
      </c>
      <c r="J195">
        <v>36</v>
      </c>
      <c r="K195">
        <v>80</v>
      </c>
      <c r="L195" s="5">
        <v>60</v>
      </c>
      <c r="M195">
        <v>82</v>
      </c>
      <c r="N195">
        <v>24</v>
      </c>
      <c r="O195" s="5">
        <v>31.41</v>
      </c>
      <c r="P195" s="5">
        <v>47.115000000000002</v>
      </c>
      <c r="Q195" s="11">
        <v>52.35</v>
      </c>
      <c r="R195" s="10">
        <v>7.3034197722477032E-2</v>
      </c>
      <c r="S195" s="10">
        <v>0.22615199999999996</v>
      </c>
      <c r="T195" t="s">
        <v>142</v>
      </c>
      <c r="U195">
        <v>31</v>
      </c>
      <c r="V195">
        <v>59</v>
      </c>
      <c r="W195" s="49">
        <v>14.375</v>
      </c>
      <c r="X195" t="str">
        <f t="shared" si="8"/>
        <v>Co67</v>
      </c>
      <c r="Y195">
        <f>IFERROR(VLOOKUP('Season 1 - Player Stats'!G195,'Season 1 - League Table'!$T$2:$W$177,4,FALSE),0)</f>
        <v>4</v>
      </c>
      <c r="Z195">
        <f>38</f>
        <v>38</v>
      </c>
      <c r="AA195">
        <f t="shared" si="9"/>
        <v>4</v>
      </c>
      <c r="AB195">
        <f t="shared" si="10"/>
        <v>0</v>
      </c>
      <c r="AC195">
        <f t="shared" si="11"/>
        <v>0</v>
      </c>
    </row>
    <row r="196" spans="1:29" x14ac:dyDescent="0.25">
      <c r="A196" s="8">
        <v>188</v>
      </c>
      <c r="B196" s="7" t="s">
        <v>40</v>
      </c>
      <c r="C196" s="8" t="s">
        <v>11</v>
      </c>
      <c r="D196" s="7" t="s">
        <v>1436</v>
      </c>
      <c r="E196" s="7" t="s">
        <v>1437</v>
      </c>
      <c r="F196" s="7" t="s">
        <v>1438</v>
      </c>
      <c r="G196" s="7" t="s">
        <v>1415</v>
      </c>
      <c r="H196">
        <v>32</v>
      </c>
      <c r="I196">
        <v>64</v>
      </c>
      <c r="J196">
        <v>83</v>
      </c>
      <c r="K196">
        <v>57</v>
      </c>
      <c r="L196" s="5">
        <v>59</v>
      </c>
      <c r="M196">
        <v>54</v>
      </c>
      <c r="N196">
        <v>80</v>
      </c>
      <c r="O196" s="5">
        <v>0</v>
      </c>
      <c r="P196" s="5">
        <v>52.05</v>
      </c>
      <c r="Q196" s="11">
        <v>52.05</v>
      </c>
      <c r="R196" s="10">
        <v>0</v>
      </c>
      <c r="S196" s="10">
        <v>0</v>
      </c>
      <c r="T196" t="s">
        <v>154</v>
      </c>
      <c r="U196">
        <v>25</v>
      </c>
      <c r="V196">
        <v>58</v>
      </c>
      <c r="W196" s="49">
        <v>14.325000000000003</v>
      </c>
      <c r="X196" t="str">
        <f t="shared" si="8"/>
        <v>St83</v>
      </c>
      <c r="Y196">
        <f>IFERROR(VLOOKUP('Season 1 - Player Stats'!G196,'Season 1 - League Table'!$T$2:$W$177,4,FALSE),0)</f>
        <v>0</v>
      </c>
      <c r="Z196">
        <f>38</f>
        <v>38</v>
      </c>
      <c r="AA196">
        <f t="shared" si="9"/>
        <v>0</v>
      </c>
      <c r="AB196">
        <f t="shared" si="10"/>
        <v>0</v>
      </c>
      <c r="AC196">
        <f t="shared" si="11"/>
        <v>0</v>
      </c>
    </row>
    <row r="197" spans="1:29" x14ac:dyDescent="0.25">
      <c r="A197" s="8">
        <v>107</v>
      </c>
      <c r="B197" s="7" t="s">
        <v>32</v>
      </c>
      <c r="C197" s="8" t="s">
        <v>46</v>
      </c>
      <c r="D197" s="7" t="s">
        <v>995</v>
      </c>
      <c r="E197" s="7" t="s">
        <v>996</v>
      </c>
      <c r="F197" s="7" t="s">
        <v>997</v>
      </c>
      <c r="G197" s="7" t="s">
        <v>998</v>
      </c>
      <c r="H197">
        <v>38</v>
      </c>
      <c r="I197">
        <v>61</v>
      </c>
      <c r="J197">
        <v>97</v>
      </c>
      <c r="K197">
        <v>37</v>
      </c>
      <c r="L197" s="5">
        <v>58.25</v>
      </c>
      <c r="M197">
        <v>32</v>
      </c>
      <c r="N197">
        <v>81</v>
      </c>
      <c r="O197" s="5">
        <v>44.955000000000005</v>
      </c>
      <c r="P197" s="5">
        <v>29.97</v>
      </c>
      <c r="Q197" s="11">
        <v>49.95</v>
      </c>
      <c r="R197" s="10">
        <v>0.12068861371186952</v>
      </c>
      <c r="S197" s="10">
        <v>1.0924065000000001</v>
      </c>
      <c r="T197" t="s">
        <v>141</v>
      </c>
      <c r="U197">
        <v>25</v>
      </c>
      <c r="V197">
        <v>60</v>
      </c>
      <c r="W197" s="49">
        <v>14.275000000000006</v>
      </c>
      <c r="X197" t="str">
        <f t="shared" ref="X197:X223" si="12">_xlfn.CONCAT(LEFT(B197,2),CODE(B197))</f>
        <v>Be66</v>
      </c>
      <c r="Y197">
        <f>IFERROR(VLOOKUP('Season 1 - Player Stats'!G197,'Season 1 - League Table'!$T$2:$W$177,4,FALSE),0)</f>
        <v>6</v>
      </c>
      <c r="Z197">
        <f>38</f>
        <v>38</v>
      </c>
      <c r="AA197">
        <f t="shared" ref="AA197:AA223" si="13">Y197</f>
        <v>6</v>
      </c>
      <c r="AB197">
        <f t="shared" ref="AB197:AB223" si="14">IF($D$2=X197,1,0)</f>
        <v>0</v>
      </c>
      <c r="AC197">
        <f t="shared" ref="AC197:AC224" si="15">AB197</f>
        <v>0</v>
      </c>
    </row>
    <row r="198" spans="1:29" x14ac:dyDescent="0.25">
      <c r="A198" s="8">
        <v>3</v>
      </c>
      <c r="B198" s="7" t="s">
        <v>21</v>
      </c>
      <c r="C198" s="8" t="s">
        <v>56</v>
      </c>
      <c r="D198" s="7" t="s">
        <v>1322</v>
      </c>
      <c r="E198" s="7" t="s">
        <v>1323</v>
      </c>
      <c r="F198" s="7" t="s">
        <v>1324</v>
      </c>
      <c r="G198" s="7" t="s">
        <v>814</v>
      </c>
      <c r="H198">
        <v>72</v>
      </c>
      <c r="I198">
        <v>76</v>
      </c>
      <c r="J198">
        <v>28</v>
      </c>
      <c r="K198">
        <v>87</v>
      </c>
      <c r="L198" s="5">
        <v>65.75</v>
      </c>
      <c r="M198">
        <v>84</v>
      </c>
      <c r="N198">
        <v>34</v>
      </c>
      <c r="O198" s="5">
        <v>14.864999999999998</v>
      </c>
      <c r="P198" s="5">
        <v>49.55</v>
      </c>
      <c r="Q198" s="11">
        <v>49.55</v>
      </c>
      <c r="R198" s="10">
        <v>2.0298892274455051E-2</v>
      </c>
      <c r="S198" s="10">
        <v>0.15162299999999998</v>
      </c>
      <c r="T198" t="s">
        <v>143</v>
      </c>
      <c r="U198">
        <v>28</v>
      </c>
      <c r="V198">
        <v>59</v>
      </c>
      <c r="W198" s="49">
        <v>13.274999999999999</v>
      </c>
      <c r="X198" t="str">
        <f t="shared" si="12"/>
        <v>Ea69</v>
      </c>
      <c r="Y198">
        <f>IFERROR(VLOOKUP('Season 1 - Player Stats'!G198,'Season 1 - League Table'!$T$2:$W$177,4,FALSE),0)</f>
        <v>7</v>
      </c>
      <c r="Z198">
        <f>38</f>
        <v>38</v>
      </c>
      <c r="AA198">
        <f t="shared" si="13"/>
        <v>7</v>
      </c>
      <c r="AB198">
        <f t="shared" si="14"/>
        <v>0</v>
      </c>
      <c r="AC198">
        <f t="shared" si="15"/>
        <v>0</v>
      </c>
    </row>
    <row r="199" spans="1:29" x14ac:dyDescent="0.25">
      <c r="A199" s="8">
        <v>200</v>
      </c>
      <c r="B199" s="7" t="s">
        <v>41</v>
      </c>
      <c r="C199" s="8" t="s">
        <v>54</v>
      </c>
      <c r="D199" s="7" t="s">
        <v>670</v>
      </c>
      <c r="E199" s="7" t="s">
        <v>671</v>
      </c>
      <c r="F199" s="7" t="s">
        <v>672</v>
      </c>
      <c r="G199" s="7" t="s">
        <v>673</v>
      </c>
      <c r="H199">
        <v>24</v>
      </c>
      <c r="I199">
        <v>35</v>
      </c>
      <c r="J199">
        <v>81</v>
      </c>
      <c r="K199">
        <v>45</v>
      </c>
      <c r="L199" s="5">
        <v>46.25</v>
      </c>
      <c r="M199">
        <v>70</v>
      </c>
      <c r="N199">
        <v>77</v>
      </c>
      <c r="O199" s="5">
        <v>20.98</v>
      </c>
      <c r="P199" s="5">
        <v>47.204999999999998</v>
      </c>
      <c r="Q199" s="11">
        <v>52.449999999999996</v>
      </c>
      <c r="R199" s="10">
        <v>6.4336682152092817E-2</v>
      </c>
      <c r="S199" s="10">
        <v>0.48463800000000007</v>
      </c>
      <c r="T199" t="s">
        <v>156</v>
      </c>
      <c r="U199">
        <v>24</v>
      </c>
      <c r="V199">
        <v>54</v>
      </c>
      <c r="W199" s="49">
        <v>12.625</v>
      </c>
      <c r="X199" t="str">
        <f t="shared" si="12"/>
        <v>Bu66</v>
      </c>
      <c r="Y199">
        <f>IFERROR(VLOOKUP('Season 1 - Player Stats'!G199,'Season 1 - League Table'!$T$2:$W$177,4,FALSE),0)</f>
        <v>3</v>
      </c>
      <c r="Z199">
        <f>38</f>
        <v>38</v>
      </c>
      <c r="AA199">
        <f t="shared" si="13"/>
        <v>3</v>
      </c>
      <c r="AB199">
        <f t="shared" si="14"/>
        <v>0</v>
      </c>
      <c r="AC199">
        <f t="shared" si="15"/>
        <v>0</v>
      </c>
    </row>
    <row r="200" spans="1:29" x14ac:dyDescent="0.25">
      <c r="A200" s="8">
        <v>122</v>
      </c>
      <c r="B200" s="7" t="s">
        <v>34</v>
      </c>
      <c r="C200" s="8" t="s">
        <v>11</v>
      </c>
      <c r="D200" s="7" t="s">
        <v>883</v>
      </c>
      <c r="E200" s="7" t="s">
        <v>884</v>
      </c>
      <c r="F200" s="7" t="s">
        <v>885</v>
      </c>
      <c r="G200" s="7" t="s">
        <v>886</v>
      </c>
      <c r="H200">
        <v>60</v>
      </c>
      <c r="I200">
        <v>43</v>
      </c>
      <c r="J200">
        <v>55</v>
      </c>
      <c r="K200">
        <v>61</v>
      </c>
      <c r="L200" s="5">
        <v>54.75</v>
      </c>
      <c r="M200">
        <v>83</v>
      </c>
      <c r="N200">
        <v>26</v>
      </c>
      <c r="O200" s="5">
        <v>0</v>
      </c>
      <c r="P200" s="5">
        <v>53.699999999999996</v>
      </c>
      <c r="Q200" s="11">
        <v>53.699999999999996</v>
      </c>
      <c r="R200" s="10">
        <v>0</v>
      </c>
      <c r="S200" s="10">
        <v>0</v>
      </c>
      <c r="T200" t="s">
        <v>146</v>
      </c>
      <c r="U200">
        <v>34</v>
      </c>
      <c r="V200">
        <v>54</v>
      </c>
      <c r="W200" s="49">
        <v>12.25</v>
      </c>
      <c r="X200" t="str">
        <f t="shared" si="12"/>
        <v>Py80</v>
      </c>
      <c r="Y200">
        <f>IFERROR(VLOOKUP('Season 1 - Player Stats'!G200,'Season 1 - League Table'!$T$2:$W$177,4,FALSE),0)</f>
        <v>0</v>
      </c>
      <c r="Z200">
        <f>38</f>
        <v>38</v>
      </c>
      <c r="AA200">
        <f t="shared" si="13"/>
        <v>0</v>
      </c>
      <c r="AB200">
        <f t="shared" si="14"/>
        <v>0</v>
      </c>
      <c r="AC200">
        <f t="shared" si="15"/>
        <v>0</v>
      </c>
    </row>
    <row r="201" spans="1:29" x14ac:dyDescent="0.25">
      <c r="A201" s="8">
        <v>128</v>
      </c>
      <c r="B201" s="7" t="s">
        <v>34</v>
      </c>
      <c r="C201" s="8" t="s">
        <v>57</v>
      </c>
      <c r="D201" s="7" t="s">
        <v>905</v>
      </c>
      <c r="E201" s="7" t="s">
        <v>906</v>
      </c>
      <c r="F201" s="7" t="s">
        <v>907</v>
      </c>
      <c r="G201" s="7" t="s">
        <v>908</v>
      </c>
      <c r="H201">
        <v>75</v>
      </c>
      <c r="I201">
        <v>36</v>
      </c>
      <c r="J201">
        <v>52</v>
      </c>
      <c r="K201">
        <v>59</v>
      </c>
      <c r="L201" s="5">
        <v>55.5</v>
      </c>
      <c r="M201">
        <v>80</v>
      </c>
      <c r="N201">
        <v>32</v>
      </c>
      <c r="O201" s="5">
        <v>38.700000000000003</v>
      </c>
      <c r="P201" s="5">
        <v>38.700000000000003</v>
      </c>
      <c r="Q201" s="11">
        <v>51.6</v>
      </c>
      <c r="R201" s="10">
        <v>0.1033743580839683</v>
      </c>
      <c r="S201" s="10">
        <v>0.37152000000000002</v>
      </c>
      <c r="T201" t="s">
        <v>146</v>
      </c>
      <c r="U201">
        <v>30</v>
      </c>
      <c r="V201">
        <v>55</v>
      </c>
      <c r="W201" s="49">
        <v>12.100000000000001</v>
      </c>
      <c r="X201" t="str">
        <f t="shared" si="12"/>
        <v>Py80</v>
      </c>
      <c r="Y201">
        <f>IFERROR(VLOOKUP('Season 1 - Player Stats'!G201,'Season 1 - League Table'!$T$2:$W$177,4,FALSE),0)</f>
        <v>4</v>
      </c>
      <c r="Z201">
        <f>38</f>
        <v>38</v>
      </c>
      <c r="AA201">
        <f t="shared" si="13"/>
        <v>4</v>
      </c>
      <c r="AB201">
        <f t="shared" si="14"/>
        <v>0</v>
      </c>
      <c r="AC201">
        <f t="shared" si="15"/>
        <v>0</v>
      </c>
    </row>
    <row r="202" spans="1:29" x14ac:dyDescent="0.25">
      <c r="A202" s="8">
        <v>171</v>
      </c>
      <c r="B202" s="7" t="s">
        <v>38</v>
      </c>
      <c r="C202" s="8" t="s">
        <v>45</v>
      </c>
      <c r="D202" s="7" t="s">
        <v>772</v>
      </c>
      <c r="E202" s="7" t="s">
        <v>773</v>
      </c>
      <c r="F202" s="7" t="s">
        <v>774</v>
      </c>
      <c r="G202" s="7" t="s">
        <v>775</v>
      </c>
      <c r="H202">
        <v>85</v>
      </c>
      <c r="I202">
        <v>34</v>
      </c>
      <c r="J202">
        <v>39</v>
      </c>
      <c r="K202">
        <v>100</v>
      </c>
      <c r="L202" s="5">
        <v>64.5</v>
      </c>
      <c r="M202">
        <v>34</v>
      </c>
      <c r="N202">
        <v>84</v>
      </c>
      <c r="O202" s="5">
        <v>32.129999999999995</v>
      </c>
      <c r="P202" s="5">
        <v>48.195</v>
      </c>
      <c r="Q202" s="11">
        <v>53.55</v>
      </c>
      <c r="R202" s="10">
        <v>6.9933722942309567E-2</v>
      </c>
      <c r="S202" s="10">
        <v>0.80967599999999984</v>
      </c>
      <c r="T202" t="s">
        <v>152</v>
      </c>
      <c r="U202">
        <v>35</v>
      </c>
      <c r="V202">
        <v>54</v>
      </c>
      <c r="W202" s="49">
        <v>12.075000000000003</v>
      </c>
      <c r="X202" t="str">
        <f t="shared" si="12"/>
        <v>Ch67</v>
      </c>
      <c r="Y202">
        <f>IFERROR(VLOOKUP('Season 1 - Player Stats'!G202,'Season 1 - League Table'!$T$2:$W$177,4,FALSE),0)</f>
        <v>2</v>
      </c>
      <c r="Z202">
        <f>38</f>
        <v>38</v>
      </c>
      <c r="AA202">
        <f t="shared" si="13"/>
        <v>2</v>
      </c>
      <c r="AB202">
        <f t="shared" si="14"/>
        <v>0</v>
      </c>
      <c r="AC202">
        <f t="shared" si="15"/>
        <v>0</v>
      </c>
    </row>
    <row r="203" spans="1:29" x14ac:dyDescent="0.25">
      <c r="A203" s="8">
        <v>162</v>
      </c>
      <c r="B203" s="7" t="s">
        <v>37</v>
      </c>
      <c r="C203" s="8" t="s">
        <v>46</v>
      </c>
      <c r="D203" s="7" t="s">
        <v>823</v>
      </c>
      <c r="E203" s="7" t="s">
        <v>824</v>
      </c>
      <c r="F203" s="7" t="s">
        <v>825</v>
      </c>
      <c r="G203" s="7" t="s">
        <v>826</v>
      </c>
      <c r="H203">
        <v>26</v>
      </c>
      <c r="I203">
        <v>90</v>
      </c>
      <c r="J203">
        <v>100</v>
      </c>
      <c r="K203">
        <v>7</v>
      </c>
      <c r="L203" s="5">
        <v>55.75</v>
      </c>
      <c r="M203">
        <v>68</v>
      </c>
      <c r="N203">
        <v>90</v>
      </c>
      <c r="O203" s="5">
        <v>46.35</v>
      </c>
      <c r="P203" s="5">
        <v>30.9</v>
      </c>
      <c r="Q203" s="11">
        <v>51.5</v>
      </c>
      <c r="R203" s="10">
        <v>0.13770053475935831</v>
      </c>
      <c r="S203" s="10">
        <v>1.2514500000000002</v>
      </c>
      <c r="T203" t="s">
        <v>151</v>
      </c>
      <c r="U203">
        <v>33</v>
      </c>
      <c r="V203">
        <v>54</v>
      </c>
      <c r="W203" s="49">
        <v>11.25</v>
      </c>
      <c r="X203" t="str">
        <f t="shared" si="12"/>
        <v>El69</v>
      </c>
      <c r="Y203">
        <f>IFERROR(VLOOKUP('Season 1 - Player Stats'!G203,'Season 1 - League Table'!$T$2:$W$177,4,FALSE),0)</f>
        <v>4</v>
      </c>
      <c r="Z203">
        <f>38</f>
        <v>38</v>
      </c>
      <c r="AA203">
        <f t="shared" si="13"/>
        <v>4</v>
      </c>
      <c r="AB203">
        <f t="shared" si="14"/>
        <v>0</v>
      </c>
      <c r="AC203">
        <f t="shared" si="15"/>
        <v>0</v>
      </c>
    </row>
    <row r="204" spans="1:29" x14ac:dyDescent="0.25">
      <c r="A204" s="8">
        <v>37</v>
      </c>
      <c r="B204" s="7" t="s">
        <v>26</v>
      </c>
      <c r="C204" s="8" t="s">
        <v>56</v>
      </c>
      <c r="D204" s="7" t="s">
        <v>935</v>
      </c>
      <c r="E204" s="7" t="s">
        <v>936</v>
      </c>
      <c r="F204" s="7" t="s">
        <v>937</v>
      </c>
      <c r="G204" s="7" t="s">
        <v>1214</v>
      </c>
      <c r="H204">
        <v>72</v>
      </c>
      <c r="I204">
        <v>32</v>
      </c>
      <c r="J204">
        <v>28</v>
      </c>
      <c r="K204">
        <v>91</v>
      </c>
      <c r="L204" s="5">
        <v>55.75</v>
      </c>
      <c r="M204">
        <v>72</v>
      </c>
      <c r="N204">
        <v>52</v>
      </c>
      <c r="O204" s="5">
        <v>13.065</v>
      </c>
      <c r="P204" s="5">
        <v>43.55</v>
      </c>
      <c r="Q204" s="11">
        <v>43.55</v>
      </c>
      <c r="R204" s="10">
        <v>1.9950201700207396E-2</v>
      </c>
      <c r="S204" s="10">
        <v>0.203814</v>
      </c>
      <c r="T204" t="s">
        <v>145</v>
      </c>
      <c r="U204">
        <v>20</v>
      </c>
      <c r="V204">
        <v>59</v>
      </c>
      <c r="W204" s="49">
        <v>11.075000000000003</v>
      </c>
      <c r="X204" t="str">
        <f t="shared" si="12"/>
        <v>Fa70</v>
      </c>
      <c r="Y204">
        <f>IFERROR(VLOOKUP('Season 1 - Player Stats'!G204,'Season 1 - League Table'!$T$2:$W$177,4,FALSE),0)</f>
        <v>1</v>
      </c>
      <c r="Z204">
        <f>38</f>
        <v>38</v>
      </c>
      <c r="AA204">
        <f t="shared" si="13"/>
        <v>1</v>
      </c>
      <c r="AB204">
        <f t="shared" si="14"/>
        <v>0</v>
      </c>
      <c r="AC204">
        <f t="shared" si="15"/>
        <v>0</v>
      </c>
    </row>
    <row r="205" spans="1:29" x14ac:dyDescent="0.25">
      <c r="A205" s="8">
        <v>203</v>
      </c>
      <c r="B205" s="7" t="s">
        <v>41</v>
      </c>
      <c r="C205" s="8" t="s">
        <v>55</v>
      </c>
      <c r="D205" s="7" t="s">
        <v>682</v>
      </c>
      <c r="E205" s="7" t="s">
        <v>683</v>
      </c>
      <c r="F205" s="7" t="s">
        <v>684</v>
      </c>
      <c r="G205" s="7" t="s">
        <v>685</v>
      </c>
      <c r="H205">
        <v>22</v>
      </c>
      <c r="I205">
        <v>41</v>
      </c>
      <c r="J205">
        <v>82</v>
      </c>
      <c r="K205">
        <v>23</v>
      </c>
      <c r="L205" s="5">
        <v>42</v>
      </c>
      <c r="M205">
        <v>79</v>
      </c>
      <c r="N205">
        <v>75</v>
      </c>
      <c r="O205" s="5">
        <v>18.84</v>
      </c>
      <c r="P205" s="5">
        <v>42.39</v>
      </c>
      <c r="Q205" s="11">
        <v>47.1</v>
      </c>
      <c r="R205" s="10">
        <v>5.7774217909696314E-2</v>
      </c>
      <c r="S205" s="10">
        <v>0.42390000000000005</v>
      </c>
      <c r="T205" t="s">
        <v>156</v>
      </c>
      <c r="U205">
        <v>18</v>
      </c>
      <c r="V205">
        <v>54</v>
      </c>
      <c r="W205" s="49">
        <v>10.549999999999997</v>
      </c>
      <c r="X205" t="str">
        <f t="shared" si="12"/>
        <v>Bu66</v>
      </c>
      <c r="Y205">
        <f>IFERROR(VLOOKUP('Season 1 - Player Stats'!G205,'Season 1 - League Table'!$T$2:$W$177,4,FALSE),0)</f>
        <v>1</v>
      </c>
      <c r="Z205">
        <f>38</f>
        <v>38</v>
      </c>
      <c r="AA205">
        <f t="shared" si="13"/>
        <v>1</v>
      </c>
      <c r="AB205">
        <f t="shared" si="14"/>
        <v>0</v>
      </c>
      <c r="AC205">
        <f t="shared" si="15"/>
        <v>0</v>
      </c>
    </row>
    <row r="206" spans="1:29" x14ac:dyDescent="0.25">
      <c r="A206" s="8">
        <v>168</v>
      </c>
      <c r="B206" s="7" t="s">
        <v>38</v>
      </c>
      <c r="C206" s="8" t="s">
        <v>56</v>
      </c>
      <c r="D206" s="7" t="s">
        <v>761</v>
      </c>
      <c r="E206" s="7" t="s">
        <v>762</v>
      </c>
      <c r="F206" s="7" t="s">
        <v>763</v>
      </c>
      <c r="G206" s="7" t="s">
        <v>764</v>
      </c>
      <c r="H206">
        <v>84</v>
      </c>
      <c r="I206">
        <v>38</v>
      </c>
      <c r="J206">
        <v>35</v>
      </c>
      <c r="K206">
        <v>100</v>
      </c>
      <c r="L206" s="5">
        <v>64.25</v>
      </c>
      <c r="M206">
        <v>29</v>
      </c>
      <c r="N206">
        <v>82</v>
      </c>
      <c r="O206" s="5">
        <v>15.397500000000001</v>
      </c>
      <c r="P206" s="5">
        <v>51.325000000000003</v>
      </c>
      <c r="Q206" s="11">
        <v>51.325000000000003</v>
      </c>
      <c r="R206" s="10">
        <v>2.2454373306343665E-2</v>
      </c>
      <c r="S206" s="10">
        <v>0.37877850000000002</v>
      </c>
      <c r="T206" t="s">
        <v>152</v>
      </c>
      <c r="U206">
        <v>33</v>
      </c>
      <c r="V206">
        <v>52</v>
      </c>
      <c r="W206" s="49">
        <v>10.162500000000001</v>
      </c>
      <c r="X206" t="str">
        <f t="shared" si="12"/>
        <v>Ch67</v>
      </c>
      <c r="Y206">
        <f>IFERROR(VLOOKUP('Season 1 - Player Stats'!G206,'Season 1 - League Table'!$T$2:$W$177,4,FALSE),0)</f>
        <v>0</v>
      </c>
      <c r="Z206">
        <f>38</f>
        <v>38</v>
      </c>
      <c r="AA206">
        <f t="shared" si="13"/>
        <v>0</v>
      </c>
      <c r="AB206">
        <f t="shared" si="14"/>
        <v>0</v>
      </c>
      <c r="AC206">
        <f t="shared" si="15"/>
        <v>0</v>
      </c>
    </row>
    <row r="207" spans="1:29" x14ac:dyDescent="0.25">
      <c r="A207" s="8">
        <v>35</v>
      </c>
      <c r="B207" s="7" t="s">
        <v>26</v>
      </c>
      <c r="C207" s="8" t="s">
        <v>54</v>
      </c>
      <c r="D207" s="7" t="s">
        <v>1190</v>
      </c>
      <c r="E207" s="7" t="s">
        <v>960</v>
      </c>
      <c r="F207" s="7" t="s">
        <v>961</v>
      </c>
      <c r="G207" s="7" t="s">
        <v>962</v>
      </c>
      <c r="H207">
        <v>85</v>
      </c>
      <c r="I207">
        <v>33</v>
      </c>
      <c r="J207">
        <v>8</v>
      </c>
      <c r="K207">
        <v>98</v>
      </c>
      <c r="L207" s="5">
        <v>56</v>
      </c>
      <c r="M207">
        <v>83</v>
      </c>
      <c r="N207">
        <v>42</v>
      </c>
      <c r="O207" s="5">
        <v>20.62</v>
      </c>
      <c r="P207" s="5">
        <v>46.394999999999996</v>
      </c>
      <c r="Q207" s="11">
        <v>51.55</v>
      </c>
      <c r="R207" s="10">
        <v>3.1486655878934296E-2</v>
      </c>
      <c r="S207" s="10">
        <v>0.25981199999999999</v>
      </c>
      <c r="T207" t="s">
        <v>145</v>
      </c>
      <c r="U207">
        <v>35</v>
      </c>
      <c r="V207">
        <v>52</v>
      </c>
      <c r="W207" s="49">
        <v>10.075000000000003</v>
      </c>
      <c r="X207" t="str">
        <f t="shared" si="12"/>
        <v>Fa70</v>
      </c>
      <c r="Y207">
        <f>IFERROR(VLOOKUP('Season 1 - Player Stats'!G207,'Season 1 - League Table'!$T$2:$W$177,4,FALSE),0)</f>
        <v>24</v>
      </c>
      <c r="Z207">
        <f>38</f>
        <v>38</v>
      </c>
      <c r="AA207">
        <f t="shared" si="13"/>
        <v>24</v>
      </c>
      <c r="AB207">
        <f t="shared" si="14"/>
        <v>0</v>
      </c>
      <c r="AC207">
        <f t="shared" si="15"/>
        <v>0</v>
      </c>
    </row>
    <row r="208" spans="1:29" x14ac:dyDescent="0.25">
      <c r="A208" s="8">
        <v>25</v>
      </c>
      <c r="B208" s="7" t="s">
        <v>25</v>
      </c>
      <c r="C208" s="8" t="s">
        <v>56</v>
      </c>
      <c r="D208" s="7" t="s">
        <v>1244</v>
      </c>
      <c r="E208" s="7" t="s">
        <v>1245</v>
      </c>
      <c r="F208" s="7" t="s">
        <v>1246</v>
      </c>
      <c r="G208" s="7" t="s">
        <v>1247</v>
      </c>
      <c r="H208">
        <v>80</v>
      </c>
      <c r="I208">
        <v>32</v>
      </c>
      <c r="J208">
        <v>38</v>
      </c>
      <c r="K208">
        <v>84</v>
      </c>
      <c r="L208" s="5">
        <v>58.5</v>
      </c>
      <c r="M208">
        <v>98</v>
      </c>
      <c r="N208">
        <v>25</v>
      </c>
      <c r="O208" s="5">
        <v>14.774999999999999</v>
      </c>
      <c r="P208" s="5">
        <v>49.25</v>
      </c>
      <c r="Q208" s="11">
        <v>49.25</v>
      </c>
      <c r="R208" s="10">
        <v>2.3017630748304065E-2</v>
      </c>
      <c r="S208" s="10">
        <v>0.11081249999999999</v>
      </c>
      <c r="T208" t="s">
        <v>142</v>
      </c>
      <c r="U208">
        <v>20</v>
      </c>
      <c r="V208">
        <v>51</v>
      </c>
      <c r="W208" s="49">
        <v>9.9249999999999972</v>
      </c>
      <c r="X208" t="str">
        <f t="shared" si="12"/>
        <v>Co67</v>
      </c>
      <c r="Y208">
        <f>IFERROR(VLOOKUP('Season 1 - Player Stats'!G208,'Season 1 - League Table'!$T$2:$W$177,4,FALSE),0)</f>
        <v>1</v>
      </c>
      <c r="Z208">
        <f>38</f>
        <v>38</v>
      </c>
      <c r="AA208">
        <f t="shared" si="13"/>
        <v>1</v>
      </c>
      <c r="AB208">
        <f t="shared" si="14"/>
        <v>0</v>
      </c>
      <c r="AC208">
        <f t="shared" si="15"/>
        <v>0</v>
      </c>
    </row>
    <row r="209" spans="1:29" x14ac:dyDescent="0.25">
      <c r="A209" s="8">
        <v>220</v>
      </c>
      <c r="B209" s="7" t="s">
        <v>42</v>
      </c>
      <c r="C209" s="8" t="s">
        <v>53</v>
      </c>
      <c r="D209" s="7" t="s">
        <v>662</v>
      </c>
      <c r="E209" s="7" t="s">
        <v>663</v>
      </c>
      <c r="F209" s="7" t="s">
        <v>664</v>
      </c>
      <c r="G209" s="7" t="s">
        <v>665</v>
      </c>
      <c r="H209">
        <v>55</v>
      </c>
      <c r="I209">
        <v>94</v>
      </c>
      <c r="J209">
        <v>97</v>
      </c>
      <c r="K209">
        <v>28</v>
      </c>
      <c r="L209" s="5">
        <v>68.5</v>
      </c>
      <c r="M209">
        <v>12</v>
      </c>
      <c r="N209">
        <v>72</v>
      </c>
      <c r="O209" s="5">
        <v>50.800000000000004</v>
      </c>
      <c r="P209" s="5">
        <v>15.24</v>
      </c>
      <c r="Q209" s="11">
        <v>50.800000000000004</v>
      </c>
      <c r="R209" s="10">
        <v>0.148222737768125</v>
      </c>
      <c r="S209" s="10">
        <v>1.09728</v>
      </c>
      <c r="T209" t="s">
        <v>155</v>
      </c>
      <c r="U209">
        <v>34</v>
      </c>
      <c r="V209">
        <v>51</v>
      </c>
      <c r="W209" s="49">
        <v>9.2999999999999972</v>
      </c>
      <c r="X209" t="str">
        <f t="shared" si="12"/>
        <v>Go71</v>
      </c>
      <c r="Y209">
        <f>IFERROR(VLOOKUP('Season 1 - Player Stats'!G209,'Season 1 - League Table'!$T$2:$W$177,4,FALSE),0)</f>
        <v>10</v>
      </c>
      <c r="Z209">
        <f>38</f>
        <v>38</v>
      </c>
      <c r="AA209">
        <f t="shared" si="13"/>
        <v>10</v>
      </c>
      <c r="AB209">
        <f t="shared" si="14"/>
        <v>0</v>
      </c>
      <c r="AC209">
        <f t="shared" si="15"/>
        <v>0</v>
      </c>
    </row>
    <row r="210" spans="1:29" x14ac:dyDescent="0.25">
      <c r="A210" s="8">
        <v>156</v>
      </c>
      <c r="B210" s="7" t="s">
        <v>37</v>
      </c>
      <c r="C210" s="8" t="s">
        <v>54</v>
      </c>
      <c r="D210" s="7" t="s">
        <v>799</v>
      </c>
      <c r="E210" s="7" t="s">
        <v>800</v>
      </c>
      <c r="F210" s="7" t="s">
        <v>801</v>
      </c>
      <c r="G210" s="7" t="s">
        <v>802</v>
      </c>
      <c r="H210">
        <v>14</v>
      </c>
      <c r="I210">
        <v>90</v>
      </c>
      <c r="J210">
        <v>84</v>
      </c>
      <c r="K210">
        <v>4</v>
      </c>
      <c r="L210" s="5">
        <v>48</v>
      </c>
      <c r="M210">
        <v>70</v>
      </c>
      <c r="N210">
        <v>89</v>
      </c>
      <c r="O210" s="5">
        <v>20.28</v>
      </c>
      <c r="P210" s="5">
        <v>45.63</v>
      </c>
      <c r="Q210" s="11">
        <v>50.7</v>
      </c>
      <c r="R210" s="10">
        <v>4.0367201426024964E-2</v>
      </c>
      <c r="S210" s="10">
        <v>0.54147600000000007</v>
      </c>
      <c r="T210" t="s">
        <v>151</v>
      </c>
      <c r="U210">
        <v>35</v>
      </c>
      <c r="V210">
        <v>51</v>
      </c>
      <c r="W210" s="49">
        <v>9.1500000000000057</v>
      </c>
      <c r="X210" t="str">
        <f t="shared" si="12"/>
        <v>El69</v>
      </c>
      <c r="Y210">
        <f>IFERROR(VLOOKUP('Season 1 - Player Stats'!G210,'Season 1 - League Table'!$T$2:$W$177,4,FALSE),0)</f>
        <v>1</v>
      </c>
      <c r="Z210">
        <f>38</f>
        <v>38</v>
      </c>
      <c r="AA210">
        <f t="shared" si="13"/>
        <v>1</v>
      </c>
      <c r="AB210">
        <f t="shared" si="14"/>
        <v>0</v>
      </c>
      <c r="AC210">
        <f t="shared" si="15"/>
        <v>0</v>
      </c>
    </row>
    <row r="211" spans="1:29" x14ac:dyDescent="0.25">
      <c r="A211" s="8">
        <v>127</v>
      </c>
      <c r="B211" s="7" t="s">
        <v>34</v>
      </c>
      <c r="C211" s="8" t="s">
        <v>45</v>
      </c>
      <c r="D211" s="7" t="s">
        <v>884</v>
      </c>
      <c r="E211" s="7" t="s">
        <v>902</v>
      </c>
      <c r="F211" s="7" t="s">
        <v>903</v>
      </c>
      <c r="G211" s="7" t="s">
        <v>904</v>
      </c>
      <c r="H211">
        <v>68</v>
      </c>
      <c r="I211">
        <v>44</v>
      </c>
      <c r="J211">
        <v>40</v>
      </c>
      <c r="K211">
        <v>51</v>
      </c>
      <c r="L211" s="5">
        <v>50.75</v>
      </c>
      <c r="M211">
        <v>84</v>
      </c>
      <c r="N211">
        <v>32</v>
      </c>
      <c r="O211" s="5">
        <v>28.229999999999997</v>
      </c>
      <c r="P211" s="5">
        <v>42.344999999999999</v>
      </c>
      <c r="Q211" s="11">
        <v>47.05</v>
      </c>
      <c r="R211" s="10">
        <v>7.5407186788383068E-2</v>
      </c>
      <c r="S211" s="10">
        <v>0.27100800000000003</v>
      </c>
      <c r="T211" t="s">
        <v>146</v>
      </c>
      <c r="U211">
        <v>32</v>
      </c>
      <c r="V211">
        <v>53</v>
      </c>
      <c r="W211" s="49">
        <v>8.625</v>
      </c>
      <c r="X211" t="str">
        <f t="shared" si="12"/>
        <v>Py80</v>
      </c>
      <c r="Y211">
        <f>IFERROR(VLOOKUP('Season 1 - Player Stats'!G211,'Season 1 - League Table'!$T$2:$W$177,4,FALSE),0)</f>
        <v>4</v>
      </c>
      <c r="Z211">
        <f>38</f>
        <v>38</v>
      </c>
      <c r="AA211">
        <f t="shared" si="13"/>
        <v>4</v>
      </c>
      <c r="AB211">
        <f t="shared" si="14"/>
        <v>0</v>
      </c>
      <c r="AC211">
        <f t="shared" si="15"/>
        <v>0</v>
      </c>
    </row>
    <row r="212" spans="1:29" x14ac:dyDescent="0.25">
      <c r="A212" s="8">
        <v>114</v>
      </c>
      <c r="B212" s="7" t="s">
        <v>33</v>
      </c>
      <c r="C212" s="8" t="s">
        <v>56</v>
      </c>
      <c r="D212" s="7" t="s">
        <v>935</v>
      </c>
      <c r="E212" s="7" t="s">
        <v>936</v>
      </c>
      <c r="F212" s="7" t="s">
        <v>937</v>
      </c>
      <c r="G212" s="7" t="s">
        <v>938</v>
      </c>
      <c r="H212">
        <v>89</v>
      </c>
      <c r="I212">
        <v>79</v>
      </c>
      <c r="J212">
        <v>16</v>
      </c>
      <c r="K212">
        <v>91</v>
      </c>
      <c r="L212" s="5">
        <v>68.75</v>
      </c>
      <c r="M212">
        <v>80</v>
      </c>
      <c r="N212">
        <v>74</v>
      </c>
      <c r="O212" s="5">
        <v>13.747499999999999</v>
      </c>
      <c r="P212" s="5">
        <v>45.824999999999996</v>
      </c>
      <c r="Q212" s="11">
        <v>45.824999999999996</v>
      </c>
      <c r="R212" s="10">
        <v>1.8806621542984899E-2</v>
      </c>
      <c r="S212" s="10">
        <v>0.30519449999999998</v>
      </c>
      <c r="T212" t="s">
        <v>148</v>
      </c>
      <c r="U212">
        <v>28</v>
      </c>
      <c r="V212">
        <v>53</v>
      </c>
      <c r="W212" s="49">
        <v>8.4124999999999943</v>
      </c>
      <c r="X212" t="str">
        <f t="shared" si="12"/>
        <v>Ha72</v>
      </c>
      <c r="Y212">
        <f>IFERROR(VLOOKUP('Season 1 - Player Stats'!G212,'Season 1 - League Table'!$T$2:$W$177,4,FALSE),0)</f>
        <v>0</v>
      </c>
      <c r="Z212">
        <f>38</f>
        <v>38</v>
      </c>
      <c r="AA212">
        <f t="shared" si="13"/>
        <v>0</v>
      </c>
      <c r="AB212">
        <f t="shared" si="14"/>
        <v>0</v>
      </c>
      <c r="AC212">
        <f t="shared" si="15"/>
        <v>0</v>
      </c>
    </row>
    <row r="213" spans="1:29" x14ac:dyDescent="0.25">
      <c r="A213" s="8">
        <v>109</v>
      </c>
      <c r="B213" s="7" t="s">
        <v>32</v>
      </c>
      <c r="C213" s="8" t="s">
        <v>59</v>
      </c>
      <c r="D213" s="7" t="s">
        <v>1003</v>
      </c>
      <c r="E213" s="7" t="s">
        <v>1004</v>
      </c>
      <c r="F213" s="7" t="s">
        <v>1005</v>
      </c>
      <c r="G213" s="7" t="s">
        <v>1006</v>
      </c>
      <c r="H213">
        <v>58</v>
      </c>
      <c r="I213">
        <v>56</v>
      </c>
      <c r="J213">
        <v>94</v>
      </c>
      <c r="K213">
        <v>7</v>
      </c>
      <c r="L213" s="5">
        <v>53.75</v>
      </c>
      <c r="M213">
        <v>29</v>
      </c>
      <c r="N213">
        <v>82</v>
      </c>
      <c r="O213" s="5">
        <v>45.8</v>
      </c>
      <c r="P213" s="5">
        <v>13.739999999999998</v>
      </c>
      <c r="Q213" s="11">
        <v>45.8</v>
      </c>
      <c r="R213" s="10">
        <v>0.16353300446323699</v>
      </c>
      <c r="S213" s="10">
        <v>1.1266799999999999</v>
      </c>
      <c r="T213" t="s">
        <v>141</v>
      </c>
      <c r="U213">
        <v>23</v>
      </c>
      <c r="V213">
        <v>49</v>
      </c>
      <c r="W213" s="49">
        <v>6.8999999999999986</v>
      </c>
      <c r="X213" t="str">
        <f t="shared" si="12"/>
        <v>Be66</v>
      </c>
      <c r="Y213">
        <f>IFERROR(VLOOKUP('Season 1 - Player Stats'!G213,'Season 1 - League Table'!$T$2:$W$177,4,FALSE),0)</f>
        <v>10</v>
      </c>
      <c r="Z213">
        <f>38</f>
        <v>38</v>
      </c>
      <c r="AA213">
        <f t="shared" si="13"/>
        <v>10</v>
      </c>
      <c r="AB213">
        <f t="shared" si="14"/>
        <v>0</v>
      </c>
      <c r="AC213">
        <f t="shared" si="15"/>
        <v>0</v>
      </c>
    </row>
    <row r="214" spans="1:29" x14ac:dyDescent="0.25">
      <c r="A214" s="8">
        <v>180</v>
      </c>
      <c r="B214" s="7" t="s">
        <v>39</v>
      </c>
      <c r="C214" s="8" t="s">
        <v>56</v>
      </c>
      <c r="D214" s="7" t="s">
        <v>722</v>
      </c>
      <c r="E214" s="7" t="s">
        <v>723</v>
      </c>
      <c r="F214" s="7" t="s">
        <v>724</v>
      </c>
      <c r="G214" s="7" t="s">
        <v>725</v>
      </c>
      <c r="H214">
        <v>83</v>
      </c>
      <c r="I214">
        <v>71</v>
      </c>
      <c r="J214">
        <v>11</v>
      </c>
      <c r="K214">
        <v>75</v>
      </c>
      <c r="L214" s="5">
        <v>60</v>
      </c>
      <c r="M214">
        <v>98</v>
      </c>
      <c r="N214">
        <v>101</v>
      </c>
      <c r="O214" s="5">
        <v>11.579999999999998</v>
      </c>
      <c r="P214" s="5">
        <v>38.599999999999994</v>
      </c>
      <c r="Q214" s="11">
        <v>38.599999999999994</v>
      </c>
      <c r="R214" s="10">
        <v>1.8468789611811684E-2</v>
      </c>
      <c r="S214" s="10">
        <v>0.35087399999999996</v>
      </c>
      <c r="T214" t="s">
        <v>153</v>
      </c>
      <c r="U214">
        <v>21</v>
      </c>
      <c r="V214">
        <v>55</v>
      </c>
      <c r="W214" s="49">
        <v>6.5</v>
      </c>
      <c r="X214" t="str">
        <f t="shared" si="12"/>
        <v>Ra82</v>
      </c>
      <c r="Y214">
        <f>IFERROR(VLOOKUP('Season 1 - Player Stats'!G214,'Season 1 - League Table'!$T$2:$W$177,4,FALSE),0)</f>
        <v>2</v>
      </c>
      <c r="Z214">
        <f>38</f>
        <v>38</v>
      </c>
      <c r="AA214">
        <f t="shared" si="13"/>
        <v>2</v>
      </c>
      <c r="AB214">
        <f t="shared" si="14"/>
        <v>0</v>
      </c>
      <c r="AC214">
        <f t="shared" si="15"/>
        <v>0</v>
      </c>
    </row>
    <row r="215" spans="1:29" x14ac:dyDescent="0.25">
      <c r="A215" s="8">
        <v>26</v>
      </c>
      <c r="B215" s="7" t="s">
        <v>25</v>
      </c>
      <c r="C215" s="8" t="s">
        <v>56</v>
      </c>
      <c r="D215" s="7" t="s">
        <v>1248</v>
      </c>
      <c r="E215" s="7" t="s">
        <v>1249</v>
      </c>
      <c r="F215" s="7" t="s">
        <v>1250</v>
      </c>
      <c r="G215" s="7" t="s">
        <v>1251</v>
      </c>
      <c r="H215">
        <v>93</v>
      </c>
      <c r="I215">
        <v>36</v>
      </c>
      <c r="J215">
        <v>28</v>
      </c>
      <c r="K215">
        <v>86</v>
      </c>
      <c r="L215" s="5">
        <v>60.75</v>
      </c>
      <c r="M215">
        <v>86</v>
      </c>
      <c r="N215">
        <v>17</v>
      </c>
      <c r="O215" s="5">
        <v>13.807499999999999</v>
      </c>
      <c r="P215" s="5">
        <v>46.024999999999999</v>
      </c>
      <c r="Q215" s="11">
        <v>46.024999999999999</v>
      </c>
      <c r="R215" s="10">
        <v>2.1510384876968418E-2</v>
      </c>
      <c r="S215" s="10">
        <v>7.0418250000000002E-2</v>
      </c>
      <c r="T215" t="s">
        <v>142</v>
      </c>
      <c r="U215">
        <v>19</v>
      </c>
      <c r="V215">
        <v>47</v>
      </c>
      <c r="W215" s="49">
        <v>6.4124999999999943</v>
      </c>
      <c r="X215" t="str">
        <f t="shared" si="12"/>
        <v>Co67</v>
      </c>
      <c r="Y215">
        <f>IFERROR(VLOOKUP('Season 1 - Player Stats'!G215,'Season 1 - League Table'!$T$2:$W$177,4,FALSE),0)</f>
        <v>1</v>
      </c>
      <c r="Z215">
        <f>38</f>
        <v>38</v>
      </c>
      <c r="AA215">
        <f t="shared" si="13"/>
        <v>1</v>
      </c>
      <c r="AB215">
        <f t="shared" si="14"/>
        <v>0</v>
      </c>
      <c r="AC215">
        <f t="shared" si="15"/>
        <v>0</v>
      </c>
    </row>
    <row r="216" spans="1:29" x14ac:dyDescent="0.25">
      <c r="A216" s="8">
        <v>204</v>
      </c>
      <c r="B216" s="7" t="s">
        <v>41</v>
      </c>
      <c r="C216" s="8" t="s">
        <v>45</v>
      </c>
      <c r="D216" s="7" t="s">
        <v>686</v>
      </c>
      <c r="E216" s="7" t="s">
        <v>687</v>
      </c>
      <c r="F216" s="7" t="s">
        <v>688</v>
      </c>
      <c r="G216" s="7" t="s">
        <v>689</v>
      </c>
      <c r="H216">
        <v>28</v>
      </c>
      <c r="I216">
        <v>24</v>
      </c>
      <c r="J216">
        <v>76</v>
      </c>
      <c r="K216">
        <v>30</v>
      </c>
      <c r="L216" s="5">
        <v>39.5</v>
      </c>
      <c r="M216">
        <v>79</v>
      </c>
      <c r="N216">
        <v>85</v>
      </c>
      <c r="O216" s="5">
        <v>27.779999999999998</v>
      </c>
      <c r="P216" s="5">
        <v>41.67</v>
      </c>
      <c r="Q216" s="11">
        <v>46.3</v>
      </c>
      <c r="R216" s="10">
        <v>0.12714831681808819</v>
      </c>
      <c r="S216" s="10">
        <v>0.70838999999999996</v>
      </c>
      <c r="T216" t="s">
        <v>156</v>
      </c>
      <c r="U216">
        <v>32</v>
      </c>
      <c r="V216">
        <v>48</v>
      </c>
      <c r="W216" s="49">
        <v>5.75</v>
      </c>
      <c r="X216" t="str">
        <f t="shared" si="12"/>
        <v>Bu66</v>
      </c>
      <c r="Y216">
        <f>IFERROR(VLOOKUP('Season 1 - Player Stats'!G216,'Season 1 - League Table'!$T$2:$W$177,4,FALSE),0)</f>
        <v>4</v>
      </c>
      <c r="Z216">
        <f>38</f>
        <v>38</v>
      </c>
      <c r="AA216">
        <f t="shared" si="13"/>
        <v>4</v>
      </c>
      <c r="AB216">
        <f t="shared" si="14"/>
        <v>0</v>
      </c>
      <c r="AC216">
        <f t="shared" si="15"/>
        <v>0</v>
      </c>
    </row>
    <row r="217" spans="1:29" x14ac:dyDescent="0.25">
      <c r="A217" s="8">
        <v>86</v>
      </c>
      <c r="B217" s="7" t="s">
        <v>30</v>
      </c>
      <c r="C217" s="8" t="s">
        <v>52</v>
      </c>
      <c r="D217" s="7" t="s">
        <v>1076</v>
      </c>
      <c r="E217" s="7" t="s">
        <v>1077</v>
      </c>
      <c r="F217" s="7" t="s">
        <v>1078</v>
      </c>
      <c r="G217" s="7" t="s">
        <v>1079</v>
      </c>
      <c r="H217">
        <v>12</v>
      </c>
      <c r="I217">
        <v>55</v>
      </c>
      <c r="J217">
        <v>100</v>
      </c>
      <c r="K217">
        <v>56</v>
      </c>
      <c r="L217" s="5">
        <v>55.75</v>
      </c>
      <c r="M217">
        <v>45</v>
      </c>
      <c r="N217">
        <v>31</v>
      </c>
      <c r="O217" s="5">
        <v>42.65</v>
      </c>
      <c r="P217" s="5">
        <v>12.795</v>
      </c>
      <c r="Q217" s="11">
        <v>42.65</v>
      </c>
      <c r="R217" s="10">
        <v>0.18479443575710194</v>
      </c>
      <c r="S217" s="10">
        <v>0.39664500000000003</v>
      </c>
      <c r="T217" t="s">
        <v>139</v>
      </c>
      <c r="U217">
        <v>26</v>
      </c>
      <c r="V217">
        <v>50</v>
      </c>
      <c r="W217" s="49">
        <v>5.5249999999999986</v>
      </c>
      <c r="X217" t="str">
        <f t="shared" si="12"/>
        <v>Rh82</v>
      </c>
      <c r="Y217">
        <f>IFERROR(VLOOKUP('Season 1 - Player Stats'!G217,'Season 1 - League Table'!$T$2:$W$177,4,FALSE),0)</f>
        <v>3</v>
      </c>
      <c r="Z217">
        <f>38</f>
        <v>38</v>
      </c>
      <c r="AA217">
        <f t="shared" si="13"/>
        <v>3</v>
      </c>
      <c r="AB217">
        <f t="shared" si="14"/>
        <v>0</v>
      </c>
      <c r="AC217">
        <f t="shared" si="15"/>
        <v>0</v>
      </c>
    </row>
    <row r="218" spans="1:29" x14ac:dyDescent="0.25">
      <c r="A218" s="8">
        <v>78</v>
      </c>
      <c r="B218" s="7" t="s">
        <v>30</v>
      </c>
      <c r="C218" s="8" t="s">
        <v>11</v>
      </c>
      <c r="D218" s="7" t="s">
        <v>1046</v>
      </c>
      <c r="E218" s="7" t="s">
        <v>1047</v>
      </c>
      <c r="F218" s="7" t="s">
        <v>1048</v>
      </c>
      <c r="G218" s="7" t="s">
        <v>1049</v>
      </c>
      <c r="H218">
        <v>4</v>
      </c>
      <c r="I218">
        <v>58</v>
      </c>
      <c r="J218">
        <v>92</v>
      </c>
      <c r="K218">
        <v>66</v>
      </c>
      <c r="L218" s="5">
        <v>55</v>
      </c>
      <c r="M218">
        <v>38</v>
      </c>
      <c r="N218">
        <v>33</v>
      </c>
      <c r="O218" s="5">
        <v>0</v>
      </c>
      <c r="P218" s="5">
        <v>41</v>
      </c>
      <c r="Q218" s="11">
        <v>41</v>
      </c>
      <c r="R218" s="10">
        <v>0</v>
      </c>
      <c r="S218" s="10">
        <v>0</v>
      </c>
      <c r="T218" t="s">
        <v>139</v>
      </c>
      <c r="U218">
        <v>28</v>
      </c>
      <c r="V218">
        <v>50</v>
      </c>
      <c r="W218" s="49">
        <v>4.5</v>
      </c>
      <c r="X218" t="str">
        <f t="shared" si="12"/>
        <v>Rh82</v>
      </c>
      <c r="Y218">
        <f>IFERROR(VLOOKUP('Season 1 - Player Stats'!G218,'Season 1 - League Table'!$T$2:$W$177,4,FALSE),0)</f>
        <v>0</v>
      </c>
      <c r="Z218">
        <f>38</f>
        <v>38</v>
      </c>
      <c r="AA218">
        <f t="shared" si="13"/>
        <v>0</v>
      </c>
      <c r="AB218">
        <f t="shared" si="14"/>
        <v>0</v>
      </c>
      <c r="AC218">
        <f t="shared" si="15"/>
        <v>0</v>
      </c>
    </row>
    <row r="219" spans="1:29" x14ac:dyDescent="0.25">
      <c r="A219" s="8">
        <v>87</v>
      </c>
      <c r="B219" s="7" t="s">
        <v>30</v>
      </c>
      <c r="C219" s="8" t="s">
        <v>59</v>
      </c>
      <c r="D219" s="7" t="s">
        <v>1080</v>
      </c>
      <c r="E219" s="7" t="s">
        <v>1081</v>
      </c>
      <c r="F219" s="7" t="s">
        <v>1082</v>
      </c>
      <c r="G219" s="7" t="s">
        <v>1083</v>
      </c>
      <c r="H219">
        <v>39</v>
      </c>
      <c r="I219">
        <v>33</v>
      </c>
      <c r="J219">
        <v>93</v>
      </c>
      <c r="K219">
        <v>39</v>
      </c>
      <c r="L219" s="5">
        <v>51</v>
      </c>
      <c r="M219">
        <v>41</v>
      </c>
      <c r="N219">
        <v>34</v>
      </c>
      <c r="O219" s="5">
        <v>42.9</v>
      </c>
      <c r="P219" s="5">
        <v>12.87</v>
      </c>
      <c r="Q219" s="11">
        <v>42.9</v>
      </c>
      <c r="R219" s="10">
        <v>0.18587763878029714</v>
      </c>
      <c r="S219" s="10">
        <v>0.43758000000000008</v>
      </c>
      <c r="T219" t="s">
        <v>139</v>
      </c>
      <c r="U219">
        <v>29</v>
      </c>
      <c r="V219">
        <v>47</v>
      </c>
      <c r="W219" s="49">
        <v>3.8499999999999943</v>
      </c>
      <c r="X219" t="str">
        <f t="shared" si="12"/>
        <v>Rh82</v>
      </c>
      <c r="Y219">
        <f>IFERROR(VLOOKUP('Season 1 - Player Stats'!G219,'Season 1 - League Table'!$T$2:$W$177,4,FALSE),0)</f>
        <v>7</v>
      </c>
      <c r="Z219">
        <f>38</f>
        <v>38</v>
      </c>
      <c r="AA219">
        <f t="shared" si="13"/>
        <v>7</v>
      </c>
      <c r="AB219">
        <f t="shared" si="14"/>
        <v>0</v>
      </c>
      <c r="AC219">
        <f t="shared" si="15"/>
        <v>0</v>
      </c>
    </row>
    <row r="220" spans="1:29" x14ac:dyDescent="0.25">
      <c r="A220" s="8">
        <v>110</v>
      </c>
      <c r="B220" s="7" t="s">
        <v>32</v>
      </c>
      <c r="C220" s="8" t="s">
        <v>53</v>
      </c>
      <c r="D220" s="7" t="s">
        <v>1007</v>
      </c>
      <c r="E220" s="7" t="s">
        <v>1008</v>
      </c>
      <c r="F220" s="7" t="s">
        <v>1009</v>
      </c>
      <c r="G220" s="7" t="s">
        <v>1010</v>
      </c>
      <c r="H220">
        <v>63</v>
      </c>
      <c r="I220">
        <v>60</v>
      </c>
      <c r="J220">
        <v>100</v>
      </c>
      <c r="K220">
        <v>19</v>
      </c>
      <c r="L220" s="5">
        <v>60.5</v>
      </c>
      <c r="M220">
        <v>33</v>
      </c>
      <c r="N220">
        <v>82</v>
      </c>
      <c r="O220" s="5">
        <v>44.599999999999994</v>
      </c>
      <c r="P220" s="5">
        <v>13.379999999999997</v>
      </c>
      <c r="Q220" s="11">
        <v>44.599999999999994</v>
      </c>
      <c r="R220" s="10">
        <v>0.1592482969227155</v>
      </c>
      <c r="S220" s="10">
        <v>1.0971599999999997</v>
      </c>
      <c r="T220" t="s">
        <v>141</v>
      </c>
      <c r="U220">
        <v>32</v>
      </c>
      <c r="V220">
        <v>45</v>
      </c>
      <c r="W220" s="49">
        <v>3.3999999999999986</v>
      </c>
      <c r="X220" t="str">
        <f t="shared" si="12"/>
        <v>Be66</v>
      </c>
      <c r="Y220">
        <f>IFERROR(VLOOKUP('Season 1 - Player Stats'!G220,'Season 1 - League Table'!$T$2:$W$177,4,FALSE),0)</f>
        <v>7</v>
      </c>
      <c r="Z220">
        <f>38</f>
        <v>38</v>
      </c>
      <c r="AA220">
        <f t="shared" si="13"/>
        <v>7</v>
      </c>
      <c r="AB220">
        <f t="shared" si="14"/>
        <v>0</v>
      </c>
      <c r="AC220">
        <f t="shared" si="15"/>
        <v>0</v>
      </c>
    </row>
    <row r="221" spans="1:29" x14ac:dyDescent="0.25">
      <c r="A221" s="8">
        <v>84</v>
      </c>
      <c r="B221" s="7" t="s">
        <v>30</v>
      </c>
      <c r="C221" s="8" t="s">
        <v>57</v>
      </c>
      <c r="D221" s="7" t="s">
        <v>1069</v>
      </c>
      <c r="E221" s="7" t="s">
        <v>1070</v>
      </c>
      <c r="F221" s="7" t="s">
        <v>1071</v>
      </c>
      <c r="G221" s="7" t="s">
        <v>665</v>
      </c>
      <c r="H221">
        <v>14</v>
      </c>
      <c r="I221">
        <v>44</v>
      </c>
      <c r="J221">
        <v>83</v>
      </c>
      <c r="K221">
        <v>44</v>
      </c>
      <c r="L221" s="5">
        <v>46.25</v>
      </c>
      <c r="M221">
        <v>45</v>
      </c>
      <c r="N221">
        <v>33</v>
      </c>
      <c r="O221" s="5">
        <v>31.762500000000003</v>
      </c>
      <c r="P221" s="5">
        <v>31.762500000000003</v>
      </c>
      <c r="Q221" s="11">
        <v>42.35</v>
      </c>
      <c r="R221" s="10">
        <v>0.10347439405785772</v>
      </c>
      <c r="S221" s="10">
        <v>0.31444875000000005</v>
      </c>
      <c r="T221" t="s">
        <v>139</v>
      </c>
      <c r="U221">
        <v>32</v>
      </c>
      <c r="V221">
        <v>45</v>
      </c>
      <c r="W221" s="49">
        <v>2.2750000000000057</v>
      </c>
      <c r="X221" t="str">
        <f t="shared" si="12"/>
        <v>Rh82</v>
      </c>
      <c r="Y221">
        <f>IFERROR(VLOOKUP('Season 1 - Player Stats'!G221,'Season 1 - League Table'!$T$2:$W$177,4,FALSE),0)</f>
        <v>10</v>
      </c>
      <c r="Z221">
        <f>38</f>
        <v>38</v>
      </c>
      <c r="AA221">
        <f t="shared" si="13"/>
        <v>10</v>
      </c>
      <c r="AB221">
        <f t="shared" si="14"/>
        <v>0</v>
      </c>
      <c r="AC221">
        <f t="shared" si="15"/>
        <v>0</v>
      </c>
    </row>
    <row r="222" spans="1:29" x14ac:dyDescent="0.25">
      <c r="A222" s="8">
        <v>136</v>
      </c>
      <c r="B222" s="7" t="s">
        <v>35</v>
      </c>
      <c r="C222" s="8" t="s">
        <v>56</v>
      </c>
      <c r="D222" s="7" t="s">
        <v>851</v>
      </c>
      <c r="E222" s="7" t="s">
        <v>852</v>
      </c>
      <c r="F222" s="7" t="s">
        <v>853</v>
      </c>
      <c r="G222" s="7" t="s">
        <v>854</v>
      </c>
      <c r="H222">
        <v>49</v>
      </c>
      <c r="I222">
        <v>100</v>
      </c>
      <c r="J222">
        <v>18</v>
      </c>
      <c r="K222">
        <v>69</v>
      </c>
      <c r="L222" s="5">
        <v>59</v>
      </c>
      <c r="M222">
        <v>84</v>
      </c>
      <c r="N222">
        <v>100</v>
      </c>
      <c r="O222" s="5">
        <v>12.547500000000001</v>
      </c>
      <c r="P222" s="5">
        <v>41.825000000000003</v>
      </c>
      <c r="Q222" s="11">
        <v>41.825000000000003</v>
      </c>
      <c r="R222" s="10">
        <v>1.9546096570003665E-2</v>
      </c>
      <c r="S222" s="10">
        <v>0.37642500000000001</v>
      </c>
      <c r="T222" t="s">
        <v>158</v>
      </c>
      <c r="U222">
        <v>34</v>
      </c>
      <c r="V222">
        <v>43</v>
      </c>
      <c r="W222" s="49">
        <v>0.8125</v>
      </c>
      <c r="X222" t="str">
        <f t="shared" si="12"/>
        <v>Do68</v>
      </c>
      <c r="Y222">
        <f>IFERROR(VLOOKUP('Season 1 - Player Stats'!G222,'Season 1 - League Table'!$T$2:$W$177,4,FALSE),0)</f>
        <v>3</v>
      </c>
      <c r="Z222">
        <f>38</f>
        <v>38</v>
      </c>
      <c r="AA222">
        <f t="shared" si="13"/>
        <v>3</v>
      </c>
      <c r="AB222">
        <f t="shared" si="14"/>
        <v>0</v>
      </c>
      <c r="AC222">
        <f t="shared" si="15"/>
        <v>0</v>
      </c>
    </row>
    <row r="223" spans="1:29" x14ac:dyDescent="0.25">
      <c r="A223" s="8">
        <v>199</v>
      </c>
      <c r="B223" s="7" t="s">
        <v>41</v>
      </c>
      <c r="C223" s="8" t="s">
        <v>11</v>
      </c>
      <c r="D223" s="7" t="s">
        <v>666</v>
      </c>
      <c r="E223" s="7" t="s">
        <v>667</v>
      </c>
      <c r="F223" s="7" t="s">
        <v>668</v>
      </c>
      <c r="G223" s="7" t="s">
        <v>669</v>
      </c>
      <c r="H223">
        <v>26</v>
      </c>
      <c r="I223">
        <v>38</v>
      </c>
      <c r="J223">
        <v>67</v>
      </c>
      <c r="K223">
        <v>37</v>
      </c>
      <c r="L223" s="5">
        <v>42</v>
      </c>
      <c r="M223">
        <v>71</v>
      </c>
      <c r="N223">
        <v>85</v>
      </c>
      <c r="O223" s="5">
        <v>0</v>
      </c>
      <c r="P223" s="5">
        <v>35.949999999999996</v>
      </c>
      <c r="Q223" s="11">
        <v>35.949999999999996</v>
      </c>
      <c r="R223" s="10">
        <v>0</v>
      </c>
      <c r="S223" s="10">
        <v>0</v>
      </c>
      <c r="T223" t="s">
        <v>156</v>
      </c>
      <c r="U223">
        <v>18</v>
      </c>
      <c r="V223">
        <v>45</v>
      </c>
      <c r="W223" s="49">
        <v>0.47499999999999432</v>
      </c>
      <c r="X223" t="str">
        <f t="shared" si="12"/>
        <v>Bu66</v>
      </c>
      <c r="Y223">
        <f>IFERROR(VLOOKUP('Season 1 - Player Stats'!G223,'Season 1 - League Table'!$T$2:$W$177,4,FALSE),0)</f>
        <v>0</v>
      </c>
      <c r="Z223">
        <f>38</f>
        <v>38</v>
      </c>
      <c r="AA223">
        <f t="shared" si="13"/>
        <v>0</v>
      </c>
      <c r="AB223">
        <f t="shared" si="14"/>
        <v>0</v>
      </c>
      <c r="AC223">
        <f t="shared" si="15"/>
        <v>0</v>
      </c>
    </row>
    <row r="224" spans="1:29" x14ac:dyDescent="0.25">
      <c r="Y224">
        <f t="shared" ref="Y224" si="16">SUM(Y4:Y223)</f>
        <v>1369</v>
      </c>
      <c r="Z224">
        <f t="shared" ref="Z224" si="17">SUM(Z4:Z223)</f>
        <v>8360</v>
      </c>
      <c r="AA224">
        <f t="shared" ref="Z224:AA224" si="18">SUM(AA4:AA223)</f>
        <v>1369</v>
      </c>
      <c r="AB224">
        <f>SUM(AB4:AB223)</f>
        <v>11</v>
      </c>
      <c r="AC224">
        <f t="shared" si="15"/>
        <v>11</v>
      </c>
    </row>
  </sheetData>
  <autoFilter ref="A3:AA3" xr:uid="{0AFBB432-1722-407B-B065-DAAB0AF84DB0}"/>
  <conditionalFormatting sqref="U4:U223">
    <cfRule type="cellIs" dxfId="0" priority="1" operator="greaterThan">
      <formula>34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4F116-B95A-40A1-9538-42B03B3342A9}">
  <sheetPr>
    <tabColor rgb="FFFF0000"/>
  </sheetPr>
  <dimension ref="A1:AO28"/>
  <sheetViews>
    <sheetView workbookViewId="0">
      <selection activeCell="K17" sqref="K17"/>
    </sheetView>
  </sheetViews>
  <sheetFormatPr defaultRowHeight="15" x14ac:dyDescent="0.25"/>
  <cols>
    <col min="1" max="1" width="16.7109375" bestFit="1" customWidth="1"/>
    <col min="24" max="24" width="14.42578125" bestFit="1" customWidth="1"/>
    <col min="26" max="26" width="17.85546875" bestFit="1" customWidth="1"/>
    <col min="28" max="28" width="19.7109375" bestFit="1" customWidth="1"/>
    <col min="31" max="31" width="12.7109375" bestFit="1" customWidth="1"/>
    <col min="32" max="32" width="15.7109375" bestFit="1" customWidth="1"/>
    <col min="33" max="33" width="14.85546875" bestFit="1" customWidth="1"/>
    <col min="35" max="35" width="19.140625" bestFit="1" customWidth="1"/>
    <col min="37" max="37" width="12.7109375" bestFit="1" customWidth="1"/>
    <col min="38" max="38" width="14.85546875" bestFit="1" customWidth="1"/>
    <col min="40" max="40" width="18" bestFit="1" customWidth="1"/>
  </cols>
  <sheetData>
    <row r="1" spans="1:41" x14ac:dyDescent="0.25">
      <c r="A1" t="s">
        <v>1460</v>
      </c>
      <c r="B1" t="str">
        <f>Retirees!B16</f>
        <v>Index</v>
      </c>
      <c r="C1" t="str">
        <f>Retirees!C16</f>
        <v>Team</v>
      </c>
      <c r="D1" t="str">
        <f>Retirees!D16</f>
        <v>Position</v>
      </c>
      <c r="E1" t="str">
        <f>Retirees!E16</f>
        <v>First Name</v>
      </c>
      <c r="F1" t="str">
        <f>Retirees!F16</f>
        <v>Last Name</v>
      </c>
      <c r="G1" t="str">
        <f>Retirees!G16</f>
        <v>PlayerName</v>
      </c>
      <c r="H1" t="str">
        <f>Retirees!H16</f>
        <v>KnownAs</v>
      </c>
      <c r="I1" t="str">
        <f>Retirees!I16</f>
        <v>Technique</v>
      </c>
      <c r="J1" t="str">
        <f>Retirees!J16</f>
        <v>IQ</v>
      </c>
      <c r="K1" t="str">
        <f>Retirees!K16</f>
        <v>Strength</v>
      </c>
      <c r="L1" t="str">
        <f>Retirees!L16</f>
        <v>Speed</v>
      </c>
      <c r="M1" t="str">
        <f>Retirees!M16</f>
        <v>Overall (stat)</v>
      </c>
      <c r="N1" t="str">
        <f>Retirees!N16</f>
        <v>Consistency</v>
      </c>
      <c r="O1" t="str">
        <f>Retirees!O16</f>
        <v>Chemistry</v>
      </c>
      <c r="P1" t="str">
        <f>Retirees!P16</f>
        <v>Attack</v>
      </c>
      <c r="Q1" t="str">
        <f>Retirees!Q16</f>
        <v>Defence</v>
      </c>
      <c r="R1" t="str">
        <f>Retirees!R16</f>
        <v>Overall</v>
      </c>
      <c r="S1" t="str">
        <f>Retirees!S16</f>
        <v>ScoringProbability</v>
      </c>
      <c r="T1" t="str">
        <f>Retirees!T16</f>
        <v>Assist Probability</v>
      </c>
      <c r="U1" t="str">
        <f>Retirees!U16</f>
        <v>Country</v>
      </c>
      <c r="V1" t="str">
        <f>Retirees!V16</f>
        <v>Age</v>
      </c>
      <c r="W1" t="str">
        <f>Retirees!W16</f>
        <v>Potential</v>
      </c>
      <c r="X1" t="str">
        <f>Retirees!X16</f>
        <v>Value ($M)</v>
      </c>
      <c r="AA1" t="s">
        <v>1359</v>
      </c>
      <c r="AB1" t="s">
        <v>0</v>
      </c>
      <c r="AD1" t="s">
        <v>1364</v>
      </c>
      <c r="AE1" t="s">
        <v>1468</v>
      </c>
      <c r="AF1" t="s">
        <v>1471</v>
      </c>
      <c r="AG1" t="s">
        <v>1470</v>
      </c>
      <c r="AH1" t="s">
        <v>1469</v>
      </c>
      <c r="AI1" t="s">
        <v>1473</v>
      </c>
      <c r="AJ1" t="s">
        <v>1472</v>
      </c>
      <c r="AK1" t="s">
        <v>1468</v>
      </c>
      <c r="AL1" t="s">
        <v>1470</v>
      </c>
      <c r="AM1" t="s">
        <v>1469</v>
      </c>
      <c r="AN1" t="s">
        <v>1473</v>
      </c>
      <c r="AO1" t="s">
        <v>1364</v>
      </c>
    </row>
    <row r="2" spans="1:41" x14ac:dyDescent="0.25">
      <c r="B2">
        <f>Retirees!B17</f>
        <v>12</v>
      </c>
      <c r="C2" t="str">
        <f>Retirees!C17</f>
        <v>Lionheart Rovers</v>
      </c>
      <c r="D2" t="str">
        <f>Retirees!D17</f>
        <v>GK</v>
      </c>
      <c r="E2" t="str">
        <f>Retirees!E17</f>
        <v>Juma</v>
      </c>
      <c r="F2" t="str">
        <f>Retirees!F17</f>
        <v>Kipanga</v>
      </c>
      <c r="G2" t="str">
        <f>Retirees!G17</f>
        <v>J. Kipanga</v>
      </c>
      <c r="H2" t="str">
        <f>Retirees!H17</f>
        <v>Jasiri</v>
      </c>
      <c r="I2">
        <f>Retirees!I17</f>
        <v>82</v>
      </c>
      <c r="J2">
        <f>Retirees!J17</f>
        <v>64</v>
      </c>
      <c r="K2">
        <f>Retirees!K17</f>
        <v>85</v>
      </c>
      <c r="L2">
        <f>Retirees!L17</f>
        <v>75</v>
      </c>
      <c r="M2">
        <f>Retirees!M17</f>
        <v>76.5</v>
      </c>
      <c r="N2">
        <f>Retirees!N17</f>
        <v>54</v>
      </c>
      <c r="O2">
        <f>Retirees!O17</f>
        <v>68</v>
      </c>
      <c r="P2">
        <f>Retirees!P17</f>
        <v>0</v>
      </c>
      <c r="Q2">
        <f>Retirees!Q17</f>
        <v>74.95</v>
      </c>
      <c r="R2">
        <f>Retirees!R17</f>
        <v>74.95</v>
      </c>
      <c r="S2">
        <f>Retirees!S17</f>
        <v>0</v>
      </c>
      <c r="T2">
        <f>Retirees!T17</f>
        <v>0</v>
      </c>
      <c r="U2" t="str">
        <f>Retirees!U17</f>
        <v>Tanzania</v>
      </c>
      <c r="V2">
        <f>Retirees!V17</f>
        <v>35</v>
      </c>
      <c r="W2">
        <f>Retirees!W17</f>
        <v>75</v>
      </c>
      <c r="X2">
        <f>Retirees!X17</f>
        <v>33.275000000000006</v>
      </c>
      <c r="AA2">
        <v>1</v>
      </c>
      <c r="AB2" t="s">
        <v>29</v>
      </c>
      <c r="AC2" t="str">
        <f>_xlfn.CONCAT(LEFT(AB2,2),CODE(AB2))</f>
        <v>Wo87</v>
      </c>
      <c r="AD2">
        <f>VLOOKUP(AC2,'Season 1 - League Table'!$R$4:$S$23,2,FALSE)+VLOOKUP(AC2,Ranks!$H$2:$I$21,2,FALSE)</f>
        <v>80</v>
      </c>
      <c r="AE2">
        <f>COUNTIF($A$17:$A$28,AC2)</f>
        <v>0</v>
      </c>
      <c r="AH2" t="str">
        <f t="shared" ref="AH2:AH4" si="0">IFERROR(VLOOKUP(AG2,$B$16:$X$28,23,FALSE),"")</f>
        <v/>
      </c>
      <c r="AI2" t="str">
        <f t="shared" ref="AI2:AI4" si="1">IFERROR(AD2-AH2,"")</f>
        <v/>
      </c>
      <c r="AK2">
        <f>AE2-COUNTA(AG2)</f>
        <v>0</v>
      </c>
      <c r="AM2" t="str">
        <f t="shared" ref="AM2:AM14" si="2">IFERROR(VLOOKUP(AL2,$B$16:$X$28,23,FALSE),"")</f>
        <v/>
      </c>
      <c r="AN2" t="str">
        <f t="shared" ref="AN2:AN4" si="3">IFERROR(AD2-AH2-AM2,"")</f>
        <v/>
      </c>
      <c r="AO2">
        <f>MIN(AD2,AI2,AN2)</f>
        <v>80</v>
      </c>
    </row>
    <row r="3" spans="1:41" x14ac:dyDescent="0.25">
      <c r="B3">
        <f>Retirees!B18</f>
        <v>14</v>
      </c>
      <c r="C3" t="str">
        <f>Retirees!C18</f>
        <v>Lionheart Rovers</v>
      </c>
      <c r="D3" t="str">
        <f>Retirees!D18</f>
        <v>CB</v>
      </c>
      <c r="E3" t="str">
        <f>Retirees!E18</f>
        <v>Baraka</v>
      </c>
      <c r="F3" t="str">
        <f>Retirees!F18</f>
        <v>Lema</v>
      </c>
      <c r="G3" t="str">
        <f>Retirees!G18</f>
        <v>B. Lema</v>
      </c>
      <c r="H3" t="str">
        <f>Retirees!H18</f>
        <v>Lema</v>
      </c>
      <c r="I3">
        <f>Retirees!I18</f>
        <v>67</v>
      </c>
      <c r="J3">
        <f>Retirees!J18</f>
        <v>88</v>
      </c>
      <c r="K3">
        <f>Retirees!K18</f>
        <v>91</v>
      </c>
      <c r="L3">
        <f>Retirees!L18</f>
        <v>84</v>
      </c>
      <c r="M3">
        <f>Retirees!M18</f>
        <v>82.5</v>
      </c>
      <c r="N3">
        <f>Retirees!N18</f>
        <v>59</v>
      </c>
      <c r="O3">
        <f>Retirees!O18</f>
        <v>72</v>
      </c>
      <c r="P3">
        <f>Retirees!P18</f>
        <v>25.949999999999996</v>
      </c>
      <c r="Q3">
        <f>Retirees!Q18</f>
        <v>86.499999999999986</v>
      </c>
      <c r="R3">
        <f>Retirees!R18</f>
        <v>86.499999999999986</v>
      </c>
      <c r="S3">
        <f>Retirees!S18</f>
        <v>3.1163628542237996E-2</v>
      </c>
      <c r="T3">
        <f>Retirees!T18</f>
        <v>0.56051999999999991</v>
      </c>
      <c r="U3" t="str">
        <f>Retirees!U18</f>
        <v>Tanzania</v>
      </c>
      <c r="V3">
        <f>Retirees!V18</f>
        <v>35</v>
      </c>
      <c r="W3">
        <f>Retirees!W18</f>
        <v>87</v>
      </c>
      <c r="X3">
        <f>Retirees!X18</f>
        <v>45.049999999999983</v>
      </c>
      <c r="AA3">
        <v>2</v>
      </c>
      <c r="AB3" t="s">
        <v>27</v>
      </c>
      <c r="AC3" t="str">
        <f>_xlfn.CONCAT(LEFT(AB3,2),CODE(AB3))</f>
        <v>Pa80</v>
      </c>
      <c r="AD3">
        <f>VLOOKUP(AC3,'Season 1 - League Table'!$R$4:$S$23,2,FALSE)+VLOOKUP(AC3,Ranks!$H$2:$I$21,2,FALSE)</f>
        <v>77</v>
      </c>
      <c r="AE3">
        <f t="shared" ref="AE3:AE21" si="4">COUNTIF($A$17:$A$28,AC3)</f>
        <v>0</v>
      </c>
      <c r="AH3" t="str">
        <f t="shared" si="0"/>
        <v/>
      </c>
      <c r="AI3" t="str">
        <f t="shared" si="1"/>
        <v/>
      </c>
      <c r="AK3">
        <f t="shared" ref="AK3:AK21" si="5">AE3-COUNTA(AG3)</f>
        <v>0</v>
      </c>
      <c r="AM3" t="str">
        <f t="shared" si="2"/>
        <v/>
      </c>
      <c r="AN3" t="str">
        <f t="shared" si="3"/>
        <v/>
      </c>
      <c r="AO3">
        <f t="shared" ref="AO3:AO21" si="6">MIN(AD3,AI3,AN3)</f>
        <v>77</v>
      </c>
    </row>
    <row r="4" spans="1:41" x14ac:dyDescent="0.25">
      <c r="B4">
        <f>Retirees!B19</f>
        <v>24</v>
      </c>
      <c r="C4" t="str">
        <f>Retirees!C19</f>
        <v>Cobra Strike FC</v>
      </c>
      <c r="D4" t="str">
        <f>Retirees!D19</f>
        <v>LB</v>
      </c>
      <c r="E4" t="str">
        <f>Retirees!E19</f>
        <v>Rohan</v>
      </c>
      <c r="F4" t="str">
        <f>Retirees!F19</f>
        <v>Gupta</v>
      </c>
      <c r="G4" t="str">
        <f>Retirees!G19</f>
        <v>R. Gupta</v>
      </c>
      <c r="H4" t="str">
        <f>Retirees!H19</f>
        <v>Raj</v>
      </c>
      <c r="I4">
        <f>Retirees!I19</f>
        <v>85</v>
      </c>
      <c r="J4">
        <f>Retirees!J19</f>
        <v>27</v>
      </c>
      <c r="K4">
        <f>Retirees!K19</f>
        <v>42</v>
      </c>
      <c r="L4">
        <f>Retirees!L19</f>
        <v>92</v>
      </c>
      <c r="M4">
        <f>Retirees!M19</f>
        <v>61.5</v>
      </c>
      <c r="N4">
        <f>Retirees!N19</f>
        <v>84</v>
      </c>
      <c r="O4">
        <f>Retirees!O19</f>
        <v>18</v>
      </c>
      <c r="P4">
        <f>Retirees!P19</f>
        <v>24.179999999999996</v>
      </c>
      <c r="Q4">
        <f>Retirees!Q19</f>
        <v>54.404999999999994</v>
      </c>
      <c r="R4">
        <f>Retirees!R19</f>
        <v>60.449999999999989</v>
      </c>
      <c r="S4">
        <f>Retirees!S19</f>
        <v>3.7669462706869189E-2</v>
      </c>
      <c r="T4">
        <f>Retirees!T19</f>
        <v>0.13057199999999997</v>
      </c>
      <c r="U4" t="str">
        <f>Retirees!U19</f>
        <v>Indian</v>
      </c>
      <c r="V4">
        <f>Retirees!V19</f>
        <v>35</v>
      </c>
      <c r="W4">
        <f>Retirees!W19</f>
        <v>61</v>
      </c>
      <c r="X4">
        <f>Retirees!X19</f>
        <v>19.024999999999991</v>
      </c>
      <c r="AA4">
        <v>3</v>
      </c>
      <c r="AB4" t="s">
        <v>31</v>
      </c>
      <c r="AC4" t="str">
        <f>_xlfn.CONCAT(LEFT(AB4,2),CODE(AB4))</f>
        <v>Ti84</v>
      </c>
      <c r="AD4">
        <f>VLOOKUP(AC4,'Season 1 - League Table'!$R$4:$S$23,2,FALSE)+VLOOKUP(AC4,Ranks!$H$2:$I$21,2,FALSE)</f>
        <v>74</v>
      </c>
      <c r="AE4">
        <f t="shared" si="4"/>
        <v>0</v>
      </c>
      <c r="AH4" t="str">
        <f t="shared" si="0"/>
        <v/>
      </c>
      <c r="AI4" t="str">
        <f t="shared" si="1"/>
        <v/>
      </c>
      <c r="AK4">
        <f t="shared" si="5"/>
        <v>0</v>
      </c>
      <c r="AM4" t="str">
        <f t="shared" si="2"/>
        <v/>
      </c>
      <c r="AN4" t="str">
        <f t="shared" si="3"/>
        <v/>
      </c>
      <c r="AO4">
        <f t="shared" si="6"/>
        <v>74</v>
      </c>
    </row>
    <row r="5" spans="1:41" x14ac:dyDescent="0.25">
      <c r="B5">
        <f>Retirees!B20</f>
        <v>35</v>
      </c>
      <c r="C5" t="str">
        <f>Retirees!C20</f>
        <v>Falcon Flyers</v>
      </c>
      <c r="D5" t="str">
        <f>Retirees!D20</f>
        <v>LB</v>
      </c>
      <c r="E5" t="str">
        <f>Retirees!E20</f>
        <v>Lucas</v>
      </c>
      <c r="F5" t="str">
        <f>Retirees!F20</f>
        <v>López</v>
      </c>
      <c r="G5" t="str">
        <f>Retirees!G20</f>
        <v>L. López</v>
      </c>
      <c r="H5" t="str">
        <f>Retirees!H20</f>
        <v>Lince</v>
      </c>
      <c r="I5">
        <f>Retirees!I20</f>
        <v>85</v>
      </c>
      <c r="J5">
        <f>Retirees!J20</f>
        <v>33</v>
      </c>
      <c r="K5">
        <f>Retirees!K20</f>
        <v>8</v>
      </c>
      <c r="L5">
        <f>Retirees!L20</f>
        <v>98</v>
      </c>
      <c r="M5">
        <f>Retirees!M20</f>
        <v>56</v>
      </c>
      <c r="N5">
        <f>Retirees!N20</f>
        <v>83</v>
      </c>
      <c r="O5">
        <f>Retirees!O20</f>
        <v>42</v>
      </c>
      <c r="P5">
        <f>Retirees!P20</f>
        <v>20.62</v>
      </c>
      <c r="Q5">
        <f>Retirees!Q20</f>
        <v>46.394999999999996</v>
      </c>
      <c r="R5">
        <f>Retirees!R20</f>
        <v>51.55</v>
      </c>
      <c r="S5">
        <f>Retirees!S20</f>
        <v>3.1486655878934296E-2</v>
      </c>
      <c r="T5">
        <f>Retirees!T20</f>
        <v>0.25981199999999999</v>
      </c>
      <c r="U5" t="str">
        <f>Retirees!U20</f>
        <v>Chile</v>
      </c>
      <c r="V5">
        <f>Retirees!V20</f>
        <v>35</v>
      </c>
      <c r="W5">
        <f>Retirees!W20</f>
        <v>52</v>
      </c>
      <c r="X5">
        <f>Retirees!X20</f>
        <v>10.075000000000003</v>
      </c>
      <c r="AA5">
        <v>4</v>
      </c>
      <c r="AB5" t="s">
        <v>38</v>
      </c>
      <c r="AC5" t="str">
        <f>_xlfn.CONCAT(LEFT(AB5,2),CODE(AB5))</f>
        <v>Ch67</v>
      </c>
      <c r="AD5">
        <f>VLOOKUP(AC5,'Season 1 - League Table'!$R$4:$S$23,2,FALSE)+VLOOKUP(AC5,Ranks!$H$2:$I$21,2,FALSE)</f>
        <v>71</v>
      </c>
      <c r="AE5">
        <f t="shared" si="4"/>
        <v>2</v>
      </c>
      <c r="AG5">
        <v>12</v>
      </c>
      <c r="AH5">
        <f>IFERROR(VLOOKUP(AG5,$B$16:$X$28,23,FALSE),"")</f>
        <v>60.75</v>
      </c>
      <c r="AI5">
        <f>IFERROR(AD5-AH5,"")</f>
        <v>10.25</v>
      </c>
      <c r="AK5">
        <f t="shared" si="5"/>
        <v>1</v>
      </c>
      <c r="AL5">
        <v>35</v>
      </c>
      <c r="AM5">
        <f t="shared" si="2"/>
        <v>14.125</v>
      </c>
      <c r="AN5">
        <f>IFERROR(AD5-AH5-AM5,"")</f>
        <v>-3.875</v>
      </c>
      <c r="AO5">
        <f t="shared" si="6"/>
        <v>-3.875</v>
      </c>
    </row>
    <row r="6" spans="1:41" x14ac:dyDescent="0.25">
      <c r="B6">
        <f>Retirees!B21</f>
        <v>49</v>
      </c>
      <c r="C6" t="str">
        <f>Retirees!C21</f>
        <v>Sharkfin Athletic</v>
      </c>
      <c r="D6" t="str">
        <f>Retirees!D21</f>
        <v>RB</v>
      </c>
      <c r="E6" t="str">
        <f>Retirees!E21</f>
        <v>William</v>
      </c>
      <c r="F6" t="str">
        <f>Retirees!F21</f>
        <v>Walker</v>
      </c>
      <c r="G6" t="str">
        <f>Retirees!G21</f>
        <v>W. Walker</v>
      </c>
      <c r="H6" t="str">
        <f>Retirees!H21</f>
        <v>Wave</v>
      </c>
      <c r="I6">
        <f>Retirees!I21</f>
        <v>60</v>
      </c>
      <c r="J6">
        <f>Retirees!J21</f>
        <v>54</v>
      </c>
      <c r="K6">
        <f>Retirees!K21</f>
        <v>86</v>
      </c>
      <c r="L6">
        <f>Retirees!L21</f>
        <v>84</v>
      </c>
      <c r="M6">
        <f>Retirees!M21</f>
        <v>71</v>
      </c>
      <c r="N6">
        <f>Retirees!N21</f>
        <v>65</v>
      </c>
      <c r="O6">
        <f>Retirees!O21</f>
        <v>8</v>
      </c>
      <c r="P6">
        <f>Retirees!P21</f>
        <v>30.04</v>
      </c>
      <c r="Q6">
        <f>Retirees!Q21</f>
        <v>67.59</v>
      </c>
      <c r="R6">
        <f>Retirees!R21</f>
        <v>75.099999999999994</v>
      </c>
      <c r="S6">
        <f>Retirees!S21</f>
        <v>4.4001180547205483E-2</v>
      </c>
      <c r="T6">
        <f>Retirees!T21</f>
        <v>7.2096000000000007E-2</v>
      </c>
      <c r="U6" t="str">
        <f>Retirees!U21</f>
        <v>Australia</v>
      </c>
      <c r="V6">
        <f>Retirees!V21</f>
        <v>35</v>
      </c>
      <c r="W6">
        <f>Retirees!W21</f>
        <v>76</v>
      </c>
      <c r="X6">
        <f>Retirees!X21</f>
        <v>33.849999999999994</v>
      </c>
      <c r="AA6">
        <v>5</v>
      </c>
      <c r="AB6" t="s">
        <v>23</v>
      </c>
      <c r="AC6" t="str">
        <f>_xlfn.CONCAT(LEFT(AB6,2),CODE(AB6))</f>
        <v>Li76</v>
      </c>
      <c r="AD6">
        <f>VLOOKUP(AC6,'Season 1 - League Table'!$R$4:$S$23,2,FALSE)+VLOOKUP(AC6,Ranks!$H$2:$I$21,2,FALSE)</f>
        <v>68</v>
      </c>
      <c r="AE6">
        <f t="shared" si="4"/>
        <v>2</v>
      </c>
      <c r="AG6">
        <v>14</v>
      </c>
      <c r="AH6">
        <f t="shared" ref="AH6:AH21" si="7">IFERROR(VLOOKUP(AG6,$B$16:$X$28,23,FALSE),"")</f>
        <v>58.125</v>
      </c>
      <c r="AI6">
        <f t="shared" ref="AI6:AI21" si="8">IFERROR(AD6-AH6,"")</f>
        <v>9.875</v>
      </c>
      <c r="AK6">
        <f t="shared" si="5"/>
        <v>1</v>
      </c>
      <c r="AL6">
        <v>206</v>
      </c>
      <c r="AM6">
        <f t="shared" si="2"/>
        <v>2.375</v>
      </c>
      <c r="AN6">
        <f t="shared" ref="AN6:AN21" si="9">IFERROR(AD6-AH6-AM6,"")</f>
        <v>7.5</v>
      </c>
      <c r="AO6">
        <f t="shared" si="6"/>
        <v>7.5</v>
      </c>
    </row>
    <row r="7" spans="1:41" x14ac:dyDescent="0.25">
      <c r="B7">
        <f>Retirees!B22</f>
        <v>115</v>
      </c>
      <c r="C7" t="str">
        <f>Retirees!C22</f>
        <v>Hawk Haven</v>
      </c>
      <c r="D7" t="str">
        <f>Retirees!D22</f>
        <v>RB</v>
      </c>
      <c r="E7" t="str">
        <f>Retirees!E22</f>
        <v>Alejandro</v>
      </c>
      <c r="F7" t="str">
        <f>Retirees!F22</f>
        <v>Álvarez</v>
      </c>
      <c r="G7" t="str">
        <f>Retirees!G22</f>
        <v>A. Álvarez</v>
      </c>
      <c r="H7" t="str">
        <f>Retirees!H22</f>
        <v>Aguileño</v>
      </c>
      <c r="I7">
        <f>Retirees!I22</f>
        <v>100</v>
      </c>
      <c r="J7">
        <f>Retirees!J22</f>
        <v>73</v>
      </c>
      <c r="K7">
        <f>Retirees!K22</f>
        <v>9</v>
      </c>
      <c r="L7">
        <f>Retirees!L22</f>
        <v>90</v>
      </c>
      <c r="M7">
        <f>Retirees!M22</f>
        <v>68</v>
      </c>
      <c r="N7">
        <f>Retirees!N22</f>
        <v>89</v>
      </c>
      <c r="O7">
        <f>Retirees!O22</f>
        <v>79</v>
      </c>
      <c r="P7">
        <f>Retirees!P22</f>
        <v>23.900000000000002</v>
      </c>
      <c r="Q7">
        <f>Retirees!Q22</f>
        <v>53.774999999999999</v>
      </c>
      <c r="R7">
        <f>Retirees!R22</f>
        <v>59.75</v>
      </c>
      <c r="S7">
        <f>Retirees!S22</f>
        <v>3.2695272222392373E-2</v>
      </c>
      <c r="T7">
        <f>Retirees!T22</f>
        <v>0.5664300000000001</v>
      </c>
      <c r="U7" t="str">
        <f>Retirees!U22</f>
        <v>Columbia</v>
      </c>
      <c r="V7">
        <f>Retirees!V22</f>
        <v>35</v>
      </c>
      <c r="W7">
        <f>Retirees!W22</f>
        <v>60</v>
      </c>
      <c r="X7">
        <f>Retirees!X22</f>
        <v>18.174999999999997</v>
      </c>
      <c r="AA7">
        <v>6</v>
      </c>
      <c r="AB7" t="s">
        <v>36</v>
      </c>
      <c r="AC7" t="str">
        <f>_xlfn.CONCAT(LEFT(AB7,2),CODE(AB7))</f>
        <v>Ja74</v>
      </c>
      <c r="AD7">
        <f>VLOOKUP(AC7,'Season 1 - League Table'!$R$4:$S$23,2,FALSE)+VLOOKUP(AC7,Ranks!$H$2:$I$21,2,FALSE)</f>
        <v>65</v>
      </c>
      <c r="AE7">
        <f t="shared" si="4"/>
        <v>0</v>
      </c>
      <c r="AH7" t="str">
        <f t="shared" si="7"/>
        <v/>
      </c>
      <c r="AI7" t="str">
        <f t="shared" si="8"/>
        <v/>
      </c>
      <c r="AK7">
        <f t="shared" si="5"/>
        <v>0</v>
      </c>
      <c r="AM7" t="str">
        <f t="shared" si="2"/>
        <v/>
      </c>
      <c r="AN7" t="str">
        <f t="shared" si="9"/>
        <v/>
      </c>
      <c r="AO7">
        <f t="shared" si="6"/>
        <v>65</v>
      </c>
    </row>
    <row r="8" spans="1:41" x14ac:dyDescent="0.25">
      <c r="B8">
        <f>Retirees!B23</f>
        <v>156</v>
      </c>
      <c r="C8" t="str">
        <f>Retirees!C23</f>
        <v>Elephant Elites</v>
      </c>
      <c r="D8" t="str">
        <f>Retirees!D23</f>
        <v>LB</v>
      </c>
      <c r="E8" t="str">
        <f>Retirees!E23</f>
        <v>Kagiso</v>
      </c>
      <c r="F8" t="str">
        <f>Retirees!F23</f>
        <v>Khama</v>
      </c>
      <c r="G8" t="str">
        <f>Retirees!G23</f>
        <v>K. Khama</v>
      </c>
      <c r="H8" t="str">
        <f>Retirees!H23</f>
        <v>Kalahari</v>
      </c>
      <c r="I8">
        <f>Retirees!I23</f>
        <v>14</v>
      </c>
      <c r="J8">
        <f>Retirees!J23</f>
        <v>90</v>
      </c>
      <c r="K8">
        <f>Retirees!K23</f>
        <v>84</v>
      </c>
      <c r="L8">
        <f>Retirees!L23</f>
        <v>4</v>
      </c>
      <c r="M8">
        <f>Retirees!M23</f>
        <v>48</v>
      </c>
      <c r="N8">
        <f>Retirees!N23</f>
        <v>70</v>
      </c>
      <c r="O8">
        <f>Retirees!O23</f>
        <v>89</v>
      </c>
      <c r="P8">
        <f>Retirees!P23</f>
        <v>20.28</v>
      </c>
      <c r="Q8">
        <f>Retirees!Q23</f>
        <v>45.63</v>
      </c>
      <c r="R8">
        <f>Retirees!R23</f>
        <v>50.7</v>
      </c>
      <c r="S8">
        <f>Retirees!S23</f>
        <v>4.0367201426024964E-2</v>
      </c>
      <c r="T8">
        <f>Retirees!T23</f>
        <v>0.54147600000000007</v>
      </c>
      <c r="U8" t="str">
        <f>Retirees!U23</f>
        <v>Botswana</v>
      </c>
      <c r="V8">
        <f>Retirees!V23</f>
        <v>35</v>
      </c>
      <c r="W8">
        <f>Retirees!W23</f>
        <v>51</v>
      </c>
      <c r="X8">
        <f>Retirees!X23</f>
        <v>9.1500000000000057</v>
      </c>
      <c r="AA8">
        <v>7</v>
      </c>
      <c r="AB8" t="s">
        <v>28</v>
      </c>
      <c r="AC8" t="str">
        <f>_xlfn.CONCAT(LEFT(AB8,2),CODE(AB8))</f>
        <v>Sh83</v>
      </c>
      <c r="AD8">
        <f>VLOOKUP(AC8,'Season 1 - League Table'!$R$4:$S$23,2,FALSE)+VLOOKUP(AC8,Ranks!$H$2:$I$21,2,FALSE)</f>
        <v>62</v>
      </c>
      <c r="AE8">
        <f t="shared" si="4"/>
        <v>1</v>
      </c>
      <c r="AG8">
        <v>160</v>
      </c>
      <c r="AH8">
        <f t="shared" si="7"/>
        <v>52.875</v>
      </c>
      <c r="AI8">
        <f t="shared" si="8"/>
        <v>9.125</v>
      </c>
      <c r="AK8">
        <f t="shared" si="5"/>
        <v>0</v>
      </c>
      <c r="AM8" t="str">
        <f t="shared" si="2"/>
        <v/>
      </c>
      <c r="AN8" t="str">
        <f t="shared" si="9"/>
        <v/>
      </c>
      <c r="AO8">
        <f t="shared" si="6"/>
        <v>9.125</v>
      </c>
    </row>
    <row r="9" spans="1:41" x14ac:dyDescent="0.25">
      <c r="B9">
        <f>Retirees!B24</f>
        <v>160</v>
      </c>
      <c r="C9" t="str">
        <f>Retirees!C24</f>
        <v>Elephant Elites</v>
      </c>
      <c r="D9" t="str">
        <f>Retirees!D24</f>
        <v>CDM</v>
      </c>
      <c r="E9" t="str">
        <f>Retirees!E24</f>
        <v>Lerato</v>
      </c>
      <c r="F9" t="str">
        <f>Retirees!F24</f>
        <v>Lekgari</v>
      </c>
      <c r="G9" t="str">
        <f>Retirees!G24</f>
        <v>L. Lekgari</v>
      </c>
      <c r="H9" t="str">
        <f>Retirees!H24</f>
        <v>Leviathan</v>
      </c>
      <c r="I9">
        <f>Retirees!I24</f>
        <v>37</v>
      </c>
      <c r="J9">
        <f>Retirees!J24</f>
        <v>98</v>
      </c>
      <c r="K9">
        <f>Retirees!K24</f>
        <v>96</v>
      </c>
      <c r="L9">
        <f>Retirees!L24</f>
        <v>0</v>
      </c>
      <c r="M9">
        <f>Retirees!M24</f>
        <v>57.75</v>
      </c>
      <c r="N9">
        <f>Retirees!N24</f>
        <v>75</v>
      </c>
      <c r="O9">
        <f>Retirees!O24</f>
        <v>93</v>
      </c>
      <c r="P9">
        <f>Retirees!P24</f>
        <v>44.01</v>
      </c>
      <c r="Q9">
        <f>Retirees!Q24</f>
        <v>66.015000000000001</v>
      </c>
      <c r="R9">
        <f>Retirees!R24</f>
        <v>73.349999999999994</v>
      </c>
      <c r="S9">
        <f>Retirees!S24</f>
        <v>0.1307486631016043</v>
      </c>
      <c r="T9">
        <f>Retirees!T24</f>
        <v>1.2278790000000002</v>
      </c>
      <c r="U9" t="str">
        <f>Retirees!U24</f>
        <v>Botswana</v>
      </c>
      <c r="V9">
        <f>Retirees!V24</f>
        <v>35</v>
      </c>
      <c r="W9">
        <f>Retirees!W24</f>
        <v>74</v>
      </c>
      <c r="X9">
        <f>Retirees!X24</f>
        <v>31.974999999999994</v>
      </c>
      <c r="AA9">
        <v>8</v>
      </c>
      <c r="AB9" t="s">
        <v>33</v>
      </c>
      <c r="AC9" t="str">
        <f>_xlfn.CONCAT(LEFT(AB9,2),CODE(AB9))</f>
        <v>Ha72</v>
      </c>
      <c r="AD9">
        <f>VLOOKUP(AC9,'Season 1 - League Table'!$R$4:$S$23,2,FALSE)+VLOOKUP(AC9,Ranks!$H$2:$I$21,2,FALSE)</f>
        <v>59</v>
      </c>
      <c r="AE9">
        <f t="shared" si="4"/>
        <v>1</v>
      </c>
      <c r="AG9">
        <v>187</v>
      </c>
      <c r="AH9">
        <f t="shared" si="7"/>
        <v>48</v>
      </c>
      <c r="AI9">
        <f t="shared" si="8"/>
        <v>11</v>
      </c>
      <c r="AK9">
        <f t="shared" si="5"/>
        <v>0</v>
      </c>
      <c r="AM9" t="str">
        <f t="shared" si="2"/>
        <v/>
      </c>
      <c r="AN9" t="str">
        <f t="shared" si="9"/>
        <v/>
      </c>
      <c r="AO9">
        <f t="shared" si="6"/>
        <v>11</v>
      </c>
    </row>
    <row r="10" spans="1:41" x14ac:dyDescent="0.25">
      <c r="B10">
        <f>Retirees!B25</f>
        <v>169</v>
      </c>
      <c r="C10" t="str">
        <f>Retirees!C25</f>
        <v>Cheetah Chasers</v>
      </c>
      <c r="D10" t="str">
        <f>Retirees!D25</f>
        <v>CB</v>
      </c>
      <c r="E10" t="str">
        <f>Retirees!E25</f>
        <v>Kibet</v>
      </c>
      <c r="F10" t="str">
        <f>Retirees!F25</f>
        <v>Korir</v>
      </c>
      <c r="G10" t="str">
        <f>Retirees!G25</f>
        <v>K. Korir</v>
      </c>
      <c r="H10" t="str">
        <f>Retirees!H25</f>
        <v>Kasi</v>
      </c>
      <c r="I10">
        <f>Retirees!I25</f>
        <v>100</v>
      </c>
      <c r="J10">
        <f>Retirees!J25</f>
        <v>26</v>
      </c>
      <c r="K10">
        <f>Retirees!K25</f>
        <v>12</v>
      </c>
      <c r="L10">
        <f>Retirees!L25</f>
        <v>100</v>
      </c>
      <c r="M10">
        <f>Retirees!M25</f>
        <v>59.5</v>
      </c>
      <c r="N10">
        <f>Retirees!N25</f>
        <v>27</v>
      </c>
      <c r="O10">
        <f>Retirees!O25</f>
        <v>81</v>
      </c>
      <c r="P10">
        <f>Retirees!P25</f>
        <v>11.489999999999998</v>
      </c>
      <c r="Q10">
        <f>Retirees!Q25</f>
        <v>38.299999999999997</v>
      </c>
      <c r="R10">
        <f>Retirees!R25</f>
        <v>38.299999999999997</v>
      </c>
      <c r="S10">
        <f>Retirees!S25</f>
        <v>1.6756015540827323E-2</v>
      </c>
      <c r="T10">
        <f>Retirees!T25</f>
        <v>0.27920699999999998</v>
      </c>
      <c r="U10" t="str">
        <f>Retirees!U25</f>
        <v>Kenya</v>
      </c>
      <c r="V10">
        <f>Retirees!V25</f>
        <v>35</v>
      </c>
      <c r="W10">
        <f>Retirees!W25</f>
        <v>39</v>
      </c>
      <c r="X10" t="str">
        <f>Retirees!X25</f>
        <v>0</v>
      </c>
      <c r="AA10">
        <v>9</v>
      </c>
      <c r="AB10" t="s">
        <v>42</v>
      </c>
      <c r="AC10" t="str">
        <f>_xlfn.CONCAT(LEFT(AB10,2),CODE(AB10))</f>
        <v>Go71</v>
      </c>
      <c r="AD10">
        <f>VLOOKUP(AC10,'Season 1 - League Table'!$R$4:$S$23,2,FALSE)+VLOOKUP(AC10,Ranks!$H$2:$I$21,2,FALSE)</f>
        <v>56</v>
      </c>
      <c r="AE10">
        <f t="shared" si="4"/>
        <v>0</v>
      </c>
      <c r="AH10" t="str">
        <f t="shared" si="7"/>
        <v/>
      </c>
      <c r="AI10" t="str">
        <f t="shared" si="8"/>
        <v/>
      </c>
      <c r="AK10">
        <f t="shared" si="5"/>
        <v>0</v>
      </c>
      <c r="AM10" t="str">
        <f t="shared" si="2"/>
        <v/>
      </c>
      <c r="AN10" t="str">
        <f t="shared" si="9"/>
        <v/>
      </c>
      <c r="AO10">
        <f t="shared" si="6"/>
        <v>56</v>
      </c>
    </row>
    <row r="11" spans="1:41" x14ac:dyDescent="0.25">
      <c r="B11">
        <f>Retirees!B26</f>
        <v>171</v>
      </c>
      <c r="C11" t="str">
        <f>Retirees!C26</f>
        <v>Cheetah Chasers</v>
      </c>
      <c r="D11" t="str">
        <f>Retirees!D26</f>
        <v>CDM</v>
      </c>
      <c r="E11" t="str">
        <f>Retirees!E26</f>
        <v>Gitonga</v>
      </c>
      <c r="F11" t="str">
        <f>Retirees!F26</f>
        <v>Gachanja</v>
      </c>
      <c r="G11" t="str">
        <f>Retirees!G26</f>
        <v>G. Gachanja</v>
      </c>
      <c r="H11" t="str">
        <f>Retirees!H26</f>
        <v>Gazelle</v>
      </c>
      <c r="I11">
        <f>Retirees!I26</f>
        <v>85</v>
      </c>
      <c r="J11">
        <f>Retirees!J26</f>
        <v>34</v>
      </c>
      <c r="K11">
        <f>Retirees!K26</f>
        <v>39</v>
      </c>
      <c r="L11">
        <f>Retirees!L26</f>
        <v>100</v>
      </c>
      <c r="M11">
        <f>Retirees!M26</f>
        <v>64.5</v>
      </c>
      <c r="N11">
        <f>Retirees!N26</f>
        <v>34</v>
      </c>
      <c r="O11">
        <f>Retirees!O26</f>
        <v>84</v>
      </c>
      <c r="P11">
        <f>Retirees!P26</f>
        <v>32.129999999999995</v>
      </c>
      <c r="Q11">
        <f>Retirees!Q26</f>
        <v>48.195</v>
      </c>
      <c r="R11">
        <f>Retirees!R26</f>
        <v>53.55</v>
      </c>
      <c r="S11">
        <f>Retirees!S26</f>
        <v>6.9933722942309567E-2</v>
      </c>
      <c r="T11">
        <f>Retirees!T26</f>
        <v>0.80967599999999984</v>
      </c>
      <c r="U11" t="str">
        <f>Retirees!U26</f>
        <v>Kenya</v>
      </c>
      <c r="V11">
        <f>Retirees!V26</f>
        <v>35</v>
      </c>
      <c r="W11">
        <f>Retirees!W26</f>
        <v>54</v>
      </c>
      <c r="X11">
        <f>Retirees!X26</f>
        <v>12.075000000000003</v>
      </c>
      <c r="AA11">
        <v>10</v>
      </c>
      <c r="AB11" t="s">
        <v>34</v>
      </c>
      <c r="AC11" t="str">
        <f>_xlfn.CONCAT(LEFT(AB11,2),CODE(AB11))</f>
        <v>Py80</v>
      </c>
      <c r="AD11">
        <f>VLOOKUP(AC11,'Season 1 - League Table'!$R$4:$S$23,2,FALSE)+VLOOKUP(AC11,Ranks!$H$2:$I$21,2,FALSE)</f>
        <v>53</v>
      </c>
      <c r="AE11">
        <f t="shared" si="4"/>
        <v>0</v>
      </c>
      <c r="AH11" t="str">
        <f t="shared" si="7"/>
        <v/>
      </c>
      <c r="AI11" t="str">
        <f t="shared" si="8"/>
        <v/>
      </c>
      <c r="AK11">
        <f t="shared" si="5"/>
        <v>0</v>
      </c>
      <c r="AM11" t="str">
        <f t="shared" si="2"/>
        <v/>
      </c>
      <c r="AN11" t="str">
        <f t="shared" si="9"/>
        <v/>
      </c>
      <c r="AO11">
        <f t="shared" si="6"/>
        <v>53</v>
      </c>
    </row>
    <row r="12" spans="1:41" x14ac:dyDescent="0.25">
      <c r="B12">
        <f>Retirees!B27</f>
        <v>187</v>
      </c>
      <c r="C12" t="str">
        <f>Retirees!C27</f>
        <v>Raven Raiders</v>
      </c>
      <c r="D12" t="str">
        <f>Retirees!D27</f>
        <v>RW</v>
      </c>
      <c r="E12" t="str">
        <f>Retirees!E27</f>
        <v>Stefán</v>
      </c>
      <c r="F12" t="str">
        <f>Retirees!F27</f>
        <v>Sigurðsson</v>
      </c>
      <c r="G12" t="str">
        <f>Retirees!G27</f>
        <v>S. Sigurðsson</v>
      </c>
      <c r="H12" t="str">
        <f>Retirees!H27</f>
        <v>Sleipnir</v>
      </c>
      <c r="I12">
        <f>Retirees!I27</f>
        <v>75</v>
      </c>
      <c r="J12">
        <f>Retirees!J27</f>
        <v>100</v>
      </c>
      <c r="K12">
        <f>Retirees!K27</f>
        <v>18</v>
      </c>
      <c r="L12">
        <f>Retirees!L27</f>
        <v>71</v>
      </c>
      <c r="M12">
        <f>Retirees!M27</f>
        <v>66</v>
      </c>
      <c r="N12">
        <f>Retirees!N27</f>
        <v>94</v>
      </c>
      <c r="O12">
        <f>Retirees!O27</f>
        <v>103</v>
      </c>
      <c r="P12">
        <f>Retirees!P27</f>
        <v>74.099999999999994</v>
      </c>
      <c r="Q12">
        <f>Retirees!Q27</f>
        <v>22.229999999999997</v>
      </c>
      <c r="R12">
        <f>Retirees!R27</f>
        <v>74.099999999999994</v>
      </c>
      <c r="S12">
        <f>Retirees!S27</f>
        <v>0.23459833251010195</v>
      </c>
      <c r="T12">
        <f>Retirees!T27</f>
        <v>2.2896899999999998</v>
      </c>
      <c r="U12" t="str">
        <f>Retirees!U27</f>
        <v>Iceland</v>
      </c>
      <c r="V12">
        <f>Retirees!V27</f>
        <v>35</v>
      </c>
      <c r="W12">
        <f>Retirees!W27</f>
        <v>75</v>
      </c>
      <c r="X12">
        <f>Retirees!X27</f>
        <v>32.849999999999994</v>
      </c>
      <c r="AA12">
        <v>11</v>
      </c>
      <c r="AB12" t="s">
        <v>26</v>
      </c>
      <c r="AC12" t="str">
        <f>_xlfn.CONCAT(LEFT(AB12,2),CODE(AB12))</f>
        <v>Fa70</v>
      </c>
      <c r="AD12">
        <f>VLOOKUP(AC12,'Season 1 - League Table'!$R$4:$S$23,2,FALSE)+VLOOKUP(AC12,Ranks!$H$2:$I$21,2,FALSE)</f>
        <v>50</v>
      </c>
      <c r="AE12">
        <f t="shared" si="4"/>
        <v>1</v>
      </c>
      <c r="AG12">
        <v>115</v>
      </c>
      <c r="AH12">
        <f t="shared" si="7"/>
        <v>38.125</v>
      </c>
      <c r="AI12">
        <f t="shared" si="8"/>
        <v>11.875</v>
      </c>
      <c r="AK12">
        <f t="shared" si="5"/>
        <v>0</v>
      </c>
      <c r="AM12" t="str">
        <f t="shared" si="2"/>
        <v/>
      </c>
      <c r="AN12" t="str">
        <f t="shared" si="9"/>
        <v/>
      </c>
      <c r="AO12">
        <f t="shared" si="6"/>
        <v>11.875</v>
      </c>
    </row>
    <row r="13" spans="1:41" x14ac:dyDescent="0.25">
      <c r="B13">
        <f>Retirees!B28</f>
        <v>206</v>
      </c>
      <c r="C13" t="str">
        <f>Retirees!C28</f>
        <v>Buffalo Battlers</v>
      </c>
      <c r="D13" t="str">
        <f>Retirees!D28</f>
        <v>CAM</v>
      </c>
      <c r="E13" t="str">
        <f>Retirees!E28</f>
        <v>Rashid</v>
      </c>
      <c r="F13" t="str">
        <f>Retirees!F28</f>
        <v>Rahman</v>
      </c>
      <c r="G13" t="str">
        <f>Retirees!G28</f>
        <v>R. Rahman</v>
      </c>
      <c r="H13" t="str">
        <f>Retirees!H28</f>
        <v>Raees</v>
      </c>
      <c r="I13">
        <f>Retirees!I28</f>
        <v>21</v>
      </c>
      <c r="J13">
        <f>Retirees!J28</f>
        <v>5</v>
      </c>
      <c r="K13">
        <f>Retirees!K28</f>
        <v>78</v>
      </c>
      <c r="L13">
        <f>Retirees!L28</f>
        <v>35</v>
      </c>
      <c r="M13">
        <f>Retirees!M28</f>
        <v>34.75</v>
      </c>
      <c r="N13">
        <f>Retirees!N28</f>
        <v>74</v>
      </c>
      <c r="O13">
        <f>Retirees!O28</f>
        <v>76</v>
      </c>
      <c r="P13">
        <f>Retirees!P28</f>
        <v>18.225000000000001</v>
      </c>
      <c r="Q13">
        <f>Retirees!Q28</f>
        <v>12.15</v>
      </c>
      <c r="R13">
        <f>Retirees!R28</f>
        <v>20.25</v>
      </c>
      <c r="S13">
        <f>Retirees!S28</f>
        <v>8.3415337437352674E-2</v>
      </c>
      <c r="T13">
        <f>Retirees!T28</f>
        <v>0.41553000000000007</v>
      </c>
      <c r="U13" t="str">
        <f>Retirees!U28</f>
        <v>Pakistan</v>
      </c>
      <c r="V13">
        <f>Retirees!V28</f>
        <v>35</v>
      </c>
      <c r="W13">
        <f>Retirees!W28</f>
        <v>21</v>
      </c>
      <c r="X13" t="str">
        <f>Retirees!X28</f>
        <v>0</v>
      </c>
      <c r="AA13">
        <v>12</v>
      </c>
      <c r="AB13" t="s">
        <v>35</v>
      </c>
      <c r="AC13" t="str">
        <f>_xlfn.CONCAT(LEFT(AB13,2),CODE(AB13))</f>
        <v>Do68</v>
      </c>
      <c r="AD13">
        <f>VLOOKUP(AC13,'Season 1 - League Table'!$R$4:$S$23,2,FALSE)+VLOOKUP(AC13,Ranks!$H$2:$I$21,2,FALSE)</f>
        <v>47</v>
      </c>
      <c r="AE13">
        <f t="shared" si="4"/>
        <v>0</v>
      </c>
      <c r="AH13" t="str">
        <f t="shared" si="7"/>
        <v/>
      </c>
      <c r="AI13" t="str">
        <f t="shared" si="8"/>
        <v/>
      </c>
      <c r="AK13">
        <f t="shared" si="5"/>
        <v>0</v>
      </c>
      <c r="AM13" t="str">
        <f t="shared" si="2"/>
        <v/>
      </c>
      <c r="AN13" t="str">
        <f t="shared" si="9"/>
        <v/>
      </c>
      <c r="AO13">
        <f t="shared" si="6"/>
        <v>47</v>
      </c>
    </row>
    <row r="14" spans="1:41" x14ac:dyDescent="0.25">
      <c r="AA14">
        <v>13</v>
      </c>
      <c r="AB14" t="s">
        <v>40</v>
      </c>
      <c r="AC14" t="str">
        <f>_xlfn.CONCAT(LEFT(AB14,2),CODE(AB14))</f>
        <v>St83</v>
      </c>
      <c r="AD14">
        <f>VLOOKUP(AC14,'Season 1 - League Table'!$R$4:$S$23,2,FALSE)+VLOOKUP(AC14,Ranks!$H$2:$I$21,2,FALSE)</f>
        <v>44</v>
      </c>
      <c r="AE14">
        <f t="shared" si="4"/>
        <v>0</v>
      </c>
      <c r="AH14" t="str">
        <f t="shared" si="7"/>
        <v/>
      </c>
      <c r="AI14" t="str">
        <f t="shared" si="8"/>
        <v/>
      </c>
      <c r="AK14">
        <f t="shared" si="5"/>
        <v>0</v>
      </c>
      <c r="AM14" t="str">
        <f t="shared" si="2"/>
        <v/>
      </c>
      <c r="AN14" t="str">
        <f t="shared" si="9"/>
        <v/>
      </c>
      <c r="AO14">
        <f t="shared" si="6"/>
        <v>44</v>
      </c>
    </row>
    <row r="15" spans="1:41" x14ac:dyDescent="0.25">
      <c r="AA15">
        <v>14</v>
      </c>
      <c r="AB15" t="s">
        <v>37</v>
      </c>
      <c r="AC15" t="str">
        <f>_xlfn.CONCAT(LEFT(AB15,2),CODE(AB15))</f>
        <v>El69</v>
      </c>
      <c r="AD15">
        <f>VLOOKUP(AC15,'Season 1 - League Table'!$R$4:$S$23,2,FALSE)+VLOOKUP(AC15,Ranks!$H$2:$I$21,2,FALSE)</f>
        <v>41</v>
      </c>
      <c r="AE15">
        <f t="shared" si="4"/>
        <v>2</v>
      </c>
      <c r="AG15">
        <v>156</v>
      </c>
      <c r="AH15">
        <f t="shared" si="7"/>
        <v>28.75</v>
      </c>
      <c r="AI15">
        <f t="shared" si="8"/>
        <v>12.25</v>
      </c>
      <c r="AK15">
        <f t="shared" si="5"/>
        <v>1</v>
      </c>
      <c r="AL15">
        <v>24</v>
      </c>
      <c r="AM15">
        <f t="shared" ref="AM6:AM21" si="10">IFERROR(VLOOKUP(AL15,$B$16:$X$28,23,FALSE),"")</f>
        <v>10.5</v>
      </c>
      <c r="AN15">
        <f t="shared" si="9"/>
        <v>1.75</v>
      </c>
      <c r="AO15">
        <f t="shared" si="6"/>
        <v>1.75</v>
      </c>
    </row>
    <row r="16" spans="1:41" x14ac:dyDescent="0.25">
      <c r="A16" t="s">
        <v>1459</v>
      </c>
      <c r="B16" t="str">
        <f>'New Generation'!B19</f>
        <v>Index</v>
      </c>
      <c r="C16" t="str">
        <f>'New Generation'!C19</f>
        <v>Team</v>
      </c>
      <c r="D16" t="str">
        <f>'New Generation'!D19</f>
        <v>Position</v>
      </c>
      <c r="E16" t="str">
        <f>'New Generation'!E19</f>
        <v>First Name</v>
      </c>
      <c r="F16" t="str">
        <f>'New Generation'!F19</f>
        <v>Last Name</v>
      </c>
      <c r="G16" t="str">
        <f>'New Generation'!G19</f>
        <v>PlayerName</v>
      </c>
      <c r="H16" t="str">
        <f>'New Generation'!H19</f>
        <v>KnownAs</v>
      </c>
      <c r="I16" t="str">
        <f>'New Generation'!I19</f>
        <v>Technique</v>
      </c>
      <c r="J16" t="str">
        <f>'New Generation'!J19</f>
        <v>IQ</v>
      </c>
      <c r="K16" t="str">
        <f>'New Generation'!K19</f>
        <v>Strength</v>
      </c>
      <c r="L16" t="str">
        <f>'New Generation'!L19</f>
        <v>Speed</v>
      </c>
      <c r="M16" t="str">
        <f>'New Generation'!M19</f>
        <v>Overall (stat)</v>
      </c>
      <c r="N16" t="str">
        <f>'New Generation'!N19</f>
        <v>Consistency</v>
      </c>
      <c r="O16" t="str">
        <f>'New Generation'!O19</f>
        <v>Chemistry</v>
      </c>
      <c r="U16" t="str">
        <f>'New Generation'!U19</f>
        <v>Country</v>
      </c>
      <c r="V16" t="str">
        <f>'New Generation'!V19</f>
        <v>Age</v>
      </c>
      <c r="W16" t="str">
        <f>'New Generation'!W19</f>
        <v>Potential</v>
      </c>
      <c r="X16" t="str">
        <f>'New Generation'!X19</f>
        <v>Est. Value ($M)</v>
      </c>
      <c r="Y16">
        <f>'New Generation'!Y19</f>
        <v>0</v>
      </c>
      <c r="Z16" t="s">
        <v>1474</v>
      </c>
      <c r="AA16">
        <v>15</v>
      </c>
      <c r="AB16" t="s">
        <v>21</v>
      </c>
      <c r="AC16" t="str">
        <f>_xlfn.CONCAT(LEFT(AB16,2),CODE(AB16))</f>
        <v>Ea69</v>
      </c>
      <c r="AD16">
        <f>VLOOKUP(AC16,'Season 1 - League Table'!$R$4:$S$23,2,FALSE)+VLOOKUP(AC16,Ranks!$H$2:$I$21,2,FALSE)</f>
        <v>38</v>
      </c>
      <c r="AE16">
        <f t="shared" si="4"/>
        <v>0</v>
      </c>
      <c r="AH16" t="str">
        <f t="shared" si="7"/>
        <v/>
      </c>
      <c r="AI16" t="str">
        <f t="shared" si="8"/>
        <v/>
      </c>
      <c r="AK16">
        <f t="shared" si="5"/>
        <v>0</v>
      </c>
      <c r="AM16" t="str">
        <f t="shared" si="10"/>
        <v/>
      </c>
      <c r="AN16" t="str">
        <f t="shared" si="9"/>
        <v/>
      </c>
      <c r="AO16">
        <f t="shared" si="6"/>
        <v>38</v>
      </c>
    </row>
    <row r="17" spans="1:41" x14ac:dyDescent="0.25">
      <c r="A17" t="str">
        <f>_xlfn.CONCAT(LEFT(C17,2),CODE(C17))</f>
        <v>Li76</v>
      </c>
      <c r="B17">
        <f>'New Generation'!B20</f>
        <v>12</v>
      </c>
      <c r="C17" t="str">
        <f>'New Generation'!C20</f>
        <v>Lionheart Rovers</v>
      </c>
      <c r="D17" t="str">
        <f>'New Generation'!D20</f>
        <v>GK</v>
      </c>
      <c r="E17" s="18" t="str">
        <f>'New Generation'!E20</f>
        <v>Juma</v>
      </c>
      <c r="F17" s="18" t="str">
        <f>'New Generation'!F20</f>
        <v>Kipanga Jr.</v>
      </c>
      <c r="G17" s="18" t="str">
        <f>'New Generation'!G20</f>
        <v>J. Kipanga Jr.</v>
      </c>
      <c r="H17" s="18" t="str">
        <f>'New Generation'!H20</f>
        <v>Jasiri Jr.</v>
      </c>
      <c r="I17" s="18">
        <f>'New Generation'!I20</f>
        <v>92</v>
      </c>
      <c r="J17" s="18">
        <f>'New Generation'!J20</f>
        <v>88</v>
      </c>
      <c r="K17" s="18">
        <f>'New Generation'!K20</f>
        <v>69</v>
      </c>
      <c r="L17" s="18">
        <f>'New Generation'!L20</f>
        <v>89</v>
      </c>
      <c r="M17" s="18">
        <f>'New Generation'!M20</f>
        <v>84.5</v>
      </c>
      <c r="N17" s="18">
        <f>'New Generation'!N20</f>
        <v>95</v>
      </c>
      <c r="O17" s="18">
        <f>'New Generation'!O20</f>
        <v>57</v>
      </c>
      <c r="U17" t="str">
        <f>'New Generation'!U20</f>
        <v>Tanzania</v>
      </c>
      <c r="V17">
        <f>'New Generation'!V20</f>
        <v>18</v>
      </c>
      <c r="W17">
        <f>'New Generation'!W20</f>
        <v>117</v>
      </c>
      <c r="X17">
        <f>'New Generation'!X20</f>
        <v>60.75</v>
      </c>
      <c r="Y17">
        <f>B17</f>
        <v>12</v>
      </c>
      <c r="Z17" t="str">
        <f>AB5</f>
        <v>Cheetah Chasers</v>
      </c>
      <c r="AA17">
        <v>16</v>
      </c>
      <c r="AB17" t="s">
        <v>25</v>
      </c>
      <c r="AC17" t="str">
        <f>_xlfn.CONCAT(LEFT(AB17,2),CODE(AB17))</f>
        <v>Co67</v>
      </c>
      <c r="AD17">
        <f>VLOOKUP(AC17,'Season 1 - League Table'!$R$4:$S$23,2,FALSE)+VLOOKUP(AC17,Ranks!$H$2:$I$21,2,FALSE)</f>
        <v>35</v>
      </c>
      <c r="AE17">
        <f t="shared" si="4"/>
        <v>1</v>
      </c>
      <c r="AG17">
        <v>49</v>
      </c>
      <c r="AH17">
        <f t="shared" si="7"/>
        <v>26.875</v>
      </c>
      <c r="AI17">
        <f t="shared" si="8"/>
        <v>8.125</v>
      </c>
      <c r="AK17">
        <f t="shared" si="5"/>
        <v>0</v>
      </c>
      <c r="AM17" t="str">
        <f t="shared" si="10"/>
        <v/>
      </c>
      <c r="AN17" t="str">
        <f t="shared" si="9"/>
        <v/>
      </c>
      <c r="AO17">
        <f t="shared" si="6"/>
        <v>8.125</v>
      </c>
    </row>
    <row r="18" spans="1:41" x14ac:dyDescent="0.25">
      <c r="A18" t="str">
        <f t="shared" ref="A18:A28" si="11">_xlfn.CONCAT(LEFT(C18,2),CODE(C18))</f>
        <v>Li76</v>
      </c>
      <c r="B18">
        <f>'New Generation'!B21</f>
        <v>14</v>
      </c>
      <c r="C18" t="str">
        <f>'New Generation'!C21</f>
        <v>Lionheart Rovers</v>
      </c>
      <c r="D18" t="str">
        <f>'New Generation'!D21</f>
        <v>CB</v>
      </c>
      <c r="E18" s="18" t="str">
        <f>'New Generation'!E21</f>
        <v>Baraka</v>
      </c>
      <c r="F18" s="18" t="str">
        <f>'New Generation'!F21</f>
        <v>Lema Jr.</v>
      </c>
      <c r="G18" s="18" t="str">
        <f>'New Generation'!G21</f>
        <v>B. Lema Jr.</v>
      </c>
      <c r="H18" s="18" t="str">
        <f>'New Generation'!H21</f>
        <v>Lema Jr.</v>
      </c>
      <c r="I18" s="18">
        <f>'New Generation'!I21</f>
        <v>74</v>
      </c>
      <c r="J18" s="18">
        <f>'New Generation'!J21</f>
        <v>90</v>
      </c>
      <c r="K18" s="18">
        <f>'New Generation'!K21</f>
        <v>89</v>
      </c>
      <c r="L18" s="18">
        <f>'New Generation'!L21</f>
        <v>92</v>
      </c>
      <c r="M18" s="18">
        <f>'New Generation'!M21</f>
        <v>86.25</v>
      </c>
      <c r="N18" s="18">
        <f>'New Generation'!N21</f>
        <v>76</v>
      </c>
      <c r="O18" s="18">
        <f>'New Generation'!O21</f>
        <v>48</v>
      </c>
      <c r="U18" t="str">
        <f>'New Generation'!U21</f>
        <v>Tanzania</v>
      </c>
      <c r="V18">
        <f>'New Generation'!V21</f>
        <v>18</v>
      </c>
      <c r="W18">
        <f>'New Generation'!W21</f>
        <v>110</v>
      </c>
      <c r="X18">
        <f>'New Generation'!X21</f>
        <v>58.125</v>
      </c>
      <c r="Y18">
        <f t="shared" ref="Y18:Y28" si="12">B18</f>
        <v>14</v>
      </c>
      <c r="Z18" t="str">
        <f>AB6</f>
        <v>Lionheart Rovers</v>
      </c>
      <c r="AA18">
        <v>17</v>
      </c>
      <c r="AB18" t="s">
        <v>32</v>
      </c>
      <c r="AC18" t="str">
        <f>_xlfn.CONCAT(LEFT(AB18,2),CODE(AB18))</f>
        <v>Be66</v>
      </c>
      <c r="AD18">
        <f>VLOOKUP(AC18,'Season 1 - League Table'!$R$4:$S$23,2,FALSE)+VLOOKUP(AC18,Ranks!$H$2:$I$21,2,FALSE)</f>
        <v>32</v>
      </c>
      <c r="AE18">
        <f t="shared" si="4"/>
        <v>0</v>
      </c>
      <c r="AH18" t="str">
        <f t="shared" si="7"/>
        <v/>
      </c>
      <c r="AI18" t="str">
        <f t="shared" si="8"/>
        <v/>
      </c>
      <c r="AK18">
        <f t="shared" si="5"/>
        <v>0</v>
      </c>
      <c r="AM18" t="str">
        <f t="shared" si="10"/>
        <v/>
      </c>
      <c r="AN18" t="str">
        <f t="shared" si="9"/>
        <v/>
      </c>
      <c r="AO18">
        <f t="shared" si="6"/>
        <v>32</v>
      </c>
    </row>
    <row r="19" spans="1:41" x14ac:dyDescent="0.25">
      <c r="A19" t="str">
        <f t="shared" si="11"/>
        <v>El69</v>
      </c>
      <c r="B19">
        <f>'New Generation'!B27</f>
        <v>160</v>
      </c>
      <c r="C19" t="str">
        <f>'New Generation'!C27</f>
        <v>Elephant Elites</v>
      </c>
      <c r="D19" t="str">
        <f>'New Generation'!D27</f>
        <v>CDM</v>
      </c>
      <c r="E19" s="18" t="str">
        <f>'New Generation'!E27</f>
        <v>Lerato</v>
      </c>
      <c r="F19" s="18" t="str">
        <f>'New Generation'!F27</f>
        <v>Lekgari Jr.</v>
      </c>
      <c r="G19" s="18" t="str">
        <f>'New Generation'!G27</f>
        <v>L. Lekgari Jr.</v>
      </c>
      <c r="H19" s="18" t="str">
        <f>'New Generation'!H27</f>
        <v>Leviathan Jr.</v>
      </c>
      <c r="I19" s="18">
        <f>'New Generation'!I27</f>
        <v>22</v>
      </c>
      <c r="J19" s="18">
        <f>'New Generation'!J27</f>
        <v>95</v>
      </c>
      <c r="K19" s="18">
        <f>'New Generation'!K27</f>
        <v>91</v>
      </c>
      <c r="L19" s="18">
        <f>'New Generation'!L27</f>
        <v>111</v>
      </c>
      <c r="M19" s="18">
        <f>'New Generation'!M27</f>
        <v>79.75</v>
      </c>
      <c r="N19" s="18">
        <f>'New Generation'!N27</f>
        <v>13</v>
      </c>
      <c r="O19" s="18">
        <f>'New Generation'!O27</f>
        <v>78</v>
      </c>
      <c r="U19" t="str">
        <f>'New Generation'!U27</f>
        <v>Botswana</v>
      </c>
      <c r="V19">
        <f>'New Generation'!V27</f>
        <v>18</v>
      </c>
      <c r="W19">
        <f>'New Generation'!W27</f>
        <v>106</v>
      </c>
      <c r="X19">
        <f>'New Generation'!X27</f>
        <v>52.875</v>
      </c>
      <c r="Y19">
        <f t="shared" si="12"/>
        <v>160</v>
      </c>
      <c r="Z19" t="str">
        <f>AB8</f>
        <v>Sharkfin Athletic</v>
      </c>
      <c r="AA19">
        <v>18</v>
      </c>
      <c r="AB19" t="s">
        <v>39</v>
      </c>
      <c r="AC19" t="str">
        <f>_xlfn.CONCAT(LEFT(AB19,2),CODE(AB19))</f>
        <v>Ra82</v>
      </c>
      <c r="AD19">
        <f>VLOOKUP(AC19,'Season 1 - League Table'!$R$4:$S$23,2,FALSE)+VLOOKUP(AC19,Ranks!$H$2:$I$21,2,FALSE)</f>
        <v>29</v>
      </c>
      <c r="AE19">
        <f t="shared" si="4"/>
        <v>1</v>
      </c>
      <c r="AG19">
        <v>171</v>
      </c>
      <c r="AH19">
        <f t="shared" si="7"/>
        <v>22.625</v>
      </c>
      <c r="AI19">
        <f t="shared" si="8"/>
        <v>6.375</v>
      </c>
      <c r="AK19">
        <f t="shared" si="5"/>
        <v>0</v>
      </c>
      <c r="AM19" t="str">
        <f t="shared" si="10"/>
        <v/>
      </c>
      <c r="AN19" t="str">
        <f t="shared" si="9"/>
        <v/>
      </c>
      <c r="AO19">
        <f t="shared" si="6"/>
        <v>6.375</v>
      </c>
    </row>
    <row r="20" spans="1:41" x14ac:dyDescent="0.25">
      <c r="A20" t="str">
        <f t="shared" si="11"/>
        <v>Ra82</v>
      </c>
      <c r="B20">
        <f>'New Generation'!B30</f>
        <v>187</v>
      </c>
      <c r="C20" t="str">
        <f>'New Generation'!C30</f>
        <v>Raven Raiders</v>
      </c>
      <c r="D20" t="str">
        <f>'New Generation'!D30</f>
        <v>RW</v>
      </c>
      <c r="E20" s="18" t="str">
        <f>'New Generation'!E30</f>
        <v>Stefán</v>
      </c>
      <c r="F20" s="18" t="str">
        <f>'New Generation'!F30</f>
        <v>Sigurðsson Jr.</v>
      </c>
      <c r="G20" s="18" t="str">
        <f>'New Generation'!G30</f>
        <v>S. Sigurðsson Jr.</v>
      </c>
      <c r="H20" s="18" t="str">
        <f>'New Generation'!H30</f>
        <v>Sleipnir Jr.</v>
      </c>
      <c r="I20" s="18">
        <f>'New Generation'!I30</f>
        <v>88</v>
      </c>
      <c r="J20" s="18">
        <f>'New Generation'!J30</f>
        <v>85</v>
      </c>
      <c r="K20" s="18">
        <f>'New Generation'!K30</f>
        <v>93</v>
      </c>
      <c r="L20" s="18">
        <f>'New Generation'!L30</f>
        <v>30</v>
      </c>
      <c r="M20" s="18">
        <f>'New Generation'!M30</f>
        <v>74</v>
      </c>
      <c r="N20" s="18">
        <f>'New Generation'!N30</f>
        <v>68</v>
      </c>
      <c r="O20" s="18">
        <f>'New Generation'!O30</f>
        <v>105</v>
      </c>
      <c r="U20" t="str">
        <f>'New Generation'!U30</f>
        <v>Iceland</v>
      </c>
      <c r="V20">
        <f>'New Generation'!V30</f>
        <v>18</v>
      </c>
      <c r="W20">
        <f>'New Generation'!W30</f>
        <v>102</v>
      </c>
      <c r="X20">
        <f>'New Generation'!X30</f>
        <v>48</v>
      </c>
      <c r="Y20">
        <f t="shared" si="12"/>
        <v>187</v>
      </c>
      <c r="Z20" t="str">
        <f>AB9</f>
        <v>Hawk Haven</v>
      </c>
      <c r="AA20">
        <v>19</v>
      </c>
      <c r="AB20" t="s">
        <v>30</v>
      </c>
      <c r="AC20" t="str">
        <f>_xlfn.CONCAT(LEFT(AB20,2),CODE(AB20))</f>
        <v>Rh82</v>
      </c>
      <c r="AD20">
        <f>VLOOKUP(AC20,'Season 1 - League Table'!$R$4:$S$23,2,FALSE)+VLOOKUP(AC20,Ranks!$H$2:$I$21,2,FALSE)</f>
        <v>26</v>
      </c>
      <c r="AE20">
        <f t="shared" si="4"/>
        <v>0</v>
      </c>
      <c r="AH20" t="str">
        <f t="shared" si="7"/>
        <v/>
      </c>
      <c r="AI20" t="str">
        <f t="shared" si="8"/>
        <v/>
      </c>
      <c r="AK20">
        <f t="shared" si="5"/>
        <v>0</v>
      </c>
      <c r="AM20" t="str">
        <f t="shared" si="10"/>
        <v/>
      </c>
      <c r="AN20" t="str">
        <f t="shared" si="9"/>
        <v/>
      </c>
      <c r="AO20">
        <f t="shared" si="6"/>
        <v>26</v>
      </c>
    </row>
    <row r="21" spans="1:41" x14ac:dyDescent="0.25">
      <c r="A21" t="str">
        <f t="shared" si="11"/>
        <v>Ha72</v>
      </c>
      <c r="B21">
        <f>'New Generation'!B25</f>
        <v>115</v>
      </c>
      <c r="C21" t="str">
        <f>'New Generation'!C25</f>
        <v>Hawk Haven</v>
      </c>
      <c r="D21" t="str">
        <f>'New Generation'!D25</f>
        <v>RB</v>
      </c>
      <c r="E21" s="18" t="str">
        <f>'New Generation'!E25</f>
        <v>Alejandro</v>
      </c>
      <c r="F21" s="18" t="str">
        <f>'New Generation'!F25</f>
        <v>Álvarez Jr.</v>
      </c>
      <c r="G21" s="18" t="str">
        <f>'New Generation'!G25</f>
        <v>A. Álvarez Jr.</v>
      </c>
      <c r="H21" s="18" t="str">
        <f>'New Generation'!H25</f>
        <v>Aguileño Jr.</v>
      </c>
      <c r="I21" s="18">
        <f>'New Generation'!I25</f>
        <v>105</v>
      </c>
      <c r="J21" s="18">
        <f>'New Generation'!J25</f>
        <v>85</v>
      </c>
      <c r="K21" s="18">
        <f>'New Generation'!K25</f>
        <v>88</v>
      </c>
      <c r="L21" s="18">
        <f>'New Generation'!L25</f>
        <v>15</v>
      </c>
      <c r="M21" s="18">
        <f>'New Generation'!M25</f>
        <v>73.25</v>
      </c>
      <c r="N21" s="18">
        <f>'New Generation'!N25</f>
        <v>84</v>
      </c>
      <c r="O21" s="18">
        <f>'New Generation'!O25</f>
        <v>100</v>
      </c>
      <c r="U21" t="str">
        <f>'New Generation'!U25</f>
        <v>Columbia</v>
      </c>
      <c r="V21">
        <f>'New Generation'!V25</f>
        <v>18</v>
      </c>
      <c r="W21">
        <f>'New Generation'!W25</f>
        <v>83</v>
      </c>
      <c r="X21">
        <f>'New Generation'!X25</f>
        <v>38.125</v>
      </c>
      <c r="Y21">
        <f t="shared" si="12"/>
        <v>115</v>
      </c>
      <c r="Z21" t="str">
        <f>AB12</f>
        <v>Falcon Flyers</v>
      </c>
      <c r="AA21">
        <v>20</v>
      </c>
      <c r="AB21" t="s">
        <v>41</v>
      </c>
      <c r="AC21" t="str">
        <f>_xlfn.CONCAT(LEFT(AB21,2),CODE(AB21))</f>
        <v>Bu66</v>
      </c>
      <c r="AD21">
        <f>VLOOKUP(AC21,'Season 1 - League Table'!$R$4:$S$23,2,FALSE)+VLOOKUP(AC21,Ranks!$H$2:$I$21,2,FALSE)</f>
        <v>23</v>
      </c>
      <c r="AE21">
        <f t="shared" si="4"/>
        <v>1</v>
      </c>
      <c r="AG21">
        <v>169</v>
      </c>
      <c r="AH21">
        <f t="shared" si="7"/>
        <v>18.25</v>
      </c>
      <c r="AI21">
        <f t="shared" si="8"/>
        <v>4.75</v>
      </c>
      <c r="AK21">
        <f t="shared" si="5"/>
        <v>0</v>
      </c>
      <c r="AM21" t="str">
        <f t="shared" si="10"/>
        <v/>
      </c>
      <c r="AN21" t="str">
        <f t="shared" si="9"/>
        <v/>
      </c>
      <c r="AO21">
        <f t="shared" si="6"/>
        <v>4.75</v>
      </c>
    </row>
    <row r="22" spans="1:41" x14ac:dyDescent="0.25">
      <c r="A22" t="str">
        <f t="shared" si="11"/>
        <v>El69</v>
      </c>
      <c r="B22">
        <f>'New Generation'!B26</f>
        <v>156</v>
      </c>
      <c r="C22" t="str">
        <f>'New Generation'!C26</f>
        <v>Elephant Elites</v>
      </c>
      <c r="D22" t="str">
        <f>'New Generation'!D26</f>
        <v>LB</v>
      </c>
      <c r="E22" s="18" t="str">
        <f>'New Generation'!E26</f>
        <v>Kagiso</v>
      </c>
      <c r="F22" s="18" t="str">
        <f>'New Generation'!F26</f>
        <v>Khama Jr.</v>
      </c>
      <c r="G22" s="18" t="str">
        <f>'New Generation'!G26</f>
        <v>K. Khama Jr.</v>
      </c>
      <c r="H22" s="18" t="str">
        <f>'New Generation'!H26</f>
        <v>Kalahari Jr.</v>
      </c>
      <c r="I22" s="18">
        <f>'New Generation'!I26</f>
        <v>23</v>
      </c>
      <c r="J22" s="18">
        <f>'New Generation'!J26</f>
        <v>79</v>
      </c>
      <c r="K22" s="18">
        <f>'New Generation'!K26</f>
        <v>75</v>
      </c>
      <c r="L22" s="18">
        <f>'New Generation'!L26</f>
        <v>85</v>
      </c>
      <c r="M22" s="18">
        <f>'New Generation'!M26</f>
        <v>65.5</v>
      </c>
      <c r="N22" s="18">
        <f>'New Generation'!N26</f>
        <v>9</v>
      </c>
      <c r="O22" s="18">
        <f>'New Generation'!O26</f>
        <v>60</v>
      </c>
      <c r="U22" t="str">
        <f>'New Generation'!U26</f>
        <v>Botswana</v>
      </c>
      <c r="V22">
        <f>'New Generation'!V26</f>
        <v>18</v>
      </c>
      <c r="W22">
        <f>'New Generation'!W26</f>
        <v>72</v>
      </c>
      <c r="X22">
        <f>'New Generation'!X26</f>
        <v>28.75</v>
      </c>
      <c r="Y22">
        <f t="shared" si="12"/>
        <v>156</v>
      </c>
      <c r="Z22" t="str">
        <f>AB15</f>
        <v>Elephant Elites</v>
      </c>
    </row>
    <row r="23" spans="1:41" x14ac:dyDescent="0.25">
      <c r="A23" t="str">
        <f t="shared" si="11"/>
        <v>Sh83</v>
      </c>
      <c r="B23">
        <f>'New Generation'!B24</f>
        <v>49</v>
      </c>
      <c r="C23" t="str">
        <f>'New Generation'!C24</f>
        <v>Sharkfin Athletic</v>
      </c>
      <c r="D23" t="str">
        <f>'New Generation'!D24</f>
        <v>RB</v>
      </c>
      <c r="E23" s="18" t="str">
        <f>'New Generation'!E24</f>
        <v>William</v>
      </c>
      <c r="F23" s="18" t="str">
        <f>'New Generation'!F24</f>
        <v>Walker Jr.</v>
      </c>
      <c r="G23" s="18" t="str">
        <f>'New Generation'!G24</f>
        <v>W. Walker Jr.</v>
      </c>
      <c r="H23" s="18" t="str">
        <f>'New Generation'!H24</f>
        <v>Wave Jr.</v>
      </c>
      <c r="I23" s="18">
        <f>'New Generation'!I24</f>
        <v>63</v>
      </c>
      <c r="J23" s="18">
        <f>'New Generation'!J24</f>
        <v>65</v>
      </c>
      <c r="K23" s="18">
        <f>'New Generation'!K24</f>
        <v>48</v>
      </c>
      <c r="L23" s="18">
        <f>'New Generation'!L24</f>
        <v>79</v>
      </c>
      <c r="M23" s="18">
        <f>'New Generation'!M24</f>
        <v>63.75</v>
      </c>
      <c r="N23" s="18">
        <f>'New Generation'!N24</f>
        <v>72</v>
      </c>
      <c r="O23" s="18">
        <f>'New Generation'!O24</f>
        <v>50</v>
      </c>
      <c r="U23" t="str">
        <f>'New Generation'!U24</f>
        <v>Australia</v>
      </c>
      <c r="V23">
        <f>'New Generation'!V24</f>
        <v>18</v>
      </c>
      <c r="W23">
        <f>'New Generation'!W24</f>
        <v>70</v>
      </c>
      <c r="X23">
        <f>'New Generation'!X24</f>
        <v>26.875</v>
      </c>
      <c r="Y23">
        <f t="shared" si="12"/>
        <v>49</v>
      </c>
      <c r="Z23" t="str">
        <f>AB17</f>
        <v>Cobra Strike FC</v>
      </c>
    </row>
    <row r="24" spans="1:41" x14ac:dyDescent="0.25">
      <c r="A24" t="str">
        <f t="shared" si="11"/>
        <v>Ch67</v>
      </c>
      <c r="B24">
        <f>'New Generation'!B29</f>
        <v>171</v>
      </c>
      <c r="C24" t="str">
        <f>'New Generation'!C29</f>
        <v>Cheetah Chasers</v>
      </c>
      <c r="D24" t="str">
        <f>'New Generation'!D29</f>
        <v>CDM</v>
      </c>
      <c r="E24" s="18" t="str">
        <f>'New Generation'!E29</f>
        <v>Gitonga</v>
      </c>
      <c r="F24" s="18" t="str">
        <f>'New Generation'!F29</f>
        <v>Gachanja Jr.</v>
      </c>
      <c r="G24" s="18" t="str">
        <f>'New Generation'!G29</f>
        <v>G. Gachanja Jr.</v>
      </c>
      <c r="H24" s="18" t="str">
        <f>'New Generation'!H29</f>
        <v>Gazelle Jr.</v>
      </c>
      <c r="I24" s="18">
        <f>'New Generation'!I29</f>
        <v>105</v>
      </c>
      <c r="J24" s="18">
        <f>'New Generation'!J29</f>
        <v>49</v>
      </c>
      <c r="K24" s="18">
        <f>'New Generation'!K29</f>
        <v>32</v>
      </c>
      <c r="L24" s="18">
        <f>'New Generation'!L29</f>
        <v>35</v>
      </c>
      <c r="M24" s="18">
        <f>'New Generation'!M29</f>
        <v>55.25</v>
      </c>
      <c r="N24" s="18">
        <f>'New Generation'!N29</f>
        <v>98</v>
      </c>
      <c r="O24" s="18">
        <f>'New Generation'!O29</f>
        <v>17</v>
      </c>
      <c r="U24" t="str">
        <f>'New Generation'!U29</f>
        <v>Kenya</v>
      </c>
      <c r="V24">
        <f>'New Generation'!V29</f>
        <v>18</v>
      </c>
      <c r="W24">
        <f>'New Generation'!W29</f>
        <v>70</v>
      </c>
      <c r="X24">
        <f>'New Generation'!X29</f>
        <v>22.625</v>
      </c>
      <c r="Y24">
        <f t="shared" si="12"/>
        <v>171</v>
      </c>
      <c r="Z24" t="str">
        <f>AB19</f>
        <v>Raven Raiders</v>
      </c>
    </row>
    <row r="25" spans="1:41" x14ac:dyDescent="0.25">
      <c r="A25" t="str">
        <f t="shared" si="11"/>
        <v>Ch67</v>
      </c>
      <c r="B25">
        <f>'New Generation'!B28</f>
        <v>169</v>
      </c>
      <c r="C25" t="str">
        <f>'New Generation'!C28</f>
        <v>Cheetah Chasers</v>
      </c>
      <c r="D25" t="str">
        <f>'New Generation'!D28</f>
        <v>CB</v>
      </c>
      <c r="E25" s="18" t="str">
        <f>'New Generation'!E28</f>
        <v>Kibet</v>
      </c>
      <c r="F25" s="18" t="str">
        <f>'New Generation'!F28</f>
        <v>Korir Jr.</v>
      </c>
      <c r="G25" s="18" t="str">
        <f>'New Generation'!G28</f>
        <v>K. Korir Jr.</v>
      </c>
      <c r="H25" s="18" t="str">
        <f>'New Generation'!H28</f>
        <v>Kasi Jr.</v>
      </c>
      <c r="I25" s="18">
        <f>'New Generation'!I28</f>
        <v>88</v>
      </c>
      <c r="J25" s="18">
        <f>'New Generation'!J28</f>
        <v>42</v>
      </c>
      <c r="K25" s="18">
        <f>'New Generation'!K28</f>
        <v>53</v>
      </c>
      <c r="L25" s="18">
        <f>'New Generation'!L28</f>
        <v>19</v>
      </c>
      <c r="M25" s="18">
        <f>'New Generation'!M28</f>
        <v>50.5</v>
      </c>
      <c r="N25" s="18">
        <f>'New Generation'!N28</f>
        <v>86</v>
      </c>
      <c r="O25" s="18">
        <f>'New Generation'!O28</f>
        <v>37</v>
      </c>
      <c r="U25" t="str">
        <f>'New Generation'!U28</f>
        <v>Kenya</v>
      </c>
      <c r="V25">
        <f>'New Generation'!V28</f>
        <v>18</v>
      </c>
      <c r="W25">
        <f>'New Generation'!W28</f>
        <v>66</v>
      </c>
      <c r="X25">
        <f>'New Generation'!X28</f>
        <v>18.25</v>
      </c>
      <c r="Y25">
        <f t="shared" si="12"/>
        <v>169</v>
      </c>
      <c r="Z25" t="str">
        <f>AB21</f>
        <v>Buffalo Battlers</v>
      </c>
    </row>
    <row r="26" spans="1:41" x14ac:dyDescent="0.25">
      <c r="A26" t="str">
        <f t="shared" si="11"/>
        <v>Fa70</v>
      </c>
      <c r="B26">
        <f>'New Generation'!B23</f>
        <v>35</v>
      </c>
      <c r="C26" t="str">
        <f>'New Generation'!C23</f>
        <v>Falcon Flyers</v>
      </c>
      <c r="D26" t="str">
        <f>'New Generation'!D23</f>
        <v>LB</v>
      </c>
      <c r="E26" s="18" t="str">
        <f>'New Generation'!E23</f>
        <v>Lucas</v>
      </c>
      <c r="F26" s="18" t="str">
        <f>'New Generation'!F23</f>
        <v>López Jr.</v>
      </c>
      <c r="G26" s="18" t="str">
        <f>'New Generation'!G23</f>
        <v>L. López Jr.</v>
      </c>
      <c r="H26" s="18" t="str">
        <f>'New Generation'!H23</f>
        <v>Lince Jr.</v>
      </c>
      <c r="I26" s="18">
        <f>'New Generation'!I23</f>
        <v>89</v>
      </c>
      <c r="J26" s="18">
        <f>'New Generation'!J23</f>
        <v>52</v>
      </c>
      <c r="K26" s="18">
        <f>'New Generation'!K23</f>
        <v>41</v>
      </c>
      <c r="L26" s="18">
        <f>'New Generation'!L23</f>
        <v>-5</v>
      </c>
      <c r="M26" s="18">
        <f>'New Generation'!M23</f>
        <v>44.25</v>
      </c>
      <c r="N26" s="18">
        <f>'New Generation'!N23</f>
        <v>98</v>
      </c>
      <c r="O26" s="18">
        <f>'New Generation'!O23</f>
        <v>78</v>
      </c>
      <c r="U26" t="str">
        <f>'New Generation'!U23</f>
        <v>Chile</v>
      </c>
      <c r="V26">
        <f>'New Generation'!V23</f>
        <v>18</v>
      </c>
      <c r="W26">
        <f>'New Generation'!W23</f>
        <v>64</v>
      </c>
      <c r="X26">
        <f>'New Generation'!X23</f>
        <v>14.125</v>
      </c>
      <c r="Y26">
        <f t="shared" si="12"/>
        <v>35</v>
      </c>
      <c r="Z26" t="str">
        <f>AB6</f>
        <v>Lionheart Rovers</v>
      </c>
    </row>
    <row r="27" spans="1:41" x14ac:dyDescent="0.25">
      <c r="A27" t="str">
        <f t="shared" si="11"/>
        <v>Co67</v>
      </c>
      <c r="B27">
        <f>'New Generation'!B22</f>
        <v>24</v>
      </c>
      <c r="C27" t="str">
        <f>'New Generation'!C22</f>
        <v>Cobra Strike FC</v>
      </c>
      <c r="D27" t="str">
        <f>'New Generation'!D22</f>
        <v>LB</v>
      </c>
      <c r="E27" s="18" t="str">
        <f>'New Generation'!E22</f>
        <v>Rohan</v>
      </c>
      <c r="F27" s="18" t="str">
        <f>'New Generation'!F22</f>
        <v>Gupta Jr.</v>
      </c>
      <c r="G27" s="18" t="str">
        <f>'New Generation'!G22</f>
        <v>R. Gupta Jr.</v>
      </c>
      <c r="H27" s="18" t="str">
        <f>'New Generation'!H22</f>
        <v>Raj Jr.</v>
      </c>
      <c r="I27" s="18">
        <f>'New Generation'!I22</f>
        <v>80</v>
      </c>
      <c r="J27" s="18">
        <f>'New Generation'!J22</f>
        <v>38</v>
      </c>
      <c r="K27" s="18">
        <f>'New Generation'!K22</f>
        <v>29</v>
      </c>
      <c r="L27" s="18">
        <f>'New Generation'!L22</f>
        <v>45</v>
      </c>
      <c r="M27" s="18">
        <f>'New Generation'!M22</f>
        <v>48</v>
      </c>
      <c r="N27" s="18">
        <f>'New Generation'!N22</f>
        <v>84</v>
      </c>
      <c r="O27" s="18">
        <f>'New Generation'!O22</f>
        <v>113</v>
      </c>
      <c r="U27" t="str">
        <f>'New Generation'!U22</f>
        <v>Indian</v>
      </c>
      <c r="V27">
        <f>'New Generation'!V22</f>
        <v>18</v>
      </c>
      <c r="W27">
        <f>'New Generation'!W22</f>
        <v>53</v>
      </c>
      <c r="X27">
        <f>'New Generation'!X22</f>
        <v>10.5</v>
      </c>
      <c r="Y27">
        <f t="shared" si="12"/>
        <v>24</v>
      </c>
      <c r="Z27" t="str">
        <f>AB7</f>
        <v>Jaguar Juggernauts</v>
      </c>
    </row>
    <row r="28" spans="1:41" x14ac:dyDescent="0.25">
      <c r="A28" t="str">
        <f t="shared" si="11"/>
        <v>Bu66</v>
      </c>
      <c r="B28">
        <f>'New Generation'!B31</f>
        <v>206</v>
      </c>
      <c r="C28" t="str">
        <f>'New Generation'!C31</f>
        <v>Buffalo Battlers</v>
      </c>
      <c r="D28" t="str">
        <f>'New Generation'!D31</f>
        <v>CAM</v>
      </c>
      <c r="E28" s="18" t="str">
        <f>'New Generation'!E31</f>
        <v>Rashid</v>
      </c>
      <c r="F28" s="18" t="str">
        <f>'New Generation'!F31</f>
        <v>Rahman Jr.</v>
      </c>
      <c r="G28" s="18" t="str">
        <f>'New Generation'!G31</f>
        <v>R. Rahman Jr.</v>
      </c>
      <c r="H28" s="18" t="str">
        <f>'New Generation'!H31</f>
        <v>Raees Jr.</v>
      </c>
      <c r="I28" s="18">
        <f>'New Generation'!I31</f>
        <v>0</v>
      </c>
      <c r="J28" s="18">
        <f>'New Generation'!J31</f>
        <v>19</v>
      </c>
      <c r="K28" s="18">
        <f>'New Generation'!K31</f>
        <v>22</v>
      </c>
      <c r="L28" s="18">
        <f>'New Generation'!L31</f>
        <v>70</v>
      </c>
      <c r="M28" s="18">
        <f>'New Generation'!M31</f>
        <v>27.75</v>
      </c>
      <c r="N28" s="18">
        <f>'New Generation'!N31</f>
        <v>42</v>
      </c>
      <c r="O28" s="18">
        <f>'New Generation'!O31</f>
        <v>81</v>
      </c>
      <c r="U28" t="str">
        <f>'New Generation'!U31</f>
        <v>Pakistan</v>
      </c>
      <c r="V28">
        <f>'New Generation'!V31</f>
        <v>18</v>
      </c>
      <c r="W28">
        <f>'New Generation'!W31</f>
        <v>57</v>
      </c>
      <c r="X28">
        <f>'New Generation'!X31</f>
        <v>2.375</v>
      </c>
      <c r="Y28">
        <f t="shared" si="12"/>
        <v>206</v>
      </c>
      <c r="Z28" t="str">
        <f>AB15</f>
        <v>Elephant Elites</v>
      </c>
    </row>
  </sheetData>
  <autoFilter ref="A16:Y28" xr:uid="{FDA4F116-B95A-40A1-9538-42B03B3342A9}">
    <sortState xmlns:xlrd2="http://schemas.microsoft.com/office/spreadsheetml/2017/richdata2" ref="A17:Y28">
      <sortCondition descending="1" ref="X16:X28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C1E85-1E72-4335-B732-5E6A2DF01B80}">
  <sheetPr>
    <tabColor rgb="FFFFC000"/>
  </sheetPr>
  <dimension ref="A1:D21"/>
  <sheetViews>
    <sheetView workbookViewId="0">
      <selection activeCell="D2" sqref="D2"/>
    </sheetView>
  </sheetViews>
  <sheetFormatPr defaultRowHeight="15" x14ac:dyDescent="0.25"/>
  <sheetData>
    <row r="1" spans="1:4" x14ac:dyDescent="0.25">
      <c r="A1" t="s">
        <v>1359</v>
      </c>
      <c r="B1" t="s">
        <v>0</v>
      </c>
    </row>
    <row r="2" spans="1:4" x14ac:dyDescent="0.25">
      <c r="A2">
        <v>1</v>
      </c>
      <c r="B2" t="s">
        <v>29</v>
      </c>
      <c r="C2" t="str">
        <f>_xlfn.CONCAT(LEFT(B2,2),CODE(B2))</f>
        <v>Wo87</v>
      </c>
      <c r="D2">
        <f>'Season 1 - Offseason'!AO2</f>
        <v>80</v>
      </c>
    </row>
    <row r="3" spans="1:4" x14ac:dyDescent="0.25">
      <c r="A3">
        <v>2</v>
      </c>
      <c r="B3" t="s">
        <v>27</v>
      </c>
      <c r="C3" t="str">
        <f>_xlfn.CONCAT(LEFT(B3,2),CODE(B3))</f>
        <v>Pa80</v>
      </c>
      <c r="D3">
        <f>'Season 1 - Offseason'!AO3</f>
        <v>77</v>
      </c>
    </row>
    <row r="4" spans="1:4" x14ac:dyDescent="0.25">
      <c r="A4">
        <v>3</v>
      </c>
      <c r="B4" t="s">
        <v>31</v>
      </c>
      <c r="C4" t="str">
        <f>_xlfn.CONCAT(LEFT(B4,2),CODE(B4))</f>
        <v>Ti84</v>
      </c>
      <c r="D4">
        <f>'Season 1 - Offseason'!AO4</f>
        <v>74</v>
      </c>
    </row>
    <row r="5" spans="1:4" x14ac:dyDescent="0.25">
      <c r="A5">
        <v>4</v>
      </c>
      <c r="B5" t="s">
        <v>38</v>
      </c>
      <c r="C5" t="str">
        <f>_xlfn.CONCAT(LEFT(B5,2),CODE(B5))</f>
        <v>Ch67</v>
      </c>
      <c r="D5">
        <f>'Season 1 - Offseason'!AO5</f>
        <v>-3.875</v>
      </c>
    </row>
    <row r="6" spans="1:4" x14ac:dyDescent="0.25">
      <c r="A6">
        <v>5</v>
      </c>
      <c r="B6" t="s">
        <v>23</v>
      </c>
      <c r="C6" t="str">
        <f>_xlfn.CONCAT(LEFT(B6,2),CODE(B6))</f>
        <v>Li76</v>
      </c>
      <c r="D6">
        <f>'Season 1 - Offseason'!AO6</f>
        <v>7.5</v>
      </c>
    </row>
    <row r="7" spans="1:4" x14ac:dyDescent="0.25">
      <c r="A7">
        <v>6</v>
      </c>
      <c r="B7" t="s">
        <v>36</v>
      </c>
      <c r="C7" t="str">
        <f>_xlfn.CONCAT(LEFT(B7,2),CODE(B7))</f>
        <v>Ja74</v>
      </c>
      <c r="D7">
        <f>'Season 1 - Offseason'!AO7</f>
        <v>65</v>
      </c>
    </row>
    <row r="8" spans="1:4" x14ac:dyDescent="0.25">
      <c r="A8">
        <v>7</v>
      </c>
      <c r="B8" t="s">
        <v>28</v>
      </c>
      <c r="C8" t="str">
        <f>_xlfn.CONCAT(LEFT(B8,2),CODE(B8))</f>
        <v>Sh83</v>
      </c>
      <c r="D8">
        <f>'Season 1 - Offseason'!AO8</f>
        <v>9.125</v>
      </c>
    </row>
    <row r="9" spans="1:4" x14ac:dyDescent="0.25">
      <c r="A9">
        <v>8</v>
      </c>
      <c r="B9" t="s">
        <v>33</v>
      </c>
      <c r="C9" t="str">
        <f>_xlfn.CONCAT(LEFT(B9,2),CODE(B9))</f>
        <v>Ha72</v>
      </c>
      <c r="D9">
        <f>'Season 1 - Offseason'!AO9</f>
        <v>11</v>
      </c>
    </row>
    <row r="10" spans="1:4" x14ac:dyDescent="0.25">
      <c r="A10">
        <v>9</v>
      </c>
      <c r="B10" t="s">
        <v>42</v>
      </c>
      <c r="C10" t="str">
        <f>_xlfn.CONCAT(LEFT(B10,2),CODE(B10))</f>
        <v>Go71</v>
      </c>
      <c r="D10">
        <f>'Season 1 - Offseason'!AO10</f>
        <v>56</v>
      </c>
    </row>
    <row r="11" spans="1:4" x14ac:dyDescent="0.25">
      <c r="A11">
        <v>10</v>
      </c>
      <c r="B11" t="s">
        <v>34</v>
      </c>
      <c r="C11" t="str">
        <f>_xlfn.CONCAT(LEFT(B11,2),CODE(B11))</f>
        <v>Py80</v>
      </c>
      <c r="D11">
        <f>'Season 1 - Offseason'!AO11</f>
        <v>53</v>
      </c>
    </row>
    <row r="12" spans="1:4" x14ac:dyDescent="0.25">
      <c r="A12">
        <v>11</v>
      </c>
      <c r="B12" t="s">
        <v>26</v>
      </c>
      <c r="C12" t="str">
        <f>_xlfn.CONCAT(LEFT(B12,2),CODE(B12))</f>
        <v>Fa70</v>
      </c>
      <c r="D12">
        <f>'Season 1 - Offseason'!AO12</f>
        <v>11.875</v>
      </c>
    </row>
    <row r="13" spans="1:4" x14ac:dyDescent="0.25">
      <c r="A13">
        <v>12</v>
      </c>
      <c r="B13" t="s">
        <v>35</v>
      </c>
      <c r="C13" t="str">
        <f>_xlfn.CONCAT(LEFT(B13,2),CODE(B13))</f>
        <v>Do68</v>
      </c>
      <c r="D13">
        <f>'Season 1 - Offseason'!AO13</f>
        <v>47</v>
      </c>
    </row>
    <row r="14" spans="1:4" x14ac:dyDescent="0.25">
      <c r="A14">
        <v>13</v>
      </c>
      <c r="B14" t="s">
        <v>40</v>
      </c>
      <c r="C14" t="str">
        <f>_xlfn.CONCAT(LEFT(B14,2),CODE(B14))</f>
        <v>St83</v>
      </c>
      <c r="D14">
        <f>'Season 1 - Offseason'!AO14</f>
        <v>44</v>
      </c>
    </row>
    <row r="15" spans="1:4" x14ac:dyDescent="0.25">
      <c r="A15">
        <v>14</v>
      </c>
      <c r="B15" t="s">
        <v>37</v>
      </c>
      <c r="C15" t="str">
        <f>_xlfn.CONCAT(LEFT(B15,2),CODE(B15))</f>
        <v>El69</v>
      </c>
      <c r="D15">
        <f>'Season 1 - Offseason'!AO15</f>
        <v>1.75</v>
      </c>
    </row>
    <row r="16" spans="1:4" x14ac:dyDescent="0.25">
      <c r="A16">
        <v>15</v>
      </c>
      <c r="B16" t="s">
        <v>21</v>
      </c>
      <c r="C16" t="str">
        <f>_xlfn.CONCAT(LEFT(B16,2),CODE(B16))</f>
        <v>Ea69</v>
      </c>
      <c r="D16">
        <f>'Season 1 - Offseason'!AO16</f>
        <v>38</v>
      </c>
    </row>
    <row r="17" spans="1:4" x14ac:dyDescent="0.25">
      <c r="A17">
        <v>16</v>
      </c>
      <c r="B17" t="s">
        <v>25</v>
      </c>
      <c r="C17" t="str">
        <f>_xlfn.CONCAT(LEFT(B17,2),CODE(B17))</f>
        <v>Co67</v>
      </c>
      <c r="D17">
        <f>'Season 1 - Offseason'!AO17</f>
        <v>8.125</v>
      </c>
    </row>
    <row r="18" spans="1:4" x14ac:dyDescent="0.25">
      <c r="A18">
        <v>17</v>
      </c>
      <c r="B18" t="s">
        <v>32</v>
      </c>
      <c r="C18" t="str">
        <f>_xlfn.CONCAT(LEFT(B18,2),CODE(B18))</f>
        <v>Be66</v>
      </c>
      <c r="D18">
        <f>'Season 1 - Offseason'!AO18</f>
        <v>32</v>
      </c>
    </row>
    <row r="19" spans="1:4" x14ac:dyDescent="0.25">
      <c r="A19">
        <v>18</v>
      </c>
      <c r="B19" t="s">
        <v>39</v>
      </c>
      <c r="C19" t="str">
        <f>_xlfn.CONCAT(LEFT(B19,2),CODE(B19))</f>
        <v>Ra82</v>
      </c>
      <c r="D19">
        <f>'Season 1 - Offseason'!AO19</f>
        <v>6.375</v>
      </c>
    </row>
    <row r="20" spans="1:4" x14ac:dyDescent="0.25">
      <c r="A20">
        <v>19</v>
      </c>
      <c r="B20" t="s">
        <v>30</v>
      </c>
      <c r="C20" t="str">
        <f>_xlfn.CONCAT(LEFT(B20,2),CODE(B20))</f>
        <v>Rh82</v>
      </c>
      <c r="D20">
        <f>'Season 1 - Offseason'!AO20</f>
        <v>26</v>
      </c>
    </row>
    <row r="21" spans="1:4" x14ac:dyDescent="0.25">
      <c r="A21">
        <v>20</v>
      </c>
      <c r="B21" t="s">
        <v>41</v>
      </c>
      <c r="C21" t="str">
        <f>_xlfn.CONCAT(LEFT(B21,2),CODE(B21))</f>
        <v>Bu66</v>
      </c>
      <c r="D21">
        <f>'Season 1 - Offseason'!AO21</f>
        <v>4.75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6FB11-8AFB-488F-B772-F60CAAA2162C}">
  <sheetPr codeName="Sheet5">
    <tabColor theme="6"/>
  </sheetPr>
  <dimension ref="A1:V54"/>
  <sheetViews>
    <sheetView workbookViewId="0">
      <selection activeCell="U21" sqref="U21"/>
    </sheetView>
  </sheetViews>
  <sheetFormatPr defaultRowHeight="15" x14ac:dyDescent="0.25"/>
  <cols>
    <col min="1" max="1" width="14.7109375" customWidth="1"/>
    <col min="2" max="2" width="12.140625" customWidth="1"/>
    <col min="3" max="3" width="13" customWidth="1"/>
    <col min="4" max="4" width="14.7109375" customWidth="1"/>
    <col min="5" max="5" width="11" customWidth="1"/>
    <col min="6" max="7" width="10.5703125" bestFit="1" customWidth="1"/>
    <col min="8" max="8" width="11.7109375" customWidth="1"/>
    <col min="9" max="9" width="12.28515625" customWidth="1"/>
    <col min="10" max="10" width="10.28515625" customWidth="1"/>
    <col min="12" max="12" width="9" customWidth="1"/>
    <col min="15" max="15" width="10.28515625" customWidth="1"/>
    <col min="16" max="16" width="17.28515625" customWidth="1"/>
    <col min="21" max="21" width="12.5703125" bestFit="1" customWidth="1"/>
  </cols>
  <sheetData>
    <row r="1" spans="1:22" x14ac:dyDescent="0.25">
      <c r="A1" s="3" t="s">
        <v>19</v>
      </c>
      <c r="B1" s="6" t="s">
        <v>21</v>
      </c>
    </row>
    <row r="2" spans="1:22" x14ac:dyDescent="0.25">
      <c r="A2" s="3" t="s">
        <v>20</v>
      </c>
      <c r="B2" s="6" t="s">
        <v>389</v>
      </c>
    </row>
    <row r="3" spans="1:22" x14ac:dyDescent="0.25">
      <c r="A3" s="3" t="s">
        <v>138</v>
      </c>
      <c r="B3" s="6" t="str">
        <f>VLOOKUP(B1,STATS!L1:AA21,16,FALSE)</f>
        <v>USA</v>
      </c>
    </row>
    <row r="4" spans="1:22" x14ac:dyDescent="0.25">
      <c r="A4" s="3" t="s">
        <v>22</v>
      </c>
      <c r="B4" s="1">
        <f>((B20+C20)/2)*((D20+50)/100)</f>
        <v>74.295921212121215</v>
      </c>
      <c r="F4">
        <f>VLOOKUP($B$1,STATS!$L$1:$Q$21,3,FALSE)</f>
        <v>80</v>
      </c>
      <c r="G4">
        <f>VLOOKUP($B$1,STATS!$L$1:$Q$21,4,FALSE)</f>
        <v>75</v>
      </c>
      <c r="H4">
        <f>VLOOKUP($B$1,STATS!$L$1:$Q$21,5,FALSE)</f>
        <v>25</v>
      </c>
      <c r="I4">
        <f>VLOOKUP($B$1,STATS!$L$1:$Q$21,6,FALSE)</f>
        <v>85</v>
      </c>
      <c r="K4">
        <v>90</v>
      </c>
      <c r="L4">
        <v>25</v>
      </c>
    </row>
    <row r="5" spans="1:22" x14ac:dyDescent="0.25">
      <c r="F5" s="1">
        <f t="shared" ref="F5:O5" si="0">AVERAGE(F7:F17)</f>
        <v>81.272727272727266</v>
      </c>
      <c r="G5" s="1">
        <f t="shared" si="0"/>
        <v>73.909090909090907</v>
      </c>
      <c r="H5" s="1">
        <f t="shared" si="0"/>
        <v>22.09090909090909</v>
      </c>
      <c r="I5" s="1">
        <f>AVERAGE(I7:I17)</f>
        <v>83.909090909090907</v>
      </c>
      <c r="J5" s="1">
        <f t="shared" si="0"/>
        <v>65.295454545454547</v>
      </c>
      <c r="K5" s="1">
        <f t="shared" si="0"/>
        <v>89.181818181818187</v>
      </c>
      <c r="L5" s="1">
        <f t="shared" si="0"/>
        <v>23.90909090909091</v>
      </c>
      <c r="M5" s="1">
        <f t="shared" si="0"/>
        <v>44.604090909090907</v>
      </c>
      <c r="N5" s="1">
        <f t="shared" si="0"/>
        <v>46.342272727272736</v>
      </c>
      <c r="O5" s="1">
        <f t="shared" si="0"/>
        <v>68.645454545454541</v>
      </c>
      <c r="P5" s="1"/>
      <c r="Q5" s="1"/>
    </row>
    <row r="6" spans="1:22" x14ac:dyDescent="0.25">
      <c r="A6" s="3" t="s">
        <v>7</v>
      </c>
      <c r="B6" s="3" t="s">
        <v>8</v>
      </c>
      <c r="C6" s="3" t="s">
        <v>9</v>
      </c>
      <c r="D6" s="3" t="s">
        <v>44</v>
      </c>
      <c r="E6" s="3" t="s">
        <v>50</v>
      </c>
      <c r="F6" s="3" t="s">
        <v>17</v>
      </c>
      <c r="G6" s="3" t="s">
        <v>14</v>
      </c>
      <c r="H6" s="3" t="s">
        <v>15</v>
      </c>
      <c r="I6" s="3" t="s">
        <v>16</v>
      </c>
      <c r="J6" s="3" t="s">
        <v>48</v>
      </c>
      <c r="K6" s="3" t="s">
        <v>3</v>
      </c>
      <c r="L6" s="3" t="s">
        <v>10</v>
      </c>
      <c r="M6" s="3" t="s">
        <v>1</v>
      </c>
      <c r="N6" s="3" t="s">
        <v>12</v>
      </c>
      <c r="O6" s="3" t="s">
        <v>4</v>
      </c>
      <c r="P6" s="3" t="s">
        <v>49</v>
      </c>
      <c r="Q6" s="3" t="s">
        <v>47</v>
      </c>
      <c r="R6" s="3" t="s">
        <v>138</v>
      </c>
      <c r="S6" s="3" t="s">
        <v>1354</v>
      </c>
      <c r="T6" s="3" t="s">
        <v>1355</v>
      </c>
      <c r="U6" s="3" t="s">
        <v>1356</v>
      </c>
      <c r="V6" s="3" t="s">
        <v>13</v>
      </c>
    </row>
    <row r="7" spans="1:22" x14ac:dyDescent="0.25">
      <c r="A7" s="8" t="str">
        <f>'All Players'!C4</f>
        <v>GK</v>
      </c>
      <c r="B7" s="8" t="str">
        <f>'All Players'!D4</f>
        <v>Tyler</v>
      </c>
      <c r="C7" s="8" t="str">
        <f>'All Players'!E4</f>
        <v>Johnson</v>
      </c>
      <c r="D7" s="8" t="str">
        <f>'All Players'!F4</f>
        <v>T. Johnson</v>
      </c>
      <c r="E7" s="8" t="str">
        <f>'All Players'!G4</f>
        <v>Talon</v>
      </c>
      <c r="F7" s="8">
        <f>'All Players'!H4</f>
        <v>87</v>
      </c>
      <c r="G7" s="8">
        <f>'All Players'!I4</f>
        <v>81</v>
      </c>
      <c r="H7" s="8">
        <f>'All Players'!J4</f>
        <v>15</v>
      </c>
      <c r="I7" s="8">
        <f>'All Players'!K4</f>
        <v>79</v>
      </c>
      <c r="J7" s="5">
        <f t="shared" ref="J7:J17" si="1">AVERAGE(F7:I7)</f>
        <v>65.5</v>
      </c>
      <c r="K7" s="8">
        <f>'All Players'!M4</f>
        <v>91</v>
      </c>
      <c r="L7" s="8">
        <f>'All Players'!N4</f>
        <v>24</v>
      </c>
      <c r="M7" s="4">
        <f>AVERAGE(F7:I7)*0</f>
        <v>0</v>
      </c>
      <c r="N7" s="5">
        <f>O7</f>
        <v>76.5</v>
      </c>
      <c r="O7" s="11">
        <f>F7*Formuals!B2+G7*Formuals!C2+H7*Formuals!D2+I7*Formuals!E2</f>
        <v>76.5</v>
      </c>
      <c r="P7" s="10">
        <f>((M7/SUM($M$7:$M$17)))</f>
        <v>0</v>
      </c>
      <c r="Q7" s="10">
        <f t="shared" ref="Q7:Q17" si="2">((M7/100)*(L7/100))*3</f>
        <v>0</v>
      </c>
      <c r="R7" t="s">
        <v>143</v>
      </c>
      <c r="S7">
        <v>32</v>
      </c>
      <c r="T7">
        <v>80</v>
      </c>
      <c r="U7" s="49">
        <f t="shared" ref="U7:U17" si="3">IF((O7*0.5)+((T7*0.5)-((S7-18)*0.1))-40&lt;0,"0",(O7*0.5)+((T7*0.5)-((S7-18)*0.1))-40)</f>
        <v>36.849999999999994</v>
      </c>
      <c r="V7" s="6" t="str">
        <f>A24</f>
        <v>His sharp reflexes and commanding presence in goal are as keen as an eagle's talons.</v>
      </c>
    </row>
    <row r="8" spans="1:22" x14ac:dyDescent="0.25">
      <c r="A8" s="8" t="str">
        <f>'All Players'!C5</f>
        <v>LB</v>
      </c>
      <c r="B8" s="8" t="str">
        <f>'All Players'!D5</f>
        <v>Ethan</v>
      </c>
      <c r="C8" s="8" t="str">
        <f>'All Players'!E5</f>
        <v>Miller</v>
      </c>
      <c r="D8" s="8" t="str">
        <f>'All Players'!F5</f>
        <v>E. Miller</v>
      </c>
      <c r="E8" s="8" t="str">
        <f>'All Players'!G5</f>
        <v>Eagle Eye</v>
      </c>
      <c r="F8" s="8">
        <f>'All Players'!H5</f>
        <v>75</v>
      </c>
      <c r="G8" s="8">
        <f>'All Players'!I5</f>
        <v>64</v>
      </c>
      <c r="H8" s="8">
        <f>'All Players'!J5</f>
        <v>12</v>
      </c>
      <c r="I8" s="8">
        <f>'All Players'!K5</f>
        <v>84</v>
      </c>
      <c r="J8" s="5">
        <f t="shared" si="1"/>
        <v>58.75</v>
      </c>
      <c r="K8" s="8">
        <f>'All Players'!M5</f>
        <v>94</v>
      </c>
      <c r="L8" s="8">
        <f>'All Players'!N5</f>
        <v>35</v>
      </c>
      <c r="M8" s="5">
        <f>0.4*O8</f>
        <v>21.380000000000003</v>
      </c>
      <c r="N8" s="5">
        <f>0.9*O8</f>
        <v>48.105000000000004</v>
      </c>
      <c r="O8" s="11">
        <f>F8*Formuals!B3+G8*Formuals!C3+H8*Formuals!D3+I8*Formuals!E3</f>
        <v>53.45</v>
      </c>
      <c r="P8" s="10">
        <f t="shared" ref="P8:P10" si="4">((M8/SUM($M$7:$M$17)))*0.67</f>
        <v>2.9195446809811582E-2</v>
      </c>
      <c r="Q8" s="10">
        <f t="shared" si="2"/>
        <v>0.22449000000000002</v>
      </c>
      <c r="R8" t="s">
        <v>143</v>
      </c>
      <c r="S8">
        <v>18</v>
      </c>
      <c r="T8">
        <v>63</v>
      </c>
      <c r="U8" s="49">
        <f t="shared" si="3"/>
        <v>18.225000000000001</v>
      </c>
      <c r="V8" s="6" t="str">
        <f>A27</f>
        <v>Known for his exceptional vision on the field and precision in interceptions.</v>
      </c>
    </row>
    <row r="9" spans="1:22" x14ac:dyDescent="0.25">
      <c r="A9" s="8" t="str">
        <f>'All Players'!C6</f>
        <v>CB</v>
      </c>
      <c r="B9" s="8" t="str">
        <f>'All Players'!D6</f>
        <v>Michael</v>
      </c>
      <c r="C9" s="8" t="str">
        <f>'All Players'!E6</f>
        <v>Anderson</v>
      </c>
      <c r="D9" s="8" t="str">
        <f>'All Players'!F6</f>
        <v>M. Anderson</v>
      </c>
      <c r="E9" s="8" t="str">
        <f>'All Players'!G6</f>
        <v>Mighty</v>
      </c>
      <c r="F9" s="8">
        <f>'All Players'!H6</f>
        <v>72</v>
      </c>
      <c r="G9" s="8">
        <f>'All Players'!I6</f>
        <v>76</v>
      </c>
      <c r="H9" s="8">
        <f>'All Players'!J6</f>
        <v>28</v>
      </c>
      <c r="I9" s="8">
        <f>'All Players'!K6</f>
        <v>87</v>
      </c>
      <c r="J9" s="5">
        <f t="shared" si="1"/>
        <v>65.75</v>
      </c>
      <c r="K9" s="8">
        <f>'All Players'!M6</f>
        <v>84</v>
      </c>
      <c r="L9" s="8">
        <f>'All Players'!N6</f>
        <v>34</v>
      </c>
      <c r="M9" s="5">
        <f>O9*0.3</f>
        <v>14.864999999999998</v>
      </c>
      <c r="N9" s="5">
        <f>O9</f>
        <v>49.55</v>
      </c>
      <c r="O9" s="11">
        <f>F9*Formuals!B4+G9*Formuals!C4+H9*Formuals!D4+I9*Formuals!E4</f>
        <v>49.55</v>
      </c>
      <c r="P9" s="10">
        <f t="shared" si="4"/>
        <v>2.0298892274455051E-2</v>
      </c>
      <c r="Q9" s="10">
        <f t="shared" si="2"/>
        <v>0.15162299999999998</v>
      </c>
      <c r="R9" t="s">
        <v>143</v>
      </c>
      <c r="S9">
        <v>28</v>
      </c>
      <c r="T9">
        <v>59</v>
      </c>
      <c r="U9" s="49">
        <f t="shared" si="3"/>
        <v>13.274999999999999</v>
      </c>
      <c r="V9" s="6" t="str">
        <f>A30</f>
        <v>Strong and dependable, he's the stalwart of the team's defense.</v>
      </c>
    </row>
    <row r="10" spans="1:22" x14ac:dyDescent="0.25">
      <c r="A10" s="8" t="str">
        <f>'All Players'!C7</f>
        <v>CB</v>
      </c>
      <c r="B10" s="8" t="str">
        <f>'All Players'!D7</f>
        <v>Brandon</v>
      </c>
      <c r="C10" s="8" t="str">
        <f>'All Players'!E7</f>
        <v>Baker</v>
      </c>
      <c r="D10" s="8" t="str">
        <f>'All Players'!F7</f>
        <v>B. Baker</v>
      </c>
      <c r="E10" s="8" t="str">
        <f>'All Players'!G7</f>
        <v>Brave</v>
      </c>
      <c r="F10" s="8">
        <f>'All Players'!H7</f>
        <v>65</v>
      </c>
      <c r="G10" s="8">
        <f>'All Players'!I7</f>
        <v>42</v>
      </c>
      <c r="H10" s="8">
        <f>'All Players'!J7</f>
        <v>55</v>
      </c>
      <c r="I10" s="8">
        <f>'All Players'!K7</f>
        <v>67</v>
      </c>
      <c r="J10" s="5">
        <f t="shared" si="1"/>
        <v>57.25</v>
      </c>
      <c r="K10" s="8">
        <f>'All Players'!M7</f>
        <v>81</v>
      </c>
      <c r="L10" s="8">
        <f>'All Players'!N7</f>
        <v>19</v>
      </c>
      <c r="M10" s="5">
        <f>O10*0.3</f>
        <v>16.829999999999998</v>
      </c>
      <c r="N10" s="5">
        <f>O10</f>
        <v>56.099999999999994</v>
      </c>
      <c r="O10" s="11">
        <f>F10*Formuals!B5+G10*Formuals!C5+H10*Formuals!D5+I10*Formuals!E5</f>
        <v>56.099999999999994</v>
      </c>
      <c r="P10" s="10">
        <f t="shared" si="4"/>
        <v>2.2982196904075249E-2</v>
      </c>
      <c r="Q10" s="10">
        <f t="shared" si="2"/>
        <v>9.5930999999999989E-2</v>
      </c>
      <c r="R10" t="s">
        <v>143</v>
      </c>
      <c r="S10">
        <v>30</v>
      </c>
      <c r="T10">
        <v>60</v>
      </c>
      <c r="U10" s="49">
        <f t="shared" si="3"/>
        <v>16.849999999999994</v>
      </c>
      <c r="V10" s="6" t="str">
        <f>A33</f>
        <v>Courageous and unyielding, his bravery in defense is critical to the team's success.</v>
      </c>
    </row>
    <row r="11" spans="1:22" x14ac:dyDescent="0.25">
      <c r="A11" s="8" t="str">
        <f>'All Players'!C8</f>
        <v>RB</v>
      </c>
      <c r="B11" s="8" t="str">
        <f>'All Players'!D8</f>
        <v>Ryan</v>
      </c>
      <c r="C11" s="8" t="str">
        <f>'All Players'!E8</f>
        <v>Roberts</v>
      </c>
      <c r="D11" s="8" t="str">
        <f>'All Players'!F8</f>
        <v>R. Roberts</v>
      </c>
      <c r="E11" s="8" t="str">
        <f>'All Players'!G8</f>
        <v>Raptor</v>
      </c>
      <c r="F11" s="8">
        <f>'All Players'!H8</f>
        <v>84</v>
      </c>
      <c r="G11" s="8">
        <f>'All Players'!I8</f>
        <v>54</v>
      </c>
      <c r="H11" s="8">
        <f>'All Players'!J8</f>
        <v>18</v>
      </c>
      <c r="I11" s="8">
        <f>'All Players'!K8</f>
        <v>92</v>
      </c>
      <c r="J11" s="5">
        <f t="shared" si="1"/>
        <v>62</v>
      </c>
      <c r="K11" s="8">
        <f>'All Players'!M8</f>
        <v>95</v>
      </c>
      <c r="L11" s="8">
        <f>'All Players'!N8</f>
        <v>24</v>
      </c>
      <c r="M11" s="5">
        <f>0.4*O11</f>
        <v>22.92</v>
      </c>
      <c r="N11" s="5">
        <f>0.9*O11</f>
        <v>51.57</v>
      </c>
      <c r="O11" s="11">
        <f>F11*Formuals!B6+G11*Formuals!C6+H11*Formuals!D6+I11*Formuals!E6</f>
        <v>57.3</v>
      </c>
      <c r="P11" s="10">
        <f>((M11/SUM($M$7:$M$17)))*0.67</f>
        <v>3.1298392931753106E-2</v>
      </c>
      <c r="Q11" s="10">
        <f t="shared" si="2"/>
        <v>0.165024</v>
      </c>
      <c r="R11" t="s">
        <v>143</v>
      </c>
      <c r="S11">
        <v>19</v>
      </c>
      <c r="T11">
        <v>84</v>
      </c>
      <c r="U11" s="49">
        <f t="shared" si="3"/>
        <v>30.549999999999997</v>
      </c>
      <c r="V11" s="6" t="str">
        <f>A36</f>
        <v>Fast and agile, he excels in both defense and supporting the offense.</v>
      </c>
    </row>
    <row r="12" spans="1:22" x14ac:dyDescent="0.25">
      <c r="A12" s="8" t="str">
        <f>'All Players'!C9</f>
        <v>CDM</v>
      </c>
      <c r="B12" s="8" t="str">
        <f>'All Players'!D9</f>
        <v>Jacob</v>
      </c>
      <c r="C12" s="8" t="str">
        <f>'All Players'!E9</f>
        <v>James</v>
      </c>
      <c r="D12" s="8" t="str">
        <f>'All Players'!F9</f>
        <v>J. James</v>
      </c>
      <c r="E12" s="8" t="str">
        <f>'All Players'!G9</f>
        <v>Justice</v>
      </c>
      <c r="F12" s="8">
        <f>'All Players'!H9</f>
        <v>82</v>
      </c>
      <c r="G12" s="8">
        <f>'All Players'!I9</f>
        <v>68</v>
      </c>
      <c r="H12" s="8">
        <f>'All Players'!J9</f>
        <v>25</v>
      </c>
      <c r="I12" s="8">
        <f>'All Players'!K9</f>
        <v>74</v>
      </c>
      <c r="J12" s="5">
        <f t="shared" si="1"/>
        <v>62.25</v>
      </c>
      <c r="K12" s="8">
        <f>'All Players'!M9</f>
        <v>87</v>
      </c>
      <c r="L12" s="8">
        <f>'All Players'!N9</f>
        <v>25</v>
      </c>
      <c r="M12" s="5">
        <f>O12*0.6</f>
        <v>32.279999999999994</v>
      </c>
      <c r="N12" s="5">
        <f>O12*0.9</f>
        <v>48.42</v>
      </c>
      <c r="O12" s="11">
        <f>F12*Formuals!B7+G12*Formuals!C7+H12*Formuals!D7+I12*Formuals!E7</f>
        <v>53.8</v>
      </c>
      <c r="P12" s="10">
        <f t="shared" ref="P12:P14" si="5">((M12/SUM($M$7:$M$17)))</f>
        <v>6.5790948649227021E-2</v>
      </c>
      <c r="Q12" s="10">
        <f t="shared" si="2"/>
        <v>0.24209999999999993</v>
      </c>
      <c r="R12" t="s">
        <v>143</v>
      </c>
      <c r="S12">
        <v>26</v>
      </c>
      <c r="T12">
        <v>66</v>
      </c>
      <c r="U12" s="49">
        <f t="shared" si="3"/>
        <v>19.100000000000001</v>
      </c>
      <c r="V12" s="6" t="str">
        <f>A39</f>
        <v>With a keen sense of justice, he ensures fair play and balance in the midfield.</v>
      </c>
    </row>
    <row r="13" spans="1:22" x14ac:dyDescent="0.25">
      <c r="A13" s="8" t="str">
        <f>'All Players'!C10</f>
        <v>CM</v>
      </c>
      <c r="B13" s="8" t="str">
        <f>'All Players'!D10</f>
        <v>Matthew</v>
      </c>
      <c r="C13" s="8" t="str">
        <f>'All Players'!E10</f>
        <v>Morgan</v>
      </c>
      <c r="D13" s="8" t="str">
        <f>'All Players'!F10</f>
        <v>M. Morgan</v>
      </c>
      <c r="E13" s="8" t="str">
        <f>'All Players'!G10</f>
        <v>Majestic</v>
      </c>
      <c r="F13" s="8">
        <f>'All Players'!H10</f>
        <v>70</v>
      </c>
      <c r="G13" s="8">
        <f>'All Players'!I10</f>
        <v>82</v>
      </c>
      <c r="H13" s="8">
        <f>'All Players'!J10</f>
        <v>25</v>
      </c>
      <c r="I13" s="8">
        <f>'All Players'!K10</f>
        <v>81</v>
      </c>
      <c r="J13" s="5">
        <f t="shared" si="1"/>
        <v>64.5</v>
      </c>
      <c r="K13" s="8">
        <f>'All Players'!M10</f>
        <v>92</v>
      </c>
      <c r="L13" s="8">
        <f>'All Players'!N10</f>
        <v>18</v>
      </c>
      <c r="M13" s="5">
        <f>O13*0.75</f>
        <v>52.724999999999994</v>
      </c>
      <c r="N13" s="5">
        <f>O13*0.75</f>
        <v>52.724999999999994</v>
      </c>
      <c r="O13" s="11">
        <f>F13*Formuals!B8+G13*Formuals!C8+H13*Formuals!D8+I13*Formuals!E8</f>
        <v>70.3</v>
      </c>
      <c r="P13" s="10">
        <f t="shared" si="5"/>
        <v>0.10746058759388151</v>
      </c>
      <c r="Q13" s="10">
        <f t="shared" si="2"/>
        <v>0.28471499999999994</v>
      </c>
      <c r="R13" t="s">
        <v>143</v>
      </c>
      <c r="S13">
        <v>28</v>
      </c>
      <c r="T13">
        <v>81</v>
      </c>
      <c r="U13" s="49">
        <f t="shared" si="3"/>
        <v>34.650000000000006</v>
      </c>
      <c r="V13" s="6" t="str">
        <f>A42</f>
        <v>His majestic playmaking skills and vision control the flow of the game.</v>
      </c>
    </row>
    <row r="14" spans="1:22" x14ac:dyDescent="0.25">
      <c r="A14" s="8" t="str">
        <f>'All Players'!C11</f>
        <v>CAM</v>
      </c>
      <c r="B14" s="8" t="str">
        <f>'All Players'!D11</f>
        <v>Joshua</v>
      </c>
      <c r="C14" s="8" t="str">
        <f>'All Players'!E11</f>
        <v>Jackson</v>
      </c>
      <c r="D14" s="8" t="str">
        <f>'All Players'!F11</f>
        <v>J. Jackson</v>
      </c>
      <c r="E14" s="8" t="str">
        <f>'All Players'!G11</f>
        <v>Journey</v>
      </c>
      <c r="F14" s="8">
        <f>'All Players'!H11</f>
        <v>84</v>
      </c>
      <c r="G14" s="8">
        <f>'All Players'!I11</f>
        <v>89</v>
      </c>
      <c r="H14" s="8">
        <f>'All Players'!J11</f>
        <v>11</v>
      </c>
      <c r="I14" s="8">
        <f>'All Players'!K11</f>
        <v>95</v>
      </c>
      <c r="J14" s="5">
        <f t="shared" si="1"/>
        <v>69.75</v>
      </c>
      <c r="K14" s="8">
        <f>'All Players'!M11</f>
        <v>99</v>
      </c>
      <c r="L14" s="8">
        <f>'All Players'!N11</f>
        <v>38</v>
      </c>
      <c r="M14" s="5">
        <f>O14*0.9</f>
        <v>76.094999999999999</v>
      </c>
      <c r="N14" s="5">
        <f>O14*0.6</f>
        <v>50.73</v>
      </c>
      <c r="O14" s="11">
        <f>F14*Formuals!B9+G14*Formuals!C9+H14*Formuals!D9+I14*Formuals!E9</f>
        <v>84.55</v>
      </c>
      <c r="P14" s="10">
        <f t="shared" si="5"/>
        <v>0.15509176695981819</v>
      </c>
      <c r="Q14" s="10">
        <f t="shared" si="2"/>
        <v>0.867483</v>
      </c>
      <c r="R14" t="s">
        <v>143</v>
      </c>
      <c r="S14">
        <v>18</v>
      </c>
      <c r="T14">
        <v>98</v>
      </c>
      <c r="U14" s="49">
        <f t="shared" si="3"/>
        <v>51.275000000000006</v>
      </c>
      <c r="V14" s="6" t="str">
        <f>A45</f>
        <v>His journeying runs and creativity spark the team's offensive plays.</v>
      </c>
    </row>
    <row r="15" spans="1:22" x14ac:dyDescent="0.25">
      <c r="A15" s="8" t="str">
        <f>'All Players'!C12</f>
        <v>LW</v>
      </c>
      <c r="B15" s="8" t="str">
        <f>'All Players'!D12</f>
        <v>Christopher</v>
      </c>
      <c r="C15" s="8" t="str">
        <f>'All Players'!E12</f>
        <v>Carter</v>
      </c>
      <c r="D15" s="8" t="str">
        <f>'All Players'!F12</f>
        <v>C. Carter</v>
      </c>
      <c r="E15" s="8" t="str">
        <f>'All Players'!G12</f>
        <v>Courage</v>
      </c>
      <c r="F15" s="8">
        <f>'All Players'!H12</f>
        <v>95</v>
      </c>
      <c r="G15" s="8">
        <f>'All Players'!I12</f>
        <v>72</v>
      </c>
      <c r="H15" s="8">
        <f>'All Players'!J12</f>
        <v>15</v>
      </c>
      <c r="I15" s="8">
        <f>'All Players'!K12</f>
        <v>92</v>
      </c>
      <c r="J15" s="5">
        <f t="shared" si="1"/>
        <v>68.5</v>
      </c>
      <c r="K15" s="8">
        <f>'All Players'!M12</f>
        <v>89</v>
      </c>
      <c r="L15" s="8">
        <f>'All Players'!N12</f>
        <v>12</v>
      </c>
      <c r="M15" s="5">
        <f>O15</f>
        <v>86.199999999999989</v>
      </c>
      <c r="N15" s="5">
        <f>O15*0.3</f>
        <v>25.859999999999996</v>
      </c>
      <c r="O15" s="11">
        <f>F15*Formuals!B10+G15*Formuals!C10+H15*Formuals!D10+I15*Formuals!E10</f>
        <v>86.199999999999989</v>
      </c>
      <c r="P15" s="10">
        <f>((M15/SUM($M$7:$M$17)))*1.33</f>
        <v>0.23366385064557876</v>
      </c>
      <c r="Q15" s="10">
        <f t="shared" si="2"/>
        <v>0.31031999999999993</v>
      </c>
      <c r="R15" t="s">
        <v>143</v>
      </c>
      <c r="S15">
        <v>32</v>
      </c>
      <c r="T15">
        <v>87</v>
      </c>
      <c r="U15" s="49">
        <f t="shared" si="3"/>
        <v>45.199999999999989</v>
      </c>
      <c r="V15" s="6" t="str">
        <f>A48</f>
        <v>His courageous runs and daring plays make him a threat on the wing.</v>
      </c>
    </row>
    <row r="16" spans="1:22" x14ac:dyDescent="0.25">
      <c r="A16" s="8" t="str">
        <f>'All Players'!C13</f>
        <v>ST</v>
      </c>
      <c r="B16" s="8" t="str">
        <f>'All Players'!D13</f>
        <v>Alexander</v>
      </c>
      <c r="C16" s="8" t="str">
        <f>'All Players'!E13</f>
        <v>Adams</v>
      </c>
      <c r="D16" s="8" t="str">
        <f>'All Players'!F13</f>
        <v>A. Adams</v>
      </c>
      <c r="E16" s="8" t="str">
        <f>'All Players'!G13</f>
        <v>Ace</v>
      </c>
      <c r="F16" s="8">
        <f>'All Players'!H13</f>
        <v>82</v>
      </c>
      <c r="G16" s="8">
        <f>'All Players'!I13</f>
        <v>91</v>
      </c>
      <c r="H16" s="8">
        <f>'All Players'!J13</f>
        <v>24</v>
      </c>
      <c r="I16" s="8">
        <f>'All Players'!K13</f>
        <v>87</v>
      </c>
      <c r="J16" s="5">
        <f t="shared" si="1"/>
        <v>71</v>
      </c>
      <c r="K16" s="8">
        <f>'All Players'!M13</f>
        <v>84</v>
      </c>
      <c r="L16" s="8">
        <f>'All Players'!N13</f>
        <v>15</v>
      </c>
      <c r="M16" s="5">
        <f>O16</f>
        <v>79.95</v>
      </c>
      <c r="N16" s="5">
        <f t="shared" ref="N16:N17" si="6">O16*0.3</f>
        <v>23.984999999999999</v>
      </c>
      <c r="O16" s="11">
        <f>F16*Formuals!B11+G16*Formuals!C11+H16*Formuals!D11+I16*Formuals!E11</f>
        <v>79.95</v>
      </c>
      <c r="P16" s="10">
        <f t="shared" ref="P16:P17" si="7">((M16/SUM($M$7:$M$17)))*1.33</f>
        <v>0.2167218661150119</v>
      </c>
      <c r="Q16" s="10">
        <f t="shared" si="2"/>
        <v>0.35977499999999996</v>
      </c>
      <c r="R16" t="s">
        <v>143</v>
      </c>
      <c r="S16">
        <v>25</v>
      </c>
      <c r="T16">
        <v>88</v>
      </c>
      <c r="U16" s="49">
        <f t="shared" si="3"/>
        <v>43.275000000000006</v>
      </c>
      <c r="V16" s="6" t="str">
        <f>A51</f>
        <v>Known for his ace skills and ability to make decisive plays in critical moments.</v>
      </c>
    </row>
    <row r="17" spans="1:22" x14ac:dyDescent="0.25">
      <c r="A17" s="8" t="str">
        <f>'All Players'!C14</f>
        <v>RW</v>
      </c>
      <c r="B17" s="8" t="str">
        <f>'All Players'!D14</f>
        <v>Andrew</v>
      </c>
      <c r="C17" s="8" t="str">
        <f>'All Players'!E14</f>
        <v>Allen</v>
      </c>
      <c r="D17" s="8" t="str">
        <f>'All Players'!F14</f>
        <v>A. Allen</v>
      </c>
      <c r="E17" s="8" t="str">
        <f>'All Players'!G14</f>
        <v>Aviator</v>
      </c>
      <c r="F17" s="8">
        <f>'All Players'!H14</f>
        <v>98</v>
      </c>
      <c r="G17" s="8">
        <f>'All Players'!I14</f>
        <v>94</v>
      </c>
      <c r="H17" s="8">
        <f>'All Players'!J14</f>
        <v>15</v>
      </c>
      <c r="I17" s="8">
        <f>'All Players'!K14</f>
        <v>85</v>
      </c>
      <c r="J17" s="5">
        <f t="shared" si="1"/>
        <v>73</v>
      </c>
      <c r="K17" s="8">
        <f>'All Players'!M14</f>
        <v>85</v>
      </c>
      <c r="L17" s="8">
        <f>'All Players'!N14</f>
        <v>19</v>
      </c>
      <c r="M17" s="5">
        <f>O17</f>
        <v>87.4</v>
      </c>
      <c r="N17" s="5">
        <f t="shared" si="6"/>
        <v>26.220000000000002</v>
      </c>
      <c r="O17" s="11">
        <f>F17*Formuals!B12+G17*Formuals!C12+H17*Formuals!D12+I17*Formuals!E12</f>
        <v>87.4</v>
      </c>
      <c r="P17" s="10">
        <f t="shared" si="7"/>
        <v>0.23691671167544767</v>
      </c>
      <c r="Q17" s="10">
        <f t="shared" si="2"/>
        <v>0.49818000000000007</v>
      </c>
      <c r="R17" t="s">
        <v>143</v>
      </c>
      <c r="S17">
        <v>22</v>
      </c>
      <c r="T17">
        <v>100</v>
      </c>
      <c r="U17" s="49">
        <f t="shared" si="3"/>
        <v>53.300000000000011</v>
      </c>
      <c r="V17" s="6" t="str">
        <f>A54</f>
        <v>His high-flying skills and sharp shooting make him a top goal scorer.</v>
      </c>
    </row>
    <row r="18" spans="1:22" x14ac:dyDescent="0.25">
      <c r="F18" s="18">
        <f t="shared" ref="F18:G18" si="8">LARGE(F7:F17,1) - SMALL(F7:F17,1)</f>
        <v>33</v>
      </c>
      <c r="G18" s="18">
        <f t="shared" si="8"/>
        <v>52</v>
      </c>
      <c r="H18" s="18">
        <f>LARGE(H7:H17,1) - SMALL(H7:H17,1)</f>
        <v>44</v>
      </c>
      <c r="I18" s="18">
        <f>LARGE(I7:I17,1) - SMALL(I7:I17,1)</f>
        <v>28</v>
      </c>
      <c r="J18" s="19">
        <f t="shared" ref="J18:L18" si="9">LARGE(J7:J17,1) - SMALL(J7:J17,1)</f>
        <v>15.75</v>
      </c>
      <c r="K18" s="18">
        <f t="shared" si="9"/>
        <v>18</v>
      </c>
      <c r="L18" s="18">
        <f t="shared" si="9"/>
        <v>26</v>
      </c>
      <c r="O18" s="19">
        <f>LARGE(O7:O17,1) - SMALL(O7:O17,1)</f>
        <v>37.850000000000009</v>
      </c>
      <c r="P18" s="48">
        <f>SUM(P7:P17)</f>
        <v>1.11942066055906</v>
      </c>
      <c r="S18">
        <f>AVERAGE(S7:S17)</f>
        <v>25.272727272727273</v>
      </c>
      <c r="T18">
        <f>AVERAGE(T7:T17)</f>
        <v>78.727272727272734</v>
      </c>
      <c r="U18" s="50">
        <f>SUM(U7:U17)</f>
        <v>362.55</v>
      </c>
    </row>
    <row r="19" spans="1:22" x14ac:dyDescent="0.25">
      <c r="B19" s="3" t="s">
        <v>1</v>
      </c>
      <c r="C19" s="3" t="s">
        <v>2</v>
      </c>
      <c r="D19" s="3" t="s">
        <v>3</v>
      </c>
    </row>
    <row r="20" spans="1:22" x14ac:dyDescent="0.25">
      <c r="A20" s="3" t="s">
        <v>4</v>
      </c>
      <c r="B20" s="2">
        <f>AVERAGE(O7:O12)*0.1+AVERAGE(O13:O17)*0.9</f>
        <v>79.290333333333336</v>
      </c>
      <c r="C20" s="2">
        <f>AVERAGE(O7:O12)*0.9+AVERAGE(O13:O17)*0.1</f>
        <v>60.173000000000002</v>
      </c>
      <c r="D20" s="2">
        <f>AVERAGE(K7:K17)*0.5+AVERAGE(L7:L17)*0.5</f>
        <v>56.545454545454547</v>
      </c>
    </row>
    <row r="21" spans="1:22" x14ac:dyDescent="0.25">
      <c r="A21" s="20" t="s">
        <v>549</v>
      </c>
    </row>
    <row r="22" spans="1:22" x14ac:dyDescent="0.25">
      <c r="A22" t="s">
        <v>401</v>
      </c>
    </row>
    <row r="24" spans="1:22" x14ac:dyDescent="0.25">
      <c r="A24" t="s">
        <v>390</v>
      </c>
    </row>
    <row r="25" spans="1:22" x14ac:dyDescent="0.25">
      <c r="A25" t="s">
        <v>402</v>
      </c>
    </row>
    <row r="27" spans="1:22" x14ac:dyDescent="0.25">
      <c r="A27" t="s">
        <v>391</v>
      </c>
    </row>
    <row r="28" spans="1:22" x14ac:dyDescent="0.25">
      <c r="A28" t="s">
        <v>403</v>
      </c>
    </row>
    <row r="30" spans="1:22" x14ac:dyDescent="0.25">
      <c r="A30" t="s">
        <v>392</v>
      </c>
    </row>
    <row r="31" spans="1:22" x14ac:dyDescent="0.25">
      <c r="A31" t="s">
        <v>404</v>
      </c>
    </row>
    <row r="33" spans="1:1" x14ac:dyDescent="0.25">
      <c r="A33" t="s">
        <v>393</v>
      </c>
    </row>
    <row r="34" spans="1:1" x14ac:dyDescent="0.25">
      <c r="A34" t="s">
        <v>405</v>
      </c>
    </row>
    <row r="36" spans="1:1" x14ac:dyDescent="0.25">
      <c r="A36" t="s">
        <v>394</v>
      </c>
    </row>
    <row r="37" spans="1:1" x14ac:dyDescent="0.25">
      <c r="A37" t="s">
        <v>406</v>
      </c>
    </row>
    <row r="39" spans="1:1" x14ac:dyDescent="0.25">
      <c r="A39" t="s">
        <v>395</v>
      </c>
    </row>
    <row r="40" spans="1:1" x14ac:dyDescent="0.25">
      <c r="A40" t="s">
        <v>407</v>
      </c>
    </row>
    <row r="42" spans="1:1" x14ac:dyDescent="0.25">
      <c r="A42" t="s">
        <v>396</v>
      </c>
    </row>
    <row r="43" spans="1:1" x14ac:dyDescent="0.25">
      <c r="A43" t="s">
        <v>408</v>
      </c>
    </row>
    <row r="45" spans="1:1" x14ac:dyDescent="0.25">
      <c r="A45" t="s">
        <v>397</v>
      </c>
    </row>
    <row r="46" spans="1:1" x14ac:dyDescent="0.25">
      <c r="A46" t="s">
        <v>409</v>
      </c>
    </row>
    <row r="48" spans="1:1" x14ac:dyDescent="0.25">
      <c r="A48" t="s">
        <v>398</v>
      </c>
    </row>
    <row r="49" spans="1:1" x14ac:dyDescent="0.25">
      <c r="A49" t="s">
        <v>410</v>
      </c>
    </row>
    <row r="51" spans="1:1" x14ac:dyDescent="0.25">
      <c r="A51" t="s">
        <v>399</v>
      </c>
    </row>
    <row r="52" spans="1:1" x14ac:dyDescent="0.25">
      <c r="A52" t="s">
        <v>411</v>
      </c>
    </row>
    <row r="54" spans="1:1" x14ac:dyDescent="0.25">
      <c r="A54" t="s">
        <v>400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5FD0A-CC8A-43E3-8EF4-9C45F6CB6988}">
  <sheetPr codeName="Sheet6">
    <tabColor theme="6"/>
  </sheetPr>
  <dimension ref="A1:V54"/>
  <sheetViews>
    <sheetView workbookViewId="0">
      <selection activeCell="U21" sqref="U21"/>
    </sheetView>
  </sheetViews>
  <sheetFormatPr defaultRowHeight="15" x14ac:dyDescent="0.25"/>
  <cols>
    <col min="1" max="1" width="8.28515625" bestFit="1" customWidth="1"/>
    <col min="2" max="2" width="10.5703125" bestFit="1" customWidth="1"/>
    <col min="3" max="3" width="10.140625" bestFit="1" customWidth="1"/>
    <col min="4" max="4" width="11.85546875" bestFit="1" customWidth="1"/>
    <col min="5" max="5" width="13.5703125" bestFit="1" customWidth="1"/>
    <col min="16" max="16" width="17.5703125" customWidth="1"/>
    <col min="17" max="17" width="16.28515625" customWidth="1"/>
  </cols>
  <sheetData>
    <row r="1" spans="1:22" x14ac:dyDescent="0.25">
      <c r="A1" s="3" t="s">
        <v>19</v>
      </c>
      <c r="B1" s="6" t="s">
        <v>23</v>
      </c>
    </row>
    <row r="2" spans="1:22" x14ac:dyDescent="0.25">
      <c r="A2" s="3" t="s">
        <v>20</v>
      </c>
      <c r="B2" s="6" t="s">
        <v>24</v>
      </c>
    </row>
    <row r="3" spans="1:22" x14ac:dyDescent="0.25">
      <c r="A3" s="3" t="s">
        <v>138</v>
      </c>
      <c r="B3" s="6" t="str">
        <f>VLOOKUP(B1,STATS!L1:AA21,16,FALSE)</f>
        <v>Tanzania</v>
      </c>
    </row>
    <row r="4" spans="1:22" x14ac:dyDescent="0.25">
      <c r="A4" s="3" t="s">
        <v>22</v>
      </c>
      <c r="B4" s="1">
        <f>((B20+C20)/2)*((D20+50)/100)</f>
        <v>93.016944128787884</v>
      </c>
      <c r="F4">
        <f>VLOOKUP($B$1,STATS!$L$1:$Q$21,3,FALSE)</f>
        <v>80</v>
      </c>
      <c r="G4">
        <f>VLOOKUP($B$1,STATS!$L$1:$Q$21,4,FALSE)</f>
        <v>80</v>
      </c>
      <c r="H4">
        <f>VLOOKUP($B$1,STATS!$L$1:$Q$21,5,FALSE)</f>
        <v>90</v>
      </c>
      <c r="I4">
        <f>VLOOKUP($B$1,STATS!$L$1:$Q$21,6,FALSE)</f>
        <v>85</v>
      </c>
      <c r="M4">
        <v>55</v>
      </c>
      <c r="N4">
        <v>70</v>
      </c>
    </row>
    <row r="5" spans="1:22" x14ac:dyDescent="0.25">
      <c r="F5" s="1">
        <f t="shared" ref="F5:O5" si="0">AVERAGE(F7:F17)</f>
        <v>77.909090909090907</v>
      </c>
      <c r="G5" s="1">
        <f t="shared" si="0"/>
        <v>78.272727272727266</v>
      </c>
      <c r="H5" s="1">
        <f>AVERAGE(H7:H17)</f>
        <v>86</v>
      </c>
      <c r="I5" s="1">
        <f>AVERAGE(I7:I17)</f>
        <v>83.181818181818187</v>
      </c>
      <c r="J5" s="1">
        <f t="shared" si="0"/>
        <v>81.340909090909093</v>
      </c>
      <c r="K5" s="1">
        <f t="shared" si="0"/>
        <v>54.272727272727273</v>
      </c>
      <c r="L5" s="1">
        <f t="shared" si="0"/>
        <v>69.454545454545453</v>
      </c>
      <c r="M5" s="1">
        <f t="shared" si="0"/>
        <v>50.752500000000005</v>
      </c>
      <c r="N5" s="1">
        <f t="shared" si="0"/>
        <v>59.840454545454548</v>
      </c>
      <c r="O5" s="1">
        <f t="shared" si="0"/>
        <v>83.079545454545439</v>
      </c>
      <c r="P5" s="1"/>
      <c r="Q5" s="1"/>
    </row>
    <row r="6" spans="1:22" x14ac:dyDescent="0.25">
      <c r="A6" s="3" t="s">
        <v>7</v>
      </c>
      <c r="B6" s="3" t="s">
        <v>8</v>
      </c>
      <c r="C6" s="3" t="s">
        <v>9</v>
      </c>
      <c r="D6" s="3" t="s">
        <v>44</v>
      </c>
      <c r="E6" s="3" t="s">
        <v>50</v>
      </c>
      <c r="F6" s="3" t="s">
        <v>17</v>
      </c>
      <c r="G6" s="3" t="s">
        <v>14</v>
      </c>
      <c r="H6" s="3" t="s">
        <v>15</v>
      </c>
      <c r="I6" s="3" t="s">
        <v>16</v>
      </c>
      <c r="J6" s="3" t="s">
        <v>48</v>
      </c>
      <c r="K6" s="3" t="s">
        <v>3</v>
      </c>
      <c r="L6" s="3" t="s">
        <v>10</v>
      </c>
      <c r="M6" s="3" t="s">
        <v>1</v>
      </c>
      <c r="N6" s="3" t="s">
        <v>12</v>
      </c>
      <c r="O6" s="3" t="s">
        <v>4</v>
      </c>
      <c r="P6" s="3" t="s">
        <v>49</v>
      </c>
      <c r="Q6" s="3" t="s">
        <v>47</v>
      </c>
      <c r="R6" s="3" t="s">
        <v>138</v>
      </c>
      <c r="S6" s="3" t="s">
        <v>1354</v>
      </c>
      <c r="T6" s="3" t="s">
        <v>1355</v>
      </c>
      <c r="U6" s="3" t="s">
        <v>1356</v>
      </c>
      <c r="V6" s="3" t="s">
        <v>13</v>
      </c>
    </row>
    <row r="7" spans="1:22" x14ac:dyDescent="0.25">
      <c r="A7" s="8" t="str">
        <f>'All Players'!C15</f>
        <v>GK</v>
      </c>
      <c r="B7" s="8" t="str">
        <f>'All Players'!D15</f>
        <v>Juma</v>
      </c>
      <c r="C7" s="8" t="str">
        <f>'All Players'!E15</f>
        <v>Kipanga</v>
      </c>
      <c r="D7" s="8" t="str">
        <f>'All Players'!F15</f>
        <v>J. Kipanga</v>
      </c>
      <c r="E7" s="8" t="str">
        <f>'All Players'!G15</f>
        <v>Jasiri</v>
      </c>
      <c r="F7" s="8">
        <f>'All Players'!H15</f>
        <v>82</v>
      </c>
      <c r="G7" s="8">
        <f>'All Players'!I15</f>
        <v>64</v>
      </c>
      <c r="H7" s="8">
        <f>'All Players'!J15</f>
        <v>85</v>
      </c>
      <c r="I7" s="8">
        <f>'All Players'!K15</f>
        <v>75</v>
      </c>
      <c r="J7" s="5">
        <f t="shared" ref="J7:J17" si="1">AVERAGE(F7:I7)</f>
        <v>76.5</v>
      </c>
      <c r="K7" s="8">
        <f>'All Players'!M15</f>
        <v>54</v>
      </c>
      <c r="L7" s="8">
        <f>'All Players'!N15</f>
        <v>68</v>
      </c>
      <c r="M7" s="4">
        <f>AVERAGE(F7:I7)*0</f>
        <v>0</v>
      </c>
      <c r="N7" s="5">
        <f>O7</f>
        <v>74.95</v>
      </c>
      <c r="O7" s="11">
        <f>F7*Formuals!B2+G7*Formuals!C2+H7*Formuals!D2+I7*Formuals!E2</f>
        <v>74.95</v>
      </c>
      <c r="P7" s="10">
        <f>((M7/SUM($M$7:$M$17)))</f>
        <v>0</v>
      </c>
      <c r="Q7" s="10">
        <f>((M7/100)*(L7/100))*3</f>
        <v>0</v>
      </c>
      <c r="R7" s="8" t="str">
        <f>'All Players'!T15</f>
        <v>Tanzania</v>
      </c>
      <c r="S7" s="8">
        <f>'All Players'!U15</f>
        <v>35</v>
      </c>
      <c r="T7" s="8">
        <f>'All Players'!V15</f>
        <v>75</v>
      </c>
      <c r="U7" s="49">
        <f t="shared" ref="U7:U17" si="2">IF((O7*0.5)+((T7*0.5)-((S7-18)*0.1))-40&lt;0,"0",(O7*0.5)+((T7*0.5)-((S7-18)*0.1))-40)</f>
        <v>33.275000000000006</v>
      </c>
      <c r="V7" s="6" t="str">
        <f>A24</f>
        <v>Known for his courageous ('jasiri') saves and commanding presence in the goal.</v>
      </c>
    </row>
    <row r="8" spans="1:22" x14ac:dyDescent="0.25">
      <c r="A8" s="8" t="str">
        <f>'All Players'!C16</f>
        <v>LB</v>
      </c>
      <c r="B8" s="8" t="str">
        <f>'All Players'!D16</f>
        <v>Faraji</v>
      </c>
      <c r="C8" s="8" t="str">
        <f>'All Players'!E16</f>
        <v>Mwamba</v>
      </c>
      <c r="D8" s="8" t="str">
        <f>'All Players'!F16</f>
        <v>F. Mwamba</v>
      </c>
      <c r="E8" s="8" t="str">
        <f>'All Players'!G16</f>
        <v>Fahari</v>
      </c>
      <c r="F8" s="8">
        <f>'All Players'!H16</f>
        <v>64</v>
      </c>
      <c r="G8" s="8">
        <f>'All Players'!I16</f>
        <v>68</v>
      </c>
      <c r="H8" s="8">
        <f>'All Players'!J16</f>
        <v>80</v>
      </c>
      <c r="I8" s="8">
        <f>'All Players'!K16</f>
        <v>82</v>
      </c>
      <c r="J8" s="5">
        <f t="shared" si="1"/>
        <v>73.5</v>
      </c>
      <c r="K8" s="8">
        <f>'All Players'!M16</f>
        <v>52</v>
      </c>
      <c r="L8" s="8">
        <f>'All Players'!N16</f>
        <v>64</v>
      </c>
      <c r="M8" s="5">
        <f>0.4*O8</f>
        <v>30.32</v>
      </c>
      <c r="N8" s="5">
        <f>0.9*O8</f>
        <v>68.22</v>
      </c>
      <c r="O8" s="11">
        <f>F8*Formuals!B3+G8*Formuals!C3+H8*Formuals!D3+I8*Formuals!E3</f>
        <v>75.8</v>
      </c>
      <c r="P8" s="10">
        <f t="shared" ref="P8:P10" si="3">((M8/SUM($M$7:$M$17)))*0.67</f>
        <v>3.6387638763876386E-2</v>
      </c>
      <c r="Q8" s="10">
        <f t="shared" ref="Q8:Q17" si="4">((M8/100)*(L8/100))*3</f>
        <v>0.58214400000000011</v>
      </c>
      <c r="R8" s="8" t="str">
        <f>'All Players'!T16</f>
        <v>Tanzania</v>
      </c>
      <c r="S8" s="8">
        <f>'All Players'!U16</f>
        <v>28</v>
      </c>
      <c r="T8" s="8">
        <f>'All Players'!V16</f>
        <v>81</v>
      </c>
      <c r="U8" s="49">
        <f t="shared" si="2"/>
        <v>37.400000000000006</v>
      </c>
      <c r="V8" s="6" t="str">
        <f>A27</f>
        <v>His play is full of pride ('fahari') and determination, making him a formidable defender.</v>
      </c>
    </row>
    <row r="9" spans="1:22" x14ac:dyDescent="0.25">
      <c r="A9" s="8" t="str">
        <f>'All Players'!C17</f>
        <v>CB</v>
      </c>
      <c r="B9" s="8" t="str">
        <f>'All Players'!D17</f>
        <v>Baraka</v>
      </c>
      <c r="C9" s="8" t="str">
        <f>'All Players'!E17</f>
        <v>Lema Jr.</v>
      </c>
      <c r="D9" s="8" t="str">
        <f>'All Players'!F17</f>
        <v>B. Lema Jr.</v>
      </c>
      <c r="E9" s="8" t="str">
        <f>'All Players'!G17</f>
        <v>Lema Jr.</v>
      </c>
      <c r="F9" s="8">
        <f>'All Players'!H17</f>
        <v>74</v>
      </c>
      <c r="G9" s="8">
        <f>'All Players'!I17</f>
        <v>90</v>
      </c>
      <c r="H9" s="8">
        <f>'All Players'!J17</f>
        <v>89</v>
      </c>
      <c r="I9" s="8">
        <f>'All Players'!K17</f>
        <v>92</v>
      </c>
      <c r="J9" s="5">
        <f t="shared" si="1"/>
        <v>86.25</v>
      </c>
      <c r="K9" s="8">
        <f>'All Players'!M17</f>
        <v>59</v>
      </c>
      <c r="L9" s="8">
        <f>'All Players'!N17</f>
        <v>72</v>
      </c>
      <c r="M9" s="5">
        <f>O9*0.3</f>
        <v>26.317499999999999</v>
      </c>
      <c r="N9" s="5">
        <f>O9</f>
        <v>87.724999999999994</v>
      </c>
      <c r="O9" s="11">
        <f>F9*Formuals!B4+G9*Formuals!C4+H9*Formuals!D4+I9*Formuals!E4</f>
        <v>87.724999999999994</v>
      </c>
      <c r="P9" s="10">
        <f t="shared" si="3"/>
        <v>3.1584158415841584E-2</v>
      </c>
      <c r="Q9" s="10">
        <f t="shared" si="4"/>
        <v>0.56845799999999991</v>
      </c>
      <c r="R9" s="8" t="str">
        <f>'All Players'!T17</f>
        <v>Tanzania</v>
      </c>
      <c r="S9" s="8">
        <f>'All Players'!U17</f>
        <v>18</v>
      </c>
      <c r="T9" s="8">
        <f>'All Players'!V17</f>
        <v>110</v>
      </c>
      <c r="U9" s="49">
        <f t="shared" si="2"/>
        <v>58.862499999999997</v>
      </c>
      <c r="V9" s="6" t="str">
        <f>A30</f>
        <v>Strong and noble like a lion ('simba'), he anchors the team's defense.</v>
      </c>
    </row>
    <row r="10" spans="1:22" x14ac:dyDescent="0.25">
      <c r="A10" s="8" t="str">
        <f>'All Players'!C18</f>
        <v>CB</v>
      </c>
      <c r="B10" s="8" t="str">
        <f>'All Players'!D18</f>
        <v>Amani</v>
      </c>
      <c r="C10" s="8" t="str">
        <f>'All Players'!E18</f>
        <v>Chacha</v>
      </c>
      <c r="D10" s="8" t="str">
        <f>'All Players'!F18</f>
        <v>A. Chacha</v>
      </c>
      <c r="E10" s="8" t="str">
        <f>'All Players'!G18</f>
        <v>Asante</v>
      </c>
      <c r="F10" s="8">
        <f>'All Players'!H18</f>
        <v>58</v>
      </c>
      <c r="G10" s="8">
        <f>'All Players'!I18</f>
        <v>75</v>
      </c>
      <c r="H10" s="8">
        <f>'All Players'!J18</f>
        <v>98</v>
      </c>
      <c r="I10" s="8">
        <f>'All Players'!K18</f>
        <v>77</v>
      </c>
      <c r="J10" s="5">
        <f t="shared" si="1"/>
        <v>77</v>
      </c>
      <c r="K10" s="8">
        <f>'All Players'!M18</f>
        <v>50</v>
      </c>
      <c r="L10" s="8">
        <f>'All Players'!N18</f>
        <v>75</v>
      </c>
      <c r="M10" s="5">
        <f>O10*0.3</f>
        <v>25.919999999999998</v>
      </c>
      <c r="N10" s="5">
        <f>O10</f>
        <v>86.399999999999991</v>
      </c>
      <c r="O10" s="11">
        <f>F10*Formuals!B5+G10*Formuals!C5+H10*Formuals!D5+I10*Formuals!E5</f>
        <v>86.399999999999991</v>
      </c>
      <c r="P10" s="10">
        <f t="shared" si="3"/>
        <v>3.1107110711071105E-2</v>
      </c>
      <c r="Q10" s="10">
        <f t="shared" si="4"/>
        <v>0.58319999999999994</v>
      </c>
      <c r="R10" s="8" t="str">
        <f>'All Players'!T18</f>
        <v>Tanzania</v>
      </c>
      <c r="S10" s="8">
        <f>'All Players'!U18</f>
        <v>34</v>
      </c>
      <c r="T10" s="8">
        <f>'All Players'!V18</f>
        <v>88</v>
      </c>
      <c r="U10" s="49">
        <f t="shared" si="2"/>
        <v>45.599999999999994</v>
      </c>
      <c r="V10" s="6" t="str">
        <f>A33</f>
        <v>His name means 'peace', and he brings calm and stability to the back line.</v>
      </c>
    </row>
    <row r="11" spans="1:22" x14ac:dyDescent="0.25">
      <c r="A11" s="8" t="str">
        <f>'All Players'!C19</f>
        <v>RB</v>
      </c>
      <c r="B11" s="8" t="str">
        <f>'All Players'!D19</f>
        <v>Zuberi</v>
      </c>
      <c r="C11" s="8" t="str">
        <f>'All Players'!E19</f>
        <v>Majaliwa</v>
      </c>
      <c r="D11" s="8" t="str">
        <f>'All Players'!F19</f>
        <v>Z. Majaliwa</v>
      </c>
      <c r="E11" s="8" t="str">
        <f>'All Players'!G19</f>
        <v>Zuri</v>
      </c>
      <c r="F11" s="8">
        <f>'All Players'!H19</f>
        <v>77</v>
      </c>
      <c r="G11" s="8">
        <f>'All Players'!I19</f>
        <v>78</v>
      </c>
      <c r="H11" s="8">
        <f>'All Players'!J19</f>
        <v>84</v>
      </c>
      <c r="I11" s="8">
        <f>'All Players'!K19</f>
        <v>84</v>
      </c>
      <c r="J11" s="5">
        <f t="shared" si="1"/>
        <v>80.75</v>
      </c>
      <c r="K11" s="8">
        <f>'All Players'!M19</f>
        <v>53</v>
      </c>
      <c r="L11" s="8">
        <f>'All Players'!N19</f>
        <v>66</v>
      </c>
      <c r="M11" s="5">
        <f>0.4*O11</f>
        <v>32.700000000000003</v>
      </c>
      <c r="N11" s="5">
        <f>0.9*O11</f>
        <v>73.575000000000003</v>
      </c>
      <c r="O11" s="11">
        <f>F11*Formuals!B6+G11*Formuals!C6+H11*Formuals!D6+I11*Formuals!E6</f>
        <v>81.75</v>
      </c>
      <c r="P11" s="10">
        <f>((M11/SUM($M$7:$M$17)))*0.67</f>
        <v>3.9243924392439247E-2</v>
      </c>
      <c r="Q11" s="10">
        <f t="shared" si="4"/>
        <v>0.64746000000000004</v>
      </c>
      <c r="R11" s="8" t="str">
        <f>'All Players'!T19</f>
        <v>Tanzania</v>
      </c>
      <c r="S11" s="8">
        <f>'All Players'!U19</f>
        <v>33</v>
      </c>
      <c r="T11" s="8">
        <f>'All Players'!V19</f>
        <v>82</v>
      </c>
      <c r="U11" s="49">
        <f t="shared" si="2"/>
        <v>40.375</v>
      </c>
      <c r="V11" s="6" t="str">
        <f>A36</f>
        <v>Agile and skillful, his name 'zuri' meaning 'good', reflects his reliable play.</v>
      </c>
    </row>
    <row r="12" spans="1:22" x14ac:dyDescent="0.25">
      <c r="A12" s="8" t="str">
        <f>'All Players'!C20</f>
        <v>CDM</v>
      </c>
      <c r="B12" s="8" t="str">
        <f>'All Players'!D20</f>
        <v>Hassan</v>
      </c>
      <c r="C12" s="8" t="str">
        <f>'All Players'!E20</f>
        <v>Saidi</v>
      </c>
      <c r="D12" s="8" t="str">
        <f>'All Players'!F20</f>
        <v>H. Saidi</v>
      </c>
      <c r="E12" s="8" t="str">
        <f>'All Players'!G20</f>
        <v>Heshima</v>
      </c>
      <c r="F12" s="8">
        <f>'All Players'!H20</f>
        <v>84</v>
      </c>
      <c r="G12" s="8">
        <f>'All Players'!I20</f>
        <v>79</v>
      </c>
      <c r="H12" s="8">
        <f>'All Players'!J20</f>
        <v>95</v>
      </c>
      <c r="I12" s="8">
        <f>'All Players'!K20</f>
        <v>88</v>
      </c>
      <c r="J12" s="5">
        <f t="shared" si="1"/>
        <v>86.5</v>
      </c>
      <c r="K12" s="8">
        <f>'All Players'!M20</f>
        <v>58</v>
      </c>
      <c r="L12" s="8">
        <f>'All Players'!N20</f>
        <v>69</v>
      </c>
      <c r="M12" s="5">
        <f>O12*0.6</f>
        <v>52.5</v>
      </c>
      <c r="N12" s="5">
        <f>O12*0.9</f>
        <v>78.75</v>
      </c>
      <c r="O12" s="11">
        <f>F12*Formuals!B7+G12*Formuals!C7+H12*Formuals!D7+I12*Formuals!E7</f>
        <v>87.5</v>
      </c>
      <c r="P12" s="10">
        <f t="shared" ref="P12:P14" si="5">((M12/SUM($M$7:$M$17)))</f>
        <v>9.4039254671735822E-2</v>
      </c>
      <c r="Q12" s="10">
        <f t="shared" si="4"/>
        <v>1.0867499999999999</v>
      </c>
      <c r="R12" s="8" t="str">
        <f>'All Players'!T20</f>
        <v>Tanzania</v>
      </c>
      <c r="S12" s="8">
        <f>'All Players'!U20</f>
        <v>31</v>
      </c>
      <c r="T12" s="8">
        <f>'All Players'!V20</f>
        <v>90</v>
      </c>
      <c r="U12" s="49">
        <f t="shared" si="2"/>
        <v>47.45</v>
      </c>
      <c r="V12" s="6" t="str">
        <f>A39</f>
        <v>Respected ('heshima') for his discipline and control in the midfield.</v>
      </c>
    </row>
    <row r="13" spans="1:22" x14ac:dyDescent="0.25">
      <c r="A13" s="8" t="str">
        <f>'All Players'!C21</f>
        <v>CM</v>
      </c>
      <c r="B13" s="8" t="str">
        <f>'All Players'!D21</f>
        <v>Rashidi</v>
      </c>
      <c r="C13" s="8" t="str">
        <f>'All Players'!E21</f>
        <v>Nyoni</v>
      </c>
      <c r="D13" s="8" t="str">
        <f>'All Players'!F21</f>
        <v>R. Nyoni</v>
      </c>
      <c r="E13" s="8" t="str">
        <f>'All Players'!G21</f>
        <v>Radi</v>
      </c>
      <c r="F13" s="8">
        <f>'All Players'!H21</f>
        <v>83</v>
      </c>
      <c r="G13" s="8">
        <f>'All Players'!I21</f>
        <v>85</v>
      </c>
      <c r="H13" s="8">
        <f>'All Players'!J21</f>
        <v>85</v>
      </c>
      <c r="I13" s="8">
        <f>'All Players'!K21</f>
        <v>77</v>
      </c>
      <c r="J13" s="5">
        <f t="shared" si="1"/>
        <v>82.5</v>
      </c>
      <c r="K13" s="8">
        <f>'All Players'!M21</f>
        <v>54</v>
      </c>
      <c r="L13" s="8">
        <f>'All Players'!N21</f>
        <v>71</v>
      </c>
      <c r="M13" s="5">
        <f>O13*0.75</f>
        <v>62.474999999999994</v>
      </c>
      <c r="N13" s="5">
        <f>O13*0.75</f>
        <v>62.474999999999994</v>
      </c>
      <c r="O13" s="11">
        <f>F13*Formuals!B8+G13*Formuals!C8+H13*Formuals!D8+I13*Formuals!E8</f>
        <v>83.3</v>
      </c>
      <c r="P13" s="10">
        <f t="shared" si="5"/>
        <v>0.11190671305936563</v>
      </c>
      <c r="Q13" s="10">
        <f t="shared" si="4"/>
        <v>1.3307174999999998</v>
      </c>
      <c r="R13" s="8" t="str">
        <f>'All Players'!T21</f>
        <v>Tanzania</v>
      </c>
      <c r="S13" s="8">
        <f>'All Players'!U21</f>
        <v>18</v>
      </c>
      <c r="T13" s="8">
        <f>'All Players'!V21</f>
        <v>98</v>
      </c>
      <c r="U13" s="49">
        <f t="shared" si="2"/>
        <v>50.650000000000006</v>
      </c>
      <c r="V13" s="6" t="str">
        <f>A42</f>
        <v>His energetic play lights up ('radi') the midfield with creativity and drive.</v>
      </c>
    </row>
    <row r="14" spans="1:22" x14ac:dyDescent="0.25">
      <c r="A14" s="8" t="str">
        <f>'All Players'!C22</f>
        <v>CAM</v>
      </c>
      <c r="B14" s="8" t="str">
        <f>'All Players'!D22</f>
        <v>Issa</v>
      </c>
      <c r="C14" s="8" t="str">
        <f>'All Players'!E22</f>
        <v>Juma</v>
      </c>
      <c r="D14" s="8" t="str">
        <f>'All Players'!F22</f>
        <v>I. Juma</v>
      </c>
      <c r="E14" s="8" t="str">
        <f>'All Players'!G22</f>
        <v>Imara</v>
      </c>
      <c r="F14" s="8">
        <f>'All Players'!H22</f>
        <v>79</v>
      </c>
      <c r="G14" s="8">
        <f>'All Players'!I22</f>
        <v>89</v>
      </c>
      <c r="H14" s="8">
        <f>'All Players'!J22</f>
        <v>92</v>
      </c>
      <c r="I14" s="8">
        <f>'All Players'!K22</f>
        <v>81</v>
      </c>
      <c r="J14" s="5">
        <f t="shared" si="1"/>
        <v>85.25</v>
      </c>
      <c r="K14" s="8">
        <f>'All Players'!M22</f>
        <v>59</v>
      </c>
      <c r="L14" s="8">
        <f>'All Players'!N22</f>
        <v>73</v>
      </c>
      <c r="M14" s="5">
        <f>O14*0.9</f>
        <v>75.644999999999996</v>
      </c>
      <c r="N14" s="5">
        <f>O14*0.6</f>
        <v>50.43</v>
      </c>
      <c r="O14" s="11">
        <f>F14*Formuals!B9+G14*Formuals!C9+H14*Formuals!D9+I14*Formuals!E9</f>
        <v>84.05</v>
      </c>
      <c r="P14" s="10">
        <f t="shared" si="5"/>
        <v>0.13549713180273248</v>
      </c>
      <c r="Q14" s="10">
        <f t="shared" si="4"/>
        <v>1.6566255000000001</v>
      </c>
      <c r="R14" s="8" t="str">
        <f>'All Players'!T22</f>
        <v>Tanzania</v>
      </c>
      <c r="S14" s="8">
        <f>'All Players'!U22</f>
        <v>26</v>
      </c>
      <c r="T14" s="8">
        <f>'All Players'!V22</f>
        <v>94</v>
      </c>
      <c r="U14" s="49">
        <f t="shared" si="2"/>
        <v>48.224999999999994</v>
      </c>
      <c r="V14" s="6" t="str">
        <f>A45</f>
        <v>Strong ('imara') and decisive, he's the creative spark of the team.</v>
      </c>
    </row>
    <row r="15" spans="1:22" x14ac:dyDescent="0.25">
      <c r="A15" s="8" t="str">
        <f>'All Players'!C23</f>
        <v>LW</v>
      </c>
      <c r="B15" s="8" t="str">
        <f>'All Players'!D23</f>
        <v>Salim</v>
      </c>
      <c r="C15" s="8" t="str">
        <f>'All Players'!E23</f>
        <v>Abdallah</v>
      </c>
      <c r="D15" s="8" t="str">
        <f>'All Players'!F23</f>
        <v>S. Abdallah</v>
      </c>
      <c r="E15" s="8" t="str">
        <f>'All Players'!G23</f>
        <v>Simba</v>
      </c>
      <c r="F15" s="8">
        <f>'All Players'!H23</f>
        <v>85</v>
      </c>
      <c r="G15" s="8">
        <f>'All Players'!I23</f>
        <v>72</v>
      </c>
      <c r="H15" s="8">
        <f>'All Players'!J23</f>
        <v>85</v>
      </c>
      <c r="I15" s="8">
        <f>'All Players'!K23</f>
        <v>90</v>
      </c>
      <c r="J15" s="5">
        <f t="shared" si="1"/>
        <v>83</v>
      </c>
      <c r="K15" s="8">
        <f>'All Players'!M23</f>
        <v>51</v>
      </c>
      <c r="L15" s="8">
        <f>'All Players'!N23</f>
        <v>74</v>
      </c>
      <c r="M15" s="5">
        <f>O15</f>
        <v>85.3</v>
      </c>
      <c r="N15" s="5">
        <f>O15*0.3</f>
        <v>25.59</v>
      </c>
      <c r="O15" s="11">
        <f>F15*Formuals!B10+G15*Formuals!C10+H15*Formuals!D10+I15*Formuals!E10</f>
        <v>85.3</v>
      </c>
      <c r="P15" s="10">
        <f>((M15/SUM($M$7:$M$17)))*1.33</f>
        <v>0.20321256006197636</v>
      </c>
      <c r="Q15" s="10">
        <f t="shared" si="4"/>
        <v>1.8936600000000001</v>
      </c>
      <c r="R15" s="8" t="str">
        <f>'All Players'!T23</f>
        <v>Tanzania</v>
      </c>
      <c r="S15" s="8">
        <f>'All Players'!U23</f>
        <v>22</v>
      </c>
      <c r="T15" s="8">
        <f>'All Players'!V23</f>
        <v>101</v>
      </c>
      <c r="U15" s="49">
        <f t="shared" si="2"/>
        <v>52.75</v>
      </c>
      <c r="V15" s="6" t="str">
        <f>A48</f>
        <v>Fearless and fast, he embodies the spirit of a lion on the wing.</v>
      </c>
    </row>
    <row r="16" spans="1:22" x14ac:dyDescent="0.25">
      <c r="A16" s="8" t="str">
        <f>'All Players'!C24</f>
        <v>ST</v>
      </c>
      <c r="B16" s="8" t="str">
        <f>'All Players'!D24</f>
        <v>Yusuf</v>
      </c>
      <c r="C16" s="8" t="str">
        <f>'All Players'!E24</f>
        <v>Mzuri</v>
      </c>
      <c r="D16" s="8" t="str">
        <f>'All Players'!F24</f>
        <v>Y. Mzuri</v>
      </c>
      <c r="E16" s="8" t="str">
        <f>'All Players'!G24</f>
        <v>Yakinifu</v>
      </c>
      <c r="F16" s="8">
        <f>'All Players'!H24</f>
        <v>89</v>
      </c>
      <c r="G16" s="8">
        <f>'All Players'!I24</f>
        <v>81</v>
      </c>
      <c r="H16" s="8">
        <f>'All Players'!J24</f>
        <v>81</v>
      </c>
      <c r="I16" s="8">
        <f>'All Players'!K24</f>
        <v>85</v>
      </c>
      <c r="J16" s="5">
        <f t="shared" si="1"/>
        <v>84</v>
      </c>
      <c r="K16" s="8">
        <f>'All Players'!M24</f>
        <v>53</v>
      </c>
      <c r="L16" s="8">
        <f>'All Players'!N24</f>
        <v>67</v>
      </c>
      <c r="M16" s="5">
        <f>O16</f>
        <v>85</v>
      </c>
      <c r="N16" s="5">
        <f t="shared" ref="N16:N17" si="6">O16*0.3</f>
        <v>25.5</v>
      </c>
      <c r="O16" s="11">
        <f>F16*Formuals!B11+G16*Formuals!C11+H16*Formuals!D11+I16*Formuals!E11</f>
        <v>85</v>
      </c>
      <c r="P16" s="10">
        <f t="shared" ref="P16:P17" si="7">((M16/SUM($M$7:$M$17)))*1.33</f>
        <v>0.20249786172647116</v>
      </c>
      <c r="Q16" s="10">
        <f t="shared" si="4"/>
        <v>1.7084999999999999</v>
      </c>
      <c r="R16" s="8" t="str">
        <f>'All Players'!T24</f>
        <v>Tanzania</v>
      </c>
      <c r="S16" s="8">
        <f>'All Players'!U24</f>
        <v>27</v>
      </c>
      <c r="T16" s="8">
        <f>'All Players'!V24</f>
        <v>92</v>
      </c>
      <c r="U16" s="49">
        <f t="shared" si="2"/>
        <v>47.599999999999994</v>
      </c>
      <c r="V16" s="6" t="str">
        <f>A51</f>
        <v>Dependable ('yakinifu') and skillful, his play is critical in opening up defenses.</v>
      </c>
    </row>
    <row r="17" spans="1:22" x14ac:dyDescent="0.25">
      <c r="A17" s="8" t="str">
        <f>'All Players'!C25</f>
        <v>RW</v>
      </c>
      <c r="B17" s="8" t="str">
        <f>'All Players'!D25</f>
        <v>Fadhili</v>
      </c>
      <c r="C17" s="8" t="str">
        <f>'All Players'!E25</f>
        <v>Mbwana</v>
      </c>
      <c r="D17" s="8" t="str">
        <f>'All Players'!F25</f>
        <v>F. Mbwana</v>
      </c>
      <c r="E17" s="8" t="str">
        <f>'All Players'!G25</f>
        <v>Fahari</v>
      </c>
      <c r="F17" s="8">
        <f>'All Players'!H25</f>
        <v>82</v>
      </c>
      <c r="G17" s="8">
        <f>'All Players'!I25</f>
        <v>80</v>
      </c>
      <c r="H17" s="8">
        <f>'All Players'!J25</f>
        <v>72</v>
      </c>
      <c r="I17" s="8">
        <f>'All Players'!K25</f>
        <v>84</v>
      </c>
      <c r="J17" s="5">
        <f t="shared" si="1"/>
        <v>79.5</v>
      </c>
      <c r="K17" s="8">
        <f>'All Players'!M25</f>
        <v>54</v>
      </c>
      <c r="L17" s="8">
        <f>'All Players'!N25</f>
        <v>65</v>
      </c>
      <c r="M17" s="5">
        <f>O17</f>
        <v>82.100000000000009</v>
      </c>
      <c r="N17" s="5">
        <f t="shared" si="6"/>
        <v>24.630000000000003</v>
      </c>
      <c r="O17" s="11">
        <f>F17*Formuals!B12+G17*Formuals!C12+H17*Formuals!D12+I17*Formuals!E12</f>
        <v>82.100000000000009</v>
      </c>
      <c r="P17" s="10">
        <f t="shared" si="7"/>
        <v>0.19558911114992097</v>
      </c>
      <c r="Q17" s="10">
        <f t="shared" si="4"/>
        <v>1.6009500000000001</v>
      </c>
      <c r="R17" s="8" t="str">
        <f>'All Players'!T25</f>
        <v>Tanzania</v>
      </c>
      <c r="S17" s="8">
        <f>'All Players'!U25</f>
        <v>33</v>
      </c>
      <c r="T17" s="8">
        <f>'All Players'!V25</f>
        <v>85</v>
      </c>
      <c r="U17" s="49">
        <f t="shared" si="2"/>
        <v>42.050000000000011</v>
      </c>
      <c r="V17" s="6" t="str">
        <f>A54</f>
        <v>His name means 'honor' and 'pride', and he leads the attack with skill and dignity.</v>
      </c>
    </row>
    <row r="18" spans="1:22" x14ac:dyDescent="0.25">
      <c r="F18" s="18">
        <f t="shared" ref="F18:G18" si="8">LARGE(F7:F17,1) - SMALL(F7:F17,1)</f>
        <v>31</v>
      </c>
      <c r="G18" s="18">
        <f t="shared" si="8"/>
        <v>26</v>
      </c>
      <c r="H18" s="18">
        <f>LARGE(H7:H17,1) - SMALL(H7:H17,1)</f>
        <v>26</v>
      </c>
      <c r="I18" s="18">
        <f>LARGE(I7:I17,1) - SMALL(I7:I17,1)</f>
        <v>17</v>
      </c>
      <c r="J18" s="19">
        <f t="shared" ref="J18:L18" si="9">LARGE(J7:J17,1) - SMALL(J7:J17,1)</f>
        <v>13</v>
      </c>
      <c r="K18" s="18">
        <f t="shared" si="9"/>
        <v>9</v>
      </c>
      <c r="L18" s="18">
        <f t="shared" si="9"/>
        <v>11</v>
      </c>
      <c r="O18" s="19">
        <f t="shared" ref="O18" si="10">LARGE(O7:O17,1) - SMALL(O7:O17,1)</f>
        <v>12.774999999999991</v>
      </c>
      <c r="P18" s="48">
        <f>SUM(P7:P17)</f>
        <v>1.081065464755431</v>
      </c>
      <c r="S18">
        <f>AVERAGE(S7:S17)</f>
        <v>27.727272727272727</v>
      </c>
      <c r="T18">
        <f>AVERAGE(T7:T17)</f>
        <v>90.545454545454547</v>
      </c>
      <c r="U18" s="50">
        <f>SUM(U7:U17)</f>
        <v>504.23750000000013</v>
      </c>
    </row>
    <row r="19" spans="1:22" x14ac:dyDescent="0.25">
      <c r="B19" s="3" t="s">
        <v>1</v>
      </c>
      <c r="C19" s="3" t="s">
        <v>2</v>
      </c>
      <c r="D19" s="3" t="s">
        <v>3</v>
      </c>
    </row>
    <row r="20" spans="1:22" x14ac:dyDescent="0.25">
      <c r="A20" s="3" t="s">
        <v>4</v>
      </c>
      <c r="B20" s="2">
        <f>AVERAGE(O7:O12)*0.1+AVERAGE(O13:O17)*0.9</f>
        <v>83.790416666666673</v>
      </c>
      <c r="C20" s="2">
        <f>AVERAGE(O7:O12)*0.9+AVERAGE(O13:O17)*0.1</f>
        <v>82.513750000000002</v>
      </c>
      <c r="D20" s="2">
        <f>AVERAGE(K7:K17)*0.5+AVERAGE(L7:L17)*0.5</f>
        <v>61.86363636363636</v>
      </c>
    </row>
    <row r="21" spans="1:22" x14ac:dyDescent="0.25">
      <c r="A21" s="20" t="s">
        <v>549</v>
      </c>
    </row>
    <row r="22" spans="1:22" x14ac:dyDescent="0.25">
      <c r="A22" t="s">
        <v>423</v>
      </c>
    </row>
    <row r="24" spans="1:22" x14ac:dyDescent="0.25">
      <c r="A24" t="s">
        <v>412</v>
      </c>
    </row>
    <row r="25" spans="1:22" x14ac:dyDescent="0.25">
      <c r="A25" t="s">
        <v>424</v>
      </c>
    </row>
    <row r="27" spans="1:22" x14ac:dyDescent="0.25">
      <c r="A27" t="s">
        <v>413</v>
      </c>
    </row>
    <row r="28" spans="1:22" x14ac:dyDescent="0.25">
      <c r="A28" t="s">
        <v>546</v>
      </c>
    </row>
    <row r="30" spans="1:22" x14ac:dyDescent="0.25">
      <c r="A30" t="s">
        <v>414</v>
      </c>
    </row>
    <row r="31" spans="1:22" x14ac:dyDescent="0.25">
      <c r="A31" t="s">
        <v>425</v>
      </c>
    </row>
    <row r="33" spans="1:1" x14ac:dyDescent="0.25">
      <c r="A33" t="s">
        <v>415</v>
      </c>
    </row>
    <row r="34" spans="1:1" x14ac:dyDescent="0.25">
      <c r="A34" t="s">
        <v>426</v>
      </c>
    </row>
    <row r="36" spans="1:1" x14ac:dyDescent="0.25">
      <c r="A36" t="s">
        <v>416</v>
      </c>
    </row>
    <row r="37" spans="1:1" x14ac:dyDescent="0.25">
      <c r="A37" t="s">
        <v>427</v>
      </c>
    </row>
    <row r="39" spans="1:1" x14ac:dyDescent="0.25">
      <c r="A39" t="s">
        <v>417</v>
      </c>
    </row>
    <row r="40" spans="1:1" x14ac:dyDescent="0.25">
      <c r="A40" t="s">
        <v>428</v>
      </c>
    </row>
    <row r="42" spans="1:1" x14ac:dyDescent="0.25">
      <c r="A42" t="s">
        <v>418</v>
      </c>
    </row>
    <row r="43" spans="1:1" x14ac:dyDescent="0.25">
      <c r="A43" t="s">
        <v>429</v>
      </c>
    </row>
    <row r="45" spans="1:1" x14ac:dyDescent="0.25">
      <c r="A45" t="s">
        <v>419</v>
      </c>
    </row>
    <row r="46" spans="1:1" x14ac:dyDescent="0.25">
      <c r="A46" t="s">
        <v>430</v>
      </c>
    </row>
    <row r="48" spans="1:1" x14ac:dyDescent="0.25">
      <c r="A48" t="s">
        <v>420</v>
      </c>
    </row>
    <row r="49" spans="1:1" x14ac:dyDescent="0.25">
      <c r="A49" t="s">
        <v>431</v>
      </c>
    </row>
    <row r="51" spans="1:1" x14ac:dyDescent="0.25">
      <c r="A51" t="s">
        <v>421</v>
      </c>
    </row>
    <row r="52" spans="1:1" x14ac:dyDescent="0.25">
      <c r="A52" t="s">
        <v>432</v>
      </c>
    </row>
    <row r="54" spans="1:1" x14ac:dyDescent="0.25">
      <c r="A54" t="s">
        <v>422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BB803-3F6A-4C47-AE9B-307B926464B0}">
  <sheetPr codeName="Sheet7">
    <tabColor theme="6"/>
  </sheetPr>
  <dimension ref="A1:V54"/>
  <sheetViews>
    <sheetView workbookViewId="0">
      <selection activeCell="U21" sqref="U21"/>
    </sheetView>
  </sheetViews>
  <sheetFormatPr defaultRowHeight="15" x14ac:dyDescent="0.25"/>
  <cols>
    <col min="1" max="1" width="14.42578125" customWidth="1"/>
    <col min="2" max="2" width="10.5703125" bestFit="1" customWidth="1"/>
    <col min="3" max="3" width="10.42578125" bestFit="1" customWidth="1"/>
    <col min="4" max="4" width="12.5703125" bestFit="1" customWidth="1"/>
    <col min="5" max="5" width="9.42578125" bestFit="1" customWidth="1"/>
  </cols>
  <sheetData>
    <row r="1" spans="1:22" x14ac:dyDescent="0.25">
      <c r="A1" s="3" t="s">
        <v>19</v>
      </c>
      <c r="B1" s="6" t="s">
        <v>25</v>
      </c>
    </row>
    <row r="2" spans="1:22" x14ac:dyDescent="0.25">
      <c r="A2" s="3" t="s">
        <v>20</v>
      </c>
      <c r="B2" s="6" t="s">
        <v>51</v>
      </c>
    </row>
    <row r="3" spans="1:22" x14ac:dyDescent="0.25">
      <c r="A3" s="3" t="s">
        <v>138</v>
      </c>
      <c r="B3" s="6" t="str">
        <f>VLOOKUP(B1,STATS!L1:AA21,16,FALSE)</f>
        <v>Indian</v>
      </c>
    </row>
    <row r="4" spans="1:22" x14ac:dyDescent="0.25">
      <c r="A4" s="3" t="s">
        <v>22</v>
      </c>
      <c r="B4" s="1">
        <f>((B20+C20)/2)*((D20+50)/100)</f>
        <v>65.180611931818177</v>
      </c>
      <c r="F4">
        <f>VLOOKUP($B$1,STATS!$L$1:$Q$21,3,FALSE)</f>
        <v>85</v>
      </c>
      <c r="G4">
        <f>VLOOKUP($B$1,STATS!$L$1:$Q$21,4,FALSE)</f>
        <v>30</v>
      </c>
      <c r="H4">
        <f>VLOOKUP($B$1,STATS!$L$1:$Q$21,5,FALSE)</f>
        <v>30</v>
      </c>
      <c r="I4">
        <f>VLOOKUP($B$1,STATS!$L$1:$Q$21,6,FALSE)</f>
        <v>90</v>
      </c>
      <c r="K4">
        <v>100</v>
      </c>
      <c r="L4">
        <v>25</v>
      </c>
    </row>
    <row r="5" spans="1:22" x14ac:dyDescent="0.25">
      <c r="F5" s="1">
        <f t="shared" ref="F5:O5" si="0">AVERAGE(F7:F17)</f>
        <v>85.909090909090907</v>
      </c>
      <c r="G5" s="1">
        <f t="shared" si="0"/>
        <v>29.545454545454547</v>
      </c>
      <c r="H5" s="1">
        <f t="shared" si="0"/>
        <v>32.454545454545453</v>
      </c>
      <c r="I5" s="1">
        <f t="shared" si="0"/>
        <v>87</v>
      </c>
      <c r="J5" s="1">
        <f t="shared" si="0"/>
        <v>58.727272727272727</v>
      </c>
      <c r="K5" s="1">
        <f t="shared" si="0"/>
        <v>89.181818181818187</v>
      </c>
      <c r="L5" s="1">
        <f t="shared" si="0"/>
        <v>23.272727272727273</v>
      </c>
      <c r="M5" s="1">
        <f t="shared" si="0"/>
        <v>39.097499999999997</v>
      </c>
      <c r="N5" s="1">
        <f t="shared" si="0"/>
        <v>41.345454545454551</v>
      </c>
      <c r="O5" s="1">
        <f t="shared" si="0"/>
        <v>60.665909090909096</v>
      </c>
    </row>
    <row r="6" spans="1:22" x14ac:dyDescent="0.25">
      <c r="A6" s="3" t="s">
        <v>7</v>
      </c>
      <c r="B6" s="3" t="s">
        <v>8</v>
      </c>
      <c r="C6" s="3" t="s">
        <v>9</v>
      </c>
      <c r="D6" s="3" t="s">
        <v>44</v>
      </c>
      <c r="E6" s="3" t="s">
        <v>50</v>
      </c>
      <c r="F6" s="3" t="s">
        <v>17</v>
      </c>
      <c r="G6" s="3" t="s">
        <v>14</v>
      </c>
      <c r="H6" s="3" t="s">
        <v>15</v>
      </c>
      <c r="I6" s="3" t="s">
        <v>16</v>
      </c>
      <c r="J6" s="3" t="s">
        <v>18</v>
      </c>
      <c r="K6" s="3" t="s">
        <v>3</v>
      </c>
      <c r="L6" s="3" t="s">
        <v>10</v>
      </c>
      <c r="M6" s="3" t="s">
        <v>1</v>
      </c>
      <c r="N6" s="3" t="s">
        <v>12</v>
      </c>
      <c r="O6" s="3" t="s">
        <v>43</v>
      </c>
      <c r="P6" s="3" t="s">
        <v>49</v>
      </c>
      <c r="Q6" s="3" t="s">
        <v>47</v>
      </c>
      <c r="R6" s="3" t="s">
        <v>138</v>
      </c>
      <c r="S6" s="3" t="s">
        <v>1354</v>
      </c>
      <c r="T6" s="3" t="s">
        <v>1355</v>
      </c>
      <c r="U6" s="3" t="s">
        <v>1356</v>
      </c>
      <c r="V6" s="3" t="s">
        <v>13</v>
      </c>
    </row>
    <row r="7" spans="1:22" x14ac:dyDescent="0.25">
      <c r="A7" s="8" t="str">
        <f>'All Players'!C26</f>
        <v>GK</v>
      </c>
      <c r="B7" s="8" t="str">
        <f>'All Players'!D26</f>
        <v>Arjun</v>
      </c>
      <c r="C7" s="8" t="str">
        <f>'All Players'!E26</f>
        <v>Singh</v>
      </c>
      <c r="D7" s="8" t="str">
        <f>'All Players'!F26</f>
        <v>A. Singh</v>
      </c>
      <c r="E7" s="8" t="str">
        <f>'All Players'!G26</f>
        <v>Astra</v>
      </c>
      <c r="F7" s="8">
        <f>'All Players'!H26</f>
        <v>84</v>
      </c>
      <c r="G7" s="8">
        <f>'All Players'!I26</f>
        <v>24</v>
      </c>
      <c r="H7" s="8">
        <f>'All Players'!J26</f>
        <v>32</v>
      </c>
      <c r="I7" s="8">
        <f>'All Players'!K26</f>
        <v>86</v>
      </c>
      <c r="J7" s="5">
        <f>AVERAGE(F7:I7)</f>
        <v>56.5</v>
      </c>
      <c r="K7" s="8">
        <f>'All Players'!M26</f>
        <v>85</v>
      </c>
      <c r="L7" s="8">
        <f>'All Players'!N26</f>
        <v>20</v>
      </c>
      <c r="M7" s="4">
        <f>AVERAGE(F7:I7)*0</f>
        <v>0</v>
      </c>
      <c r="N7" s="5">
        <f>O7</f>
        <v>58.1</v>
      </c>
      <c r="O7" s="11">
        <f>F7*Formuals!B2+G7*Formuals!C2+H7*Formuals!D2+I7*Formuals!E2</f>
        <v>58.1</v>
      </c>
      <c r="P7" s="10">
        <f>((M7/SUM($M$7:$M$17)))</f>
        <v>0</v>
      </c>
      <c r="Q7" s="10">
        <f>((M7/100)*(L7/100))*3</f>
        <v>0</v>
      </c>
      <c r="R7" s="8" t="str">
        <f>'All Players'!T26</f>
        <v>Indian</v>
      </c>
      <c r="S7" s="8">
        <f>'All Players'!U26</f>
        <v>25</v>
      </c>
      <c r="T7" s="8">
        <f>'All Players'!V26</f>
        <v>77</v>
      </c>
      <c r="U7" s="49">
        <f t="shared" ref="U7:U17" si="1">IF((O7*0.5)+((T7*0.5)-((S7-18)*0.1))-40&lt;0,"0",(O7*0.5)+((T7*0.5)-((S7-18)*0.1))-40)</f>
        <v>26.849999999999994</v>
      </c>
      <c r="V7" s="6" t="str">
        <f>A24</f>
        <v>Known for his sharp reflexes and agility, like the deadly strike of a cobra.</v>
      </c>
    </row>
    <row r="8" spans="1:22" x14ac:dyDescent="0.25">
      <c r="A8" s="8" t="str">
        <f>'All Players'!C27</f>
        <v>LB</v>
      </c>
      <c r="B8" s="8" t="str">
        <f>'All Players'!D27</f>
        <v>Rohan</v>
      </c>
      <c r="C8" s="8" t="str">
        <f>'All Players'!E27</f>
        <v>Gupta</v>
      </c>
      <c r="D8" s="8" t="str">
        <f>'All Players'!F27</f>
        <v>R. Gupta</v>
      </c>
      <c r="E8" s="8" t="str">
        <f>'All Players'!G27</f>
        <v>Raj</v>
      </c>
      <c r="F8" s="8">
        <f>'All Players'!H27</f>
        <v>85</v>
      </c>
      <c r="G8" s="8">
        <f>'All Players'!I27</f>
        <v>27</v>
      </c>
      <c r="H8" s="8">
        <f>'All Players'!J27</f>
        <v>42</v>
      </c>
      <c r="I8" s="8">
        <f>'All Players'!K27</f>
        <v>92</v>
      </c>
      <c r="J8" s="5">
        <f t="shared" ref="J8:J17" si="2">AVERAGE(F8:I8)</f>
        <v>61.5</v>
      </c>
      <c r="K8" s="8">
        <f>'All Players'!M27</f>
        <v>84</v>
      </c>
      <c r="L8" s="8">
        <f>'All Players'!N27</f>
        <v>18</v>
      </c>
      <c r="M8" s="5">
        <f>0.4*O8</f>
        <v>24.179999999999996</v>
      </c>
      <c r="N8" s="5">
        <f>0.9*O8</f>
        <v>54.404999999999994</v>
      </c>
      <c r="O8" s="11">
        <f>F8*Formuals!B3+G8*Formuals!C3+H8*Formuals!D3+I8*Formuals!E3</f>
        <v>60.449999999999989</v>
      </c>
      <c r="P8" s="10">
        <f t="shared" ref="P8:P10" si="3">((M8/SUM($M$7:$M$17)))*0.67</f>
        <v>3.7669462706869189E-2</v>
      </c>
      <c r="Q8" s="10">
        <f t="shared" ref="Q8:Q17" si="4">((M8/100)*(L8/100))*3</f>
        <v>0.13057199999999997</v>
      </c>
      <c r="R8" s="8" t="str">
        <f>'All Players'!T27</f>
        <v>Indian</v>
      </c>
      <c r="S8" s="8">
        <f>'All Players'!U27</f>
        <v>35</v>
      </c>
      <c r="T8" s="8">
        <f>'All Players'!V27</f>
        <v>61</v>
      </c>
      <c r="U8" s="49">
        <f t="shared" si="1"/>
        <v>19.024999999999991</v>
      </c>
      <c r="V8" s="6" t="str">
        <f>A27</f>
        <v>His royal ('raj') defensive play is both dignified and effective.</v>
      </c>
    </row>
    <row r="9" spans="1:22" x14ac:dyDescent="0.25">
      <c r="A9" s="8" t="str">
        <f>'All Players'!C28</f>
        <v>CB</v>
      </c>
      <c r="B9" s="8" t="str">
        <f>'All Players'!D28</f>
        <v>Amit</v>
      </c>
      <c r="C9" s="8" t="str">
        <f>'All Players'!E28</f>
        <v>Sharma</v>
      </c>
      <c r="D9" s="8" t="str">
        <f>'All Players'!F28</f>
        <v>A. Sharma</v>
      </c>
      <c r="E9" s="8" t="str">
        <f>'All Players'!G28</f>
        <v>Aghat</v>
      </c>
      <c r="F9" s="8">
        <f>'All Players'!H28</f>
        <v>80</v>
      </c>
      <c r="G9" s="8">
        <f>'All Players'!I28</f>
        <v>32</v>
      </c>
      <c r="H9" s="8">
        <f>'All Players'!J28</f>
        <v>38</v>
      </c>
      <c r="I9" s="8">
        <f>'All Players'!K28</f>
        <v>84</v>
      </c>
      <c r="J9" s="5">
        <f t="shared" si="2"/>
        <v>58.5</v>
      </c>
      <c r="K9" s="8">
        <f>'All Players'!M28</f>
        <v>98</v>
      </c>
      <c r="L9" s="8">
        <f>'All Players'!N28</f>
        <v>25</v>
      </c>
      <c r="M9" s="5">
        <f>O9*0.3</f>
        <v>14.774999999999999</v>
      </c>
      <c r="N9" s="5">
        <f>O9</f>
        <v>49.25</v>
      </c>
      <c r="O9" s="11">
        <f>F9*Formuals!B4+G9*Formuals!C4+H9*Formuals!D4+I9*Formuals!E4</f>
        <v>49.25</v>
      </c>
      <c r="P9" s="10">
        <f t="shared" si="3"/>
        <v>2.3017630748304065E-2</v>
      </c>
      <c r="Q9" s="10">
        <f t="shared" si="4"/>
        <v>0.11081249999999999</v>
      </c>
      <c r="R9" s="8" t="str">
        <f>'All Players'!T28</f>
        <v>Indian</v>
      </c>
      <c r="S9" s="8">
        <f>'All Players'!U28</f>
        <v>20</v>
      </c>
      <c r="T9" s="8">
        <f>'All Players'!V28</f>
        <v>51</v>
      </c>
      <c r="U9" s="49">
        <f t="shared" si="1"/>
        <v>9.9249999999999972</v>
      </c>
      <c r="V9" s="6" t="str">
        <f>A30</f>
        <v>Solid and unyielding, his name 'aghat' meaning 'impact' reflects his defensive prowess.</v>
      </c>
    </row>
    <row r="10" spans="1:22" x14ac:dyDescent="0.25">
      <c r="A10" s="8" t="str">
        <f>'All Players'!C29</f>
        <v>CB</v>
      </c>
      <c r="B10" s="8" t="str">
        <f>'All Players'!D29</f>
        <v>Vikram</v>
      </c>
      <c r="C10" s="8" t="str">
        <f>'All Players'!E29</f>
        <v>Patel</v>
      </c>
      <c r="D10" s="8" t="str">
        <f>'All Players'!F29</f>
        <v>V. Patel</v>
      </c>
      <c r="E10" s="8" t="str">
        <f>'All Players'!G29</f>
        <v>Veer</v>
      </c>
      <c r="F10" s="8">
        <f>'All Players'!H29</f>
        <v>93</v>
      </c>
      <c r="G10" s="8">
        <f>'All Players'!I29</f>
        <v>36</v>
      </c>
      <c r="H10" s="8">
        <f>'All Players'!J29</f>
        <v>28</v>
      </c>
      <c r="I10" s="8">
        <f>'All Players'!K29</f>
        <v>86</v>
      </c>
      <c r="J10" s="5">
        <f t="shared" si="2"/>
        <v>60.75</v>
      </c>
      <c r="K10" s="8">
        <f>'All Players'!M29</f>
        <v>86</v>
      </c>
      <c r="L10" s="8">
        <f>'All Players'!N29</f>
        <v>17</v>
      </c>
      <c r="M10" s="5">
        <f>O10*0.3</f>
        <v>13.807499999999999</v>
      </c>
      <c r="N10" s="5">
        <f>O10</f>
        <v>46.024999999999999</v>
      </c>
      <c r="O10" s="11">
        <f>F10*Formuals!B5+G10*Formuals!C5+H10*Formuals!D5+I10*Formuals!E5</f>
        <v>46.024999999999999</v>
      </c>
      <c r="P10" s="10">
        <f t="shared" si="3"/>
        <v>2.1510384876968418E-2</v>
      </c>
      <c r="Q10" s="10">
        <f t="shared" si="4"/>
        <v>7.0418250000000002E-2</v>
      </c>
      <c r="R10" s="8" t="str">
        <f>'All Players'!T29</f>
        <v>Indian</v>
      </c>
      <c r="S10" s="8">
        <f>'All Players'!U29</f>
        <v>19</v>
      </c>
      <c r="T10" s="8">
        <f>'All Players'!V29</f>
        <v>47</v>
      </c>
      <c r="U10" s="49">
        <f t="shared" si="1"/>
        <v>6.4124999999999943</v>
      </c>
      <c r="V10" s="6" t="str">
        <f>A33</f>
        <v>Brave ('veer') and strong, he's a formidable force in the heart of the defense.</v>
      </c>
    </row>
    <row r="11" spans="1:22" x14ac:dyDescent="0.25">
      <c r="A11" s="8" t="str">
        <f>'All Players'!C30</f>
        <v>RB</v>
      </c>
      <c r="B11" s="8" t="str">
        <f>'All Players'!D30</f>
        <v>Siddharth</v>
      </c>
      <c r="C11" s="8" t="str">
        <f>'All Players'!E30</f>
        <v>Mehta</v>
      </c>
      <c r="D11" s="8" t="str">
        <f>'All Players'!F30</f>
        <v>S. Mehta</v>
      </c>
      <c r="E11" s="8" t="str">
        <f>'All Players'!G30</f>
        <v>Siddhi</v>
      </c>
      <c r="F11" s="8">
        <f>'All Players'!H30</f>
        <v>81</v>
      </c>
      <c r="G11" s="8">
        <f>'All Players'!I30</f>
        <v>20</v>
      </c>
      <c r="H11" s="8">
        <f>'All Players'!J30</f>
        <v>45</v>
      </c>
      <c r="I11" s="8">
        <f>'All Players'!K30</f>
        <v>81</v>
      </c>
      <c r="J11" s="5">
        <f t="shared" si="2"/>
        <v>56.75</v>
      </c>
      <c r="K11" s="8">
        <f>'All Players'!M30</f>
        <v>89</v>
      </c>
      <c r="L11" s="8">
        <f>'All Players'!N30</f>
        <v>28</v>
      </c>
      <c r="M11" s="5">
        <f>0.4*O11</f>
        <v>22.480000000000004</v>
      </c>
      <c r="N11" s="5">
        <f>0.9*O11</f>
        <v>50.580000000000005</v>
      </c>
      <c r="O11" s="11">
        <f>F11*Formuals!B6+G11*Formuals!C6+H11*Formuals!D6+I11*Formuals!E6</f>
        <v>56.2</v>
      </c>
      <c r="P11" s="10">
        <f>((M11/SUM($M$7:$M$17)))*0.67</f>
        <v>3.5021072028553334E-2</v>
      </c>
      <c r="Q11" s="10">
        <f t="shared" si="4"/>
        <v>0.18883200000000006</v>
      </c>
      <c r="R11" s="8" t="str">
        <f>'All Players'!T30</f>
        <v>Indian</v>
      </c>
      <c r="S11" s="8">
        <f>'All Players'!U30</f>
        <v>26</v>
      </c>
      <c r="T11" s="8">
        <f>'All Players'!V30</f>
        <v>69</v>
      </c>
      <c r="U11" s="49">
        <f t="shared" si="1"/>
        <v>21.800000000000004</v>
      </c>
      <c r="V11" s="6" t="str">
        <f>A36</f>
        <v>His skillful ('siddhi') play and agility make him a key asset in both defense and attack.</v>
      </c>
    </row>
    <row r="12" spans="1:22" x14ac:dyDescent="0.25">
      <c r="A12" s="8" t="str">
        <f>'All Players'!C31</f>
        <v>CDM</v>
      </c>
      <c r="B12" s="8" t="str">
        <f>'All Players'!D31</f>
        <v>Nikhil</v>
      </c>
      <c r="C12" s="8" t="str">
        <f>'All Players'!E31</f>
        <v>Nair</v>
      </c>
      <c r="D12" s="8" t="str">
        <f>'All Players'!F31</f>
        <v>N. Nair</v>
      </c>
      <c r="E12" s="8" t="str">
        <f>'All Players'!G31</f>
        <v>Nipun</v>
      </c>
      <c r="F12" s="8">
        <f>'All Players'!H31</f>
        <v>75</v>
      </c>
      <c r="G12" s="8">
        <f>'All Players'!I31</f>
        <v>49</v>
      </c>
      <c r="H12" s="8">
        <f>'All Players'!J31</f>
        <v>36</v>
      </c>
      <c r="I12" s="8">
        <f>'All Players'!K31</f>
        <v>80</v>
      </c>
      <c r="J12" s="5">
        <f t="shared" si="2"/>
        <v>60</v>
      </c>
      <c r="K12" s="8">
        <f>'All Players'!M31</f>
        <v>82</v>
      </c>
      <c r="L12" s="8">
        <f>'All Players'!N31</f>
        <v>24</v>
      </c>
      <c r="M12" s="5">
        <f>O12*0.6</f>
        <v>31.41</v>
      </c>
      <c r="N12" s="5">
        <f>O12*0.9</f>
        <v>47.115000000000002</v>
      </c>
      <c r="O12" s="11">
        <f>F12*Formuals!B7+G12*Formuals!C7+H12*Formuals!D7+I12*Formuals!E7</f>
        <v>52.35</v>
      </c>
      <c r="P12" s="10">
        <f t="shared" ref="P12:P14" si="5">((M12/SUM($M$7:$M$17)))</f>
        <v>7.3034197722477032E-2</v>
      </c>
      <c r="Q12" s="10">
        <f t="shared" si="4"/>
        <v>0.22615199999999996</v>
      </c>
      <c r="R12" s="8" t="str">
        <f>'All Players'!T31</f>
        <v>Indian</v>
      </c>
      <c r="S12" s="8">
        <f>'All Players'!U31</f>
        <v>31</v>
      </c>
      <c r="T12" s="8">
        <f>'All Players'!V31</f>
        <v>59</v>
      </c>
      <c r="U12" s="49">
        <f t="shared" si="1"/>
        <v>14.375</v>
      </c>
      <c r="V12" s="6" t="str">
        <f>A39</f>
        <v>Skillful ('nipun') and precise, he controls the midfield with his tactical intelligence.</v>
      </c>
    </row>
    <row r="13" spans="1:22" x14ac:dyDescent="0.25">
      <c r="A13" s="8" t="str">
        <f>'All Players'!C32</f>
        <v>CM</v>
      </c>
      <c r="B13" s="8" t="str">
        <f>'All Players'!D32</f>
        <v>Rajesh</v>
      </c>
      <c r="C13" s="8" t="str">
        <f>'All Players'!E32</f>
        <v>Kumar</v>
      </c>
      <c r="D13" s="8" t="str">
        <f>'All Players'!F32</f>
        <v>R. Kumar</v>
      </c>
      <c r="E13" s="8" t="str">
        <f>'All Players'!G32</f>
        <v>Rajat</v>
      </c>
      <c r="F13" s="8">
        <f>'All Players'!H32</f>
        <v>82</v>
      </c>
      <c r="G13" s="8">
        <f>'All Players'!I32</f>
        <v>52</v>
      </c>
      <c r="H13" s="8">
        <f>'All Players'!J32</f>
        <v>42</v>
      </c>
      <c r="I13" s="8">
        <f>'All Players'!K32</f>
        <v>82</v>
      </c>
      <c r="J13" s="5">
        <f t="shared" si="2"/>
        <v>64.5</v>
      </c>
      <c r="K13" s="8">
        <f>'All Players'!M32</f>
        <v>90</v>
      </c>
      <c r="L13" s="8">
        <f>'All Players'!N32</f>
        <v>26</v>
      </c>
      <c r="M13" s="5">
        <f>O13*0.75</f>
        <v>46.875</v>
      </c>
      <c r="N13" s="5">
        <f>O13*0.75</f>
        <v>46.875</v>
      </c>
      <c r="O13" s="11">
        <f>F13*Formuals!B8+G13*Formuals!C8+H13*Formuals!D8+I13*Formuals!E8</f>
        <v>62.5</v>
      </c>
      <c r="P13" s="10">
        <f t="shared" si="5"/>
        <v>0.10899325113788955</v>
      </c>
      <c r="Q13" s="10">
        <f t="shared" si="4"/>
        <v>0.36562500000000003</v>
      </c>
      <c r="R13" s="8" t="str">
        <f>'All Players'!T32</f>
        <v>Indian</v>
      </c>
      <c r="S13" s="8">
        <f>'All Players'!U32</f>
        <v>22</v>
      </c>
      <c r="T13" s="8">
        <f>'All Players'!V32</f>
        <v>80</v>
      </c>
      <c r="U13" s="49">
        <f t="shared" si="1"/>
        <v>30.849999999999994</v>
      </c>
      <c r="V13" s="6" t="str">
        <f>A42</f>
        <v>His name means 'silver', and he adds a shining quality to the team's play.</v>
      </c>
    </row>
    <row r="14" spans="1:22" x14ac:dyDescent="0.25">
      <c r="A14" s="8" t="str">
        <f>'All Players'!C33</f>
        <v>CAM</v>
      </c>
      <c r="B14" s="8" t="str">
        <f>'All Players'!D33</f>
        <v>Abhishek</v>
      </c>
      <c r="C14" s="8" t="str">
        <f>'All Players'!E33</f>
        <v>Joshi</v>
      </c>
      <c r="D14" s="8" t="str">
        <f>'All Players'!F33</f>
        <v>A. Joshi</v>
      </c>
      <c r="E14" s="8" t="str">
        <f>'All Players'!G33</f>
        <v>Agni</v>
      </c>
      <c r="F14" s="8">
        <f>'All Players'!H33</f>
        <v>92</v>
      </c>
      <c r="G14" s="8">
        <f>'All Players'!I33</f>
        <v>21</v>
      </c>
      <c r="H14" s="8">
        <f>'All Players'!J33</f>
        <v>29</v>
      </c>
      <c r="I14" s="8">
        <f>'All Players'!K33</f>
        <v>85</v>
      </c>
      <c r="J14" s="5">
        <f t="shared" si="2"/>
        <v>56.75</v>
      </c>
      <c r="K14" s="8">
        <f>'All Players'!M33</f>
        <v>97</v>
      </c>
      <c r="L14" s="8">
        <f>'All Players'!N33</f>
        <v>41</v>
      </c>
      <c r="M14" s="5">
        <f>O14*0.9</f>
        <v>53.144999999999996</v>
      </c>
      <c r="N14" s="5">
        <f>O14*0.6</f>
        <v>35.43</v>
      </c>
      <c r="O14" s="11">
        <f>F14*Formuals!B9+G14*Formuals!C9+H14*Formuals!D9+I14*Formuals!E9</f>
        <v>59.05</v>
      </c>
      <c r="P14" s="10">
        <f t="shared" si="5"/>
        <v>0.12357218841009364</v>
      </c>
      <c r="Q14" s="10">
        <f t="shared" si="4"/>
        <v>0.65368349999999997</v>
      </c>
      <c r="R14" s="8" t="str">
        <f>'All Players'!T33</f>
        <v>Indian</v>
      </c>
      <c r="S14" s="8">
        <f>'All Players'!U33</f>
        <v>22</v>
      </c>
      <c r="T14" s="8">
        <f>'All Players'!V33</f>
        <v>79</v>
      </c>
      <c r="U14" s="49">
        <f t="shared" si="1"/>
        <v>28.625</v>
      </c>
      <c r="V14" s="6" t="str">
        <f>A45</f>
        <v>Fiery ('agni') and passionate, he ignites the team's attacking moves.</v>
      </c>
    </row>
    <row r="15" spans="1:22" x14ac:dyDescent="0.25">
      <c r="A15" s="8" t="str">
        <f>'All Players'!C34</f>
        <v>LW</v>
      </c>
      <c r="B15" s="8" t="str">
        <f>'All Players'!D34</f>
        <v>Kunal</v>
      </c>
      <c r="C15" s="8" t="str">
        <f>'All Players'!E34</f>
        <v>Chaudhary</v>
      </c>
      <c r="D15" s="8" t="str">
        <f>'All Players'!F34</f>
        <v>K. Chaudhary</v>
      </c>
      <c r="E15" s="8" t="str">
        <f>'All Players'!G34</f>
        <v>Karma</v>
      </c>
      <c r="F15" s="8">
        <f>'All Players'!H34</f>
        <v>91</v>
      </c>
      <c r="G15" s="8">
        <f>'All Players'!I34</f>
        <v>19</v>
      </c>
      <c r="H15" s="8">
        <f>'All Players'!J34</f>
        <v>25</v>
      </c>
      <c r="I15" s="8">
        <f>'All Players'!K34</f>
        <v>95</v>
      </c>
      <c r="J15" s="5">
        <f t="shared" si="2"/>
        <v>57.5</v>
      </c>
      <c r="K15" s="8">
        <f>'All Players'!M34</f>
        <v>84</v>
      </c>
      <c r="L15" s="8">
        <f>'All Players'!N34</f>
        <v>26</v>
      </c>
      <c r="M15" s="5">
        <f>O15</f>
        <v>78.699999999999989</v>
      </c>
      <c r="N15" s="5">
        <f>O15*0.3</f>
        <v>23.609999999999996</v>
      </c>
      <c r="O15" s="11">
        <f>F15*Formuals!B10+G15*Formuals!C10+H15*Formuals!D10+I15*Formuals!E10</f>
        <v>78.699999999999989</v>
      </c>
      <c r="P15" s="10">
        <f>((M15/SUM($M$7:$M$17)))*1.33</f>
        <v>0.24337989525021941</v>
      </c>
      <c r="Q15" s="10">
        <f t="shared" si="4"/>
        <v>0.61385999999999996</v>
      </c>
      <c r="R15" s="8" t="str">
        <f>'All Players'!T34</f>
        <v>Indian</v>
      </c>
      <c r="S15" s="8">
        <f>'All Players'!U34</f>
        <v>27</v>
      </c>
      <c r="T15" s="8">
        <f>'All Players'!V34</f>
        <v>93</v>
      </c>
      <c r="U15" s="49">
        <f t="shared" si="1"/>
        <v>44.949999999999989</v>
      </c>
      <c r="V15" s="6" t="str">
        <f>A48</f>
        <v>Believing in 'karma', his hard work and dedication always pay off on the field.</v>
      </c>
    </row>
    <row r="16" spans="1:22" x14ac:dyDescent="0.25">
      <c r="A16" s="8" t="str">
        <f>'All Players'!C35</f>
        <v>ST</v>
      </c>
      <c r="B16" s="8" t="str">
        <f>'All Players'!D35</f>
        <v>Vivek</v>
      </c>
      <c r="C16" s="8" t="str">
        <f>'All Players'!E35</f>
        <v>Verma</v>
      </c>
      <c r="D16" s="8" t="str">
        <f>'All Players'!F35</f>
        <v>V. Verma</v>
      </c>
      <c r="E16" s="8" t="str">
        <f>'All Players'!G35</f>
        <v>Vijay</v>
      </c>
      <c r="F16" s="8">
        <f>'All Players'!H35</f>
        <v>88</v>
      </c>
      <c r="G16" s="8">
        <f>'All Players'!I35</f>
        <v>22</v>
      </c>
      <c r="H16" s="8">
        <f>'All Players'!J35</f>
        <v>18</v>
      </c>
      <c r="I16" s="8">
        <f>'All Players'!K35</f>
        <v>97</v>
      </c>
      <c r="J16" s="5">
        <f t="shared" si="2"/>
        <v>56.25</v>
      </c>
      <c r="K16" s="8">
        <f>'All Players'!M35</f>
        <v>92</v>
      </c>
      <c r="L16" s="8">
        <f>'All Players'!N35</f>
        <v>14</v>
      </c>
      <c r="M16" s="5">
        <f>O16</f>
        <v>67.199999999999989</v>
      </c>
      <c r="N16" s="5">
        <f t="shared" ref="N16:N17" si="6">O16*0.3</f>
        <v>20.159999999999997</v>
      </c>
      <c r="O16" s="11">
        <f>F16*Formuals!B11+G16*Formuals!C11+H16*Formuals!D11+I16*Formuals!E11</f>
        <v>67.199999999999989</v>
      </c>
      <c r="P16" s="10">
        <f t="shared" ref="P16:P17" si="7">((M16/SUM($M$7:$M$17)))*1.33</f>
        <v>0.20781612402560032</v>
      </c>
      <c r="Q16" s="10">
        <f t="shared" si="4"/>
        <v>0.28223999999999999</v>
      </c>
      <c r="R16" s="8" t="str">
        <f>'All Players'!T35</f>
        <v>Indian</v>
      </c>
      <c r="S16" s="8">
        <f>'All Players'!U35</f>
        <v>19</v>
      </c>
      <c r="T16" s="8">
        <f>'All Players'!V35</f>
        <v>81</v>
      </c>
      <c r="U16" s="49">
        <f t="shared" si="1"/>
        <v>34</v>
      </c>
      <c r="V16" s="6" t="str">
        <f>A51</f>
        <v>His name means 'victory', and he consistently delivers winning performances.</v>
      </c>
    </row>
    <row r="17" spans="1:22" x14ac:dyDescent="0.25">
      <c r="A17" s="8" t="str">
        <f>'All Players'!C36</f>
        <v>RW</v>
      </c>
      <c r="B17" s="8" t="str">
        <f>'All Players'!D36</f>
        <v>Aditya</v>
      </c>
      <c r="C17" s="8" t="str">
        <f>'All Players'!E36</f>
        <v>Rana</v>
      </c>
      <c r="D17" s="8" t="str">
        <f>'All Players'!F36</f>
        <v>A. Rana</v>
      </c>
      <c r="E17" s="8" t="str">
        <f>'All Players'!G36</f>
        <v>Aadi</v>
      </c>
      <c r="F17" s="8">
        <f>'All Players'!H36</f>
        <v>94</v>
      </c>
      <c r="G17" s="8">
        <f>'All Players'!I36</f>
        <v>23</v>
      </c>
      <c r="H17" s="8">
        <f>'All Players'!J36</f>
        <v>22</v>
      </c>
      <c r="I17" s="8">
        <f>'All Players'!K36</f>
        <v>89</v>
      </c>
      <c r="J17" s="5">
        <f t="shared" si="2"/>
        <v>57</v>
      </c>
      <c r="K17" s="8">
        <f>'All Players'!M36</f>
        <v>94</v>
      </c>
      <c r="L17" s="8">
        <f>'All Players'!N36</f>
        <v>17</v>
      </c>
      <c r="M17" s="5">
        <f>O17</f>
        <v>77.5</v>
      </c>
      <c r="N17" s="5">
        <f t="shared" si="6"/>
        <v>23.25</v>
      </c>
      <c r="O17" s="11">
        <f>F17*Formuals!B12+G17*Formuals!C12+H17*Formuals!D12+I17*Formuals!E12</f>
        <v>77.5</v>
      </c>
      <c r="P17" s="10">
        <f t="shared" si="7"/>
        <v>0.23966889303547659</v>
      </c>
      <c r="Q17" s="10">
        <f t="shared" si="4"/>
        <v>0.39524999999999999</v>
      </c>
      <c r="R17" s="8" t="str">
        <f>'All Players'!T36</f>
        <v>Indian</v>
      </c>
      <c r="S17" s="8">
        <f>'All Players'!U36</f>
        <v>22</v>
      </c>
      <c r="T17" s="8">
        <f>'All Players'!V36</f>
        <v>80</v>
      </c>
      <c r="U17" s="49">
        <f t="shared" si="1"/>
        <v>38.349999999999994</v>
      </c>
      <c r="V17" s="6" t="str">
        <f>A54</f>
        <v>A 'beginning' ('aadi') of new attacks, his striking ability is formidable and decisive.</v>
      </c>
    </row>
    <row r="18" spans="1:22" x14ac:dyDescent="0.25">
      <c r="F18" s="18">
        <f t="shared" ref="F18:G18" si="8">LARGE(F7:F17,1) - SMALL(F7:F17,1)</f>
        <v>19</v>
      </c>
      <c r="G18" s="18">
        <f t="shared" si="8"/>
        <v>33</v>
      </c>
      <c r="H18" s="18">
        <f>LARGE(H7:H17,1) - SMALL(H7:H17,1)</f>
        <v>27</v>
      </c>
      <c r="I18" s="18">
        <f>LARGE(I7:I17,1) - SMALL(I7:I17,1)</f>
        <v>17</v>
      </c>
      <c r="J18" s="19">
        <f t="shared" ref="J18:L18" si="9">LARGE(J7:J17,1) - SMALL(J7:J17,1)</f>
        <v>8.25</v>
      </c>
      <c r="K18" s="18">
        <f t="shared" si="9"/>
        <v>16</v>
      </c>
      <c r="L18" s="18">
        <f t="shared" si="9"/>
        <v>27</v>
      </c>
      <c r="O18" s="19">
        <f t="shared" ref="O18" si="10">LARGE(O7:O17,1) - SMALL(O7:O17,1)</f>
        <v>32.67499999999999</v>
      </c>
      <c r="P18" s="48">
        <f>SUM(P7:P17)</f>
        <v>1.1136830999424516</v>
      </c>
      <c r="S18">
        <f>AVERAGE(S7:S17)</f>
        <v>24.363636363636363</v>
      </c>
      <c r="T18">
        <f>AVERAGE(T7:T17)</f>
        <v>70.63636363636364</v>
      </c>
      <c r="U18" s="50">
        <f>SUM(U7:U17)</f>
        <v>275.16249999999997</v>
      </c>
    </row>
    <row r="19" spans="1:22" x14ac:dyDescent="0.25">
      <c r="B19" s="3" t="s">
        <v>1</v>
      </c>
      <c r="C19" s="3" t="s">
        <v>2</v>
      </c>
      <c r="D19" s="3" t="s">
        <v>3</v>
      </c>
    </row>
    <row r="20" spans="1:22" x14ac:dyDescent="0.25">
      <c r="A20" s="3" t="s">
        <v>4</v>
      </c>
      <c r="B20" s="2">
        <f>AVERAGE(O7:O12)*0.1+AVERAGE(O13:O17)*0.9</f>
        <v>67.463916666666663</v>
      </c>
      <c r="C20" s="2">
        <f>AVERAGE(O7:O12)*0.9+AVERAGE(O13:O17)*0.1</f>
        <v>55.255249999999997</v>
      </c>
      <c r="D20" s="2">
        <f>AVERAGE(K7:K17)*0.5+AVERAGE(L7:L17)*0.5</f>
        <v>56.227272727272734</v>
      </c>
    </row>
    <row r="22" spans="1:22" x14ac:dyDescent="0.25">
      <c r="A22" t="s">
        <v>444</v>
      </c>
    </row>
    <row r="24" spans="1:22" x14ac:dyDescent="0.25">
      <c r="A24" t="s">
        <v>433</v>
      </c>
    </row>
    <row r="25" spans="1:22" x14ac:dyDescent="0.25">
      <c r="A25" t="s">
        <v>445</v>
      </c>
    </row>
    <row r="27" spans="1:22" x14ac:dyDescent="0.25">
      <c r="A27" t="s">
        <v>434</v>
      </c>
    </row>
    <row r="28" spans="1:22" x14ac:dyDescent="0.25">
      <c r="A28" t="s">
        <v>446</v>
      </c>
    </row>
    <row r="30" spans="1:22" x14ac:dyDescent="0.25">
      <c r="A30" t="s">
        <v>435</v>
      </c>
    </row>
    <row r="31" spans="1:22" x14ac:dyDescent="0.25">
      <c r="A31" t="s">
        <v>447</v>
      </c>
    </row>
    <row r="33" spans="1:1" x14ac:dyDescent="0.25">
      <c r="A33" t="s">
        <v>436</v>
      </c>
    </row>
    <row r="34" spans="1:1" x14ac:dyDescent="0.25">
      <c r="A34" t="s">
        <v>448</v>
      </c>
    </row>
    <row r="36" spans="1:1" x14ac:dyDescent="0.25">
      <c r="A36" t="s">
        <v>437</v>
      </c>
    </row>
    <row r="37" spans="1:1" x14ac:dyDescent="0.25">
      <c r="A37" t="s">
        <v>449</v>
      </c>
    </row>
    <row r="39" spans="1:1" x14ac:dyDescent="0.25">
      <c r="A39" t="s">
        <v>438</v>
      </c>
    </row>
    <row r="40" spans="1:1" x14ac:dyDescent="0.25">
      <c r="A40" t="s">
        <v>450</v>
      </c>
    </row>
    <row r="42" spans="1:1" x14ac:dyDescent="0.25">
      <c r="A42" t="s">
        <v>439</v>
      </c>
    </row>
    <row r="43" spans="1:1" x14ac:dyDescent="0.25">
      <c r="A43" t="s">
        <v>451</v>
      </c>
    </row>
    <row r="45" spans="1:1" x14ac:dyDescent="0.25">
      <c r="A45" t="s">
        <v>440</v>
      </c>
    </row>
    <row r="46" spans="1:1" x14ac:dyDescent="0.25">
      <c r="A46" t="s">
        <v>452</v>
      </c>
    </row>
    <row r="48" spans="1:1" x14ac:dyDescent="0.25">
      <c r="A48" t="s">
        <v>441</v>
      </c>
    </row>
    <row r="49" spans="1:1" x14ac:dyDescent="0.25">
      <c r="A49" t="s">
        <v>453</v>
      </c>
    </row>
    <row r="51" spans="1:1" x14ac:dyDescent="0.25">
      <c r="A51" t="s">
        <v>442</v>
      </c>
    </row>
    <row r="52" spans="1:1" x14ac:dyDescent="0.25">
      <c r="A52" t="s">
        <v>454</v>
      </c>
    </row>
    <row r="54" spans="1:1" x14ac:dyDescent="0.25">
      <c r="A54" t="s">
        <v>443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373CC-FE0C-43D8-A74A-0D103EACC5E6}">
  <sheetPr codeName="Sheet8">
    <tabColor theme="6"/>
  </sheetPr>
  <dimension ref="A1:V54"/>
  <sheetViews>
    <sheetView workbookViewId="0">
      <selection activeCell="U21" sqref="U21"/>
    </sheetView>
  </sheetViews>
  <sheetFormatPr defaultRowHeight="15" x14ac:dyDescent="0.25"/>
  <cols>
    <col min="2" max="2" width="10.5703125" bestFit="1" customWidth="1"/>
    <col min="3" max="3" width="10.140625" bestFit="1" customWidth="1"/>
    <col min="4" max="4" width="11.85546875" bestFit="1" customWidth="1"/>
    <col min="5" max="5" width="9.28515625" bestFit="1" customWidth="1"/>
  </cols>
  <sheetData>
    <row r="1" spans="1:22" x14ac:dyDescent="0.25">
      <c r="A1" s="3" t="s">
        <v>19</v>
      </c>
      <c r="B1" s="6" t="s">
        <v>26</v>
      </c>
    </row>
    <row r="2" spans="1:22" x14ac:dyDescent="0.25">
      <c r="A2" s="3" t="s">
        <v>20</v>
      </c>
      <c r="B2" s="6" t="s">
        <v>455</v>
      </c>
    </row>
    <row r="3" spans="1:22" x14ac:dyDescent="0.25">
      <c r="A3" s="3" t="s">
        <v>138</v>
      </c>
      <c r="B3" s="6" t="str">
        <f>VLOOKUP(B1,STATS!L1:AA21,16,FALSE)</f>
        <v>Chile</v>
      </c>
    </row>
    <row r="4" spans="1:22" x14ac:dyDescent="0.25">
      <c r="A4" s="3" t="s">
        <v>22</v>
      </c>
      <c r="B4" s="1">
        <f>((B20+C20)/2)*((D20+50)/100)</f>
        <v>67.420970643939398</v>
      </c>
      <c r="F4">
        <f>VLOOKUP($B$1,STATS!$L$1:$Q$21,3,FALSE)</f>
        <v>80</v>
      </c>
      <c r="G4">
        <f>VLOOKUP($B$1,STATS!$L$1:$Q$21,4,FALSE)</f>
        <v>40</v>
      </c>
      <c r="H4">
        <f>VLOOKUP($B$1,STATS!$L$1:$Q$21,5,FALSE)</f>
        <v>10</v>
      </c>
      <c r="I4">
        <f>VLOOKUP($B$1,STATS!$L$1:$Q$21,6,FALSE)</f>
        <v>95</v>
      </c>
      <c r="K4">
        <v>80</v>
      </c>
      <c r="L4">
        <v>40</v>
      </c>
    </row>
    <row r="5" spans="1:22" x14ac:dyDescent="0.25">
      <c r="F5" s="12">
        <f t="shared" ref="F5:H5" si="0">AVERAGE(F7:F17)</f>
        <v>83.181818181818187</v>
      </c>
      <c r="G5" s="12">
        <f t="shared" si="0"/>
        <v>40.636363636363633</v>
      </c>
      <c r="H5" s="12">
        <f t="shared" si="0"/>
        <v>11.909090909090908</v>
      </c>
      <c r="I5" s="12">
        <f>AVERAGE(I7:I17)</f>
        <v>94.36363636363636</v>
      </c>
      <c r="J5" s="12">
        <f>AVERAGE(J7:J17)</f>
        <v>57.522727272727273</v>
      </c>
      <c r="K5" s="12">
        <f t="shared" ref="K5:M5" si="1">AVERAGE(K7:K17)</f>
        <v>79.545454545454547</v>
      </c>
      <c r="L5" s="12">
        <f t="shared" si="1"/>
        <v>40.909090909090907</v>
      </c>
      <c r="M5" s="12">
        <f t="shared" si="1"/>
        <v>39.88818181818182</v>
      </c>
      <c r="N5" s="12">
        <f>AVERAGE(N7:N17)</f>
        <v>39.715227272727269</v>
      </c>
      <c r="O5" s="12">
        <f>AVERAGE(O7:O17)</f>
        <v>60.065909090909102</v>
      </c>
    </row>
    <row r="6" spans="1:22" x14ac:dyDescent="0.25">
      <c r="A6" s="3" t="s">
        <v>7</v>
      </c>
      <c r="B6" s="3" t="s">
        <v>8</v>
      </c>
      <c r="C6" s="3" t="s">
        <v>9</v>
      </c>
      <c r="D6" s="3" t="s">
        <v>44</v>
      </c>
      <c r="E6" s="3" t="s">
        <v>50</v>
      </c>
      <c r="F6" s="3" t="s">
        <v>17</v>
      </c>
      <c r="G6" s="3" t="s">
        <v>14</v>
      </c>
      <c r="H6" s="3" t="s">
        <v>15</v>
      </c>
      <c r="I6" s="3" t="s">
        <v>16</v>
      </c>
      <c r="J6" s="3" t="s">
        <v>48</v>
      </c>
      <c r="K6" s="3" t="s">
        <v>3</v>
      </c>
      <c r="L6" s="3" t="s">
        <v>10</v>
      </c>
      <c r="M6" s="3" t="s">
        <v>1</v>
      </c>
      <c r="N6" s="3" t="s">
        <v>12</v>
      </c>
      <c r="O6" s="3" t="s">
        <v>4</v>
      </c>
      <c r="P6" s="3" t="s">
        <v>49</v>
      </c>
      <c r="Q6" s="3" t="s">
        <v>47</v>
      </c>
      <c r="R6" s="3" t="s">
        <v>138</v>
      </c>
      <c r="S6" s="3" t="s">
        <v>1354</v>
      </c>
      <c r="T6" s="3" t="s">
        <v>1355</v>
      </c>
      <c r="U6" s="3" t="s">
        <v>1356</v>
      </c>
      <c r="V6" s="3" t="s">
        <v>13</v>
      </c>
    </row>
    <row r="7" spans="1:22" x14ac:dyDescent="0.25">
      <c r="A7" s="8" t="str">
        <f>'All Players'!C37</f>
        <v>GK</v>
      </c>
      <c r="B7" s="8" t="str">
        <f>'All Players'!D37</f>
        <v>Matías</v>
      </c>
      <c r="C7" s="8" t="str">
        <f>'All Players'!E37</f>
        <v>Mendoza</v>
      </c>
      <c r="D7" s="8" t="str">
        <f>'All Players'!F37</f>
        <v>M. Mendoza</v>
      </c>
      <c r="E7" s="8" t="str">
        <f>'All Players'!G37</f>
        <v>Mirada</v>
      </c>
      <c r="F7" s="8">
        <f>'All Players'!H37</f>
        <v>80</v>
      </c>
      <c r="G7" s="8">
        <f>'All Players'!I37</f>
        <v>40</v>
      </c>
      <c r="H7" s="8">
        <f>'All Players'!J37</f>
        <v>10</v>
      </c>
      <c r="I7" s="8">
        <f>'All Players'!K37</f>
        <v>95</v>
      </c>
      <c r="J7" s="5">
        <f t="shared" ref="J7:J17" si="2">AVERAGE(F7:I7)</f>
        <v>56.25</v>
      </c>
      <c r="K7" s="8">
        <f>'All Players'!M37</f>
        <v>80</v>
      </c>
      <c r="L7" s="8">
        <f>'All Players'!N37</f>
        <v>40</v>
      </c>
      <c r="M7" s="4">
        <f>AVERAGE(F7:I7)*0</f>
        <v>0</v>
      </c>
      <c r="N7" s="5">
        <f>O7</f>
        <v>61.25</v>
      </c>
      <c r="O7" s="11">
        <f>F7*Formuals!B2+G7*Formuals!C2+H7*Formuals!D2+I7*Formuals!E2</f>
        <v>61.25</v>
      </c>
      <c r="P7" s="10">
        <f>((M7/SUM($M$7:$M$17)))</f>
        <v>0</v>
      </c>
      <c r="Q7" s="10">
        <f t="shared" ref="Q7:Q17" si="3">((M7/100)*(L7/100))*3</f>
        <v>0</v>
      </c>
      <c r="R7" s="8" t="str">
        <f>'All Players'!T37</f>
        <v>Chile</v>
      </c>
      <c r="S7" s="8">
        <f>'All Players'!U37</f>
        <v>26</v>
      </c>
      <c r="T7" s="8">
        <f>'All Players'!V37</f>
        <v>63</v>
      </c>
      <c r="U7" s="49">
        <f t="shared" ref="U7:U17" si="4">IF((O7*0.5)+((T7*0.5)-((S7-18)*0.1))-40&lt;0,"0",(O7*0.5)+((T7*0.5)-((S7-18)*0.1))-40)</f>
        <v>21.325000000000003</v>
      </c>
      <c r="V7" s="6" t="str">
        <f>A24</f>
        <v>Known for his sharp 'mirada' (gaze), his quick reflexes and keen eye make him an excellent goalkeeper.</v>
      </c>
    </row>
    <row r="8" spans="1:22" x14ac:dyDescent="0.25">
      <c r="A8" s="8" t="str">
        <f>'All Players'!C38</f>
        <v>LB</v>
      </c>
      <c r="B8" s="8" t="str">
        <f>'All Players'!D38</f>
        <v>Lucas</v>
      </c>
      <c r="C8" s="8" t="str">
        <f>'All Players'!E38</f>
        <v>López</v>
      </c>
      <c r="D8" s="8" t="str">
        <f>'All Players'!F38</f>
        <v>L. López</v>
      </c>
      <c r="E8" s="8" t="str">
        <f>'All Players'!G38</f>
        <v>Lince</v>
      </c>
      <c r="F8" s="8">
        <f>'All Players'!H38</f>
        <v>85</v>
      </c>
      <c r="G8" s="8">
        <f>'All Players'!I38</f>
        <v>33</v>
      </c>
      <c r="H8" s="8">
        <f>'All Players'!J38</f>
        <v>8</v>
      </c>
      <c r="I8" s="8">
        <f>'All Players'!K38</f>
        <v>98</v>
      </c>
      <c r="J8" s="5">
        <f t="shared" si="2"/>
        <v>56</v>
      </c>
      <c r="K8" s="8">
        <f>'All Players'!M38</f>
        <v>83</v>
      </c>
      <c r="L8" s="8">
        <f>'All Players'!N38</f>
        <v>42</v>
      </c>
      <c r="M8" s="5">
        <f>0.4*O8</f>
        <v>20.62</v>
      </c>
      <c r="N8" s="5">
        <f>0.9*O8</f>
        <v>46.394999999999996</v>
      </c>
      <c r="O8" s="11">
        <f>F8*Formuals!B3+G8*Formuals!C3+H8*Formuals!D3+I8*Formuals!E3</f>
        <v>51.55</v>
      </c>
      <c r="P8" s="10">
        <f t="shared" ref="P8:P10" si="5">((M8/SUM($M$7:$M$17)))*0.67</f>
        <v>3.1486655878934296E-2</v>
      </c>
      <c r="Q8" s="10">
        <f t="shared" si="3"/>
        <v>0.25981199999999999</v>
      </c>
      <c r="R8" s="8" t="str">
        <f>'All Players'!T38</f>
        <v>Chile</v>
      </c>
      <c r="S8" s="8">
        <f>'All Players'!U38</f>
        <v>35</v>
      </c>
      <c r="T8" s="8">
        <f>'All Players'!V38</f>
        <v>52</v>
      </c>
      <c r="U8" s="49">
        <f t="shared" si="4"/>
        <v>10.075000000000003</v>
      </c>
      <c r="V8" s="6" t="str">
        <f>A27</f>
        <v>Agile and quick like a 'lince' (lynx), he's exceptional in both defense and supporting the attack.</v>
      </c>
    </row>
    <row r="9" spans="1:22" x14ac:dyDescent="0.25">
      <c r="A9" s="8" t="str">
        <f>'All Players'!C39</f>
        <v>CB</v>
      </c>
      <c r="B9" s="8" t="str">
        <f>'All Players'!D39</f>
        <v>Gabriel</v>
      </c>
      <c r="C9" s="8" t="str">
        <f>'All Players'!E39</f>
        <v>Gutiérrez</v>
      </c>
      <c r="D9" s="8" t="str">
        <f>'All Players'!F39</f>
        <v>G. Gutiérrez</v>
      </c>
      <c r="E9" s="8" t="str">
        <f>'All Players'!G39</f>
        <v>Guerrero</v>
      </c>
      <c r="F9" s="8">
        <f>'All Players'!H39</f>
        <v>75</v>
      </c>
      <c r="G9" s="8">
        <f>'All Players'!I39</f>
        <v>28</v>
      </c>
      <c r="H9" s="8">
        <f>'All Players'!J39</f>
        <v>22</v>
      </c>
      <c r="I9" s="8">
        <f>'All Players'!K39</f>
        <v>92</v>
      </c>
      <c r="J9" s="5">
        <f t="shared" si="2"/>
        <v>54.25</v>
      </c>
      <c r="K9" s="8">
        <f>'All Players'!M39</f>
        <v>74</v>
      </c>
      <c r="L9" s="8">
        <f>'All Players'!N39</f>
        <v>49</v>
      </c>
      <c r="M9" s="5">
        <f>O9*0.3</f>
        <v>12.007499999999999</v>
      </c>
      <c r="N9" s="5">
        <f>O9</f>
        <v>40.024999999999999</v>
      </c>
      <c r="O9" s="11">
        <f>F9*Formuals!B4+G9*Formuals!C4+H9*Formuals!D4+I9*Formuals!E4</f>
        <v>40.024999999999999</v>
      </c>
      <c r="P9" s="10">
        <f t="shared" si="5"/>
        <v>1.8335403514369714E-2</v>
      </c>
      <c r="Q9" s="10">
        <f t="shared" si="3"/>
        <v>0.17651024999999998</v>
      </c>
      <c r="R9" s="8" t="str">
        <f>'All Players'!T39</f>
        <v>Chile</v>
      </c>
      <c r="S9" s="8">
        <f>'All Players'!U39</f>
        <v>31</v>
      </c>
      <c r="T9" s="8">
        <f>'All Players'!V39</f>
        <v>41</v>
      </c>
      <c r="U9" s="49" t="str">
        <f t="shared" si="4"/>
        <v>0</v>
      </c>
      <c r="V9" s="6" t="str">
        <f>A30</f>
        <v>A 'guerrero' (warrior) in defense, his strength and leadership are vital.</v>
      </c>
    </row>
    <row r="10" spans="1:22" x14ac:dyDescent="0.25">
      <c r="A10" s="8" t="str">
        <f>'All Players'!C40</f>
        <v>CB</v>
      </c>
      <c r="B10" s="8" t="str">
        <f>'All Players'!D40</f>
        <v>Nicolás</v>
      </c>
      <c r="C10" s="8" t="str">
        <f>'All Players'!E40</f>
        <v>Navarro</v>
      </c>
      <c r="D10" s="8" t="str">
        <f>'All Players'!F40</f>
        <v>N. Navarro</v>
      </c>
      <c r="E10" s="8" t="str">
        <f>'All Players'!G40</f>
        <v>Noble</v>
      </c>
      <c r="F10" s="8">
        <f>'All Players'!H40</f>
        <v>72</v>
      </c>
      <c r="G10" s="8">
        <f>'All Players'!I40</f>
        <v>32</v>
      </c>
      <c r="H10" s="8">
        <f>'All Players'!J40</f>
        <v>28</v>
      </c>
      <c r="I10" s="8">
        <f>'All Players'!K40</f>
        <v>91</v>
      </c>
      <c r="J10" s="5">
        <f t="shared" si="2"/>
        <v>55.75</v>
      </c>
      <c r="K10" s="8">
        <f>'All Players'!M40</f>
        <v>72</v>
      </c>
      <c r="L10" s="8">
        <f>'All Players'!N40</f>
        <v>52</v>
      </c>
      <c r="M10" s="5">
        <f>O10*0.3</f>
        <v>13.065</v>
      </c>
      <c r="N10" s="5">
        <f>O10</f>
        <v>43.55</v>
      </c>
      <c r="O10" s="11">
        <f>F10*Formuals!B5+G10*Formuals!C5+H10*Formuals!D5+I10*Formuals!E5</f>
        <v>43.55</v>
      </c>
      <c r="P10" s="10">
        <f t="shared" si="5"/>
        <v>1.9950201700207396E-2</v>
      </c>
      <c r="Q10" s="10">
        <f t="shared" si="3"/>
        <v>0.203814</v>
      </c>
      <c r="R10" s="8" t="str">
        <f>'All Players'!T40</f>
        <v>Chile</v>
      </c>
      <c r="S10" s="8">
        <f>'All Players'!U40</f>
        <v>20</v>
      </c>
      <c r="T10" s="8">
        <f>'All Players'!V40</f>
        <v>59</v>
      </c>
      <c r="U10" s="49">
        <f t="shared" si="4"/>
        <v>11.075000000000003</v>
      </c>
      <c r="V10" s="6" t="str">
        <f>A33</f>
        <v>His 'noble' (noble) play and fair tactics make him a respected figure in the defense.</v>
      </c>
    </row>
    <row r="11" spans="1:22" x14ac:dyDescent="0.25">
      <c r="A11" s="8" t="str">
        <f>'All Players'!C41</f>
        <v>RB</v>
      </c>
      <c r="B11" s="8" t="str">
        <f>'All Players'!D41</f>
        <v>Sebastián</v>
      </c>
      <c r="C11" s="8" t="str">
        <f>'All Players'!E41</f>
        <v>Silva</v>
      </c>
      <c r="D11" s="8" t="str">
        <f>'All Players'!F41</f>
        <v>S. Silva</v>
      </c>
      <c r="E11" s="8" t="str">
        <f>'All Players'!G41</f>
        <v>Sombra</v>
      </c>
      <c r="F11" s="8">
        <f>'All Players'!H41</f>
        <v>81</v>
      </c>
      <c r="G11" s="8">
        <f>'All Players'!I41</f>
        <v>35</v>
      </c>
      <c r="H11" s="8">
        <f>'All Players'!J41</f>
        <v>12</v>
      </c>
      <c r="I11" s="8">
        <f>'All Players'!K41</f>
        <v>94</v>
      </c>
      <c r="J11" s="5">
        <f t="shared" si="2"/>
        <v>55.5</v>
      </c>
      <c r="K11" s="8">
        <f>'All Players'!M41</f>
        <v>76</v>
      </c>
      <c r="L11" s="8">
        <f>'All Players'!N41</f>
        <v>41</v>
      </c>
      <c r="M11" s="5">
        <f>0.4*O11</f>
        <v>20.62</v>
      </c>
      <c r="N11" s="5">
        <f>0.9*O11</f>
        <v>46.394999999999996</v>
      </c>
      <c r="O11" s="11">
        <f>F11*Formuals!B6+G11*Formuals!C6+H11*Formuals!D6+I11*Formuals!E6</f>
        <v>51.55</v>
      </c>
      <c r="P11" s="10">
        <f>((M11/SUM($M$7:$M$17)))*0.67</f>
        <v>3.1486655878934296E-2</v>
      </c>
      <c r="Q11" s="10">
        <f t="shared" si="3"/>
        <v>0.25362600000000002</v>
      </c>
      <c r="R11" s="8" t="str">
        <f>'All Players'!T41</f>
        <v>Chile</v>
      </c>
      <c r="S11" s="8">
        <f>'All Players'!U41</f>
        <v>21</v>
      </c>
      <c r="T11" s="8">
        <f>'All Players'!V41</f>
        <v>65</v>
      </c>
      <c r="U11" s="49">
        <f t="shared" si="4"/>
        <v>17.975000000000001</v>
      </c>
      <c r="V11" s="6" t="str">
        <f>A36</f>
        <v>'Sombra' (shadow) represents his ability to seamlessly cover and defend against attackers.</v>
      </c>
    </row>
    <row r="12" spans="1:22" x14ac:dyDescent="0.25">
      <c r="A12" s="8" t="str">
        <f>'All Players'!C42</f>
        <v>CDM</v>
      </c>
      <c r="B12" s="8" t="str">
        <f>'All Players'!D42</f>
        <v>Fernando</v>
      </c>
      <c r="C12" s="8" t="str">
        <f>'All Players'!E42</f>
        <v>Flores</v>
      </c>
      <c r="D12" s="8" t="str">
        <f>'All Players'!F42</f>
        <v>F. Flores</v>
      </c>
      <c r="E12" s="8" t="str">
        <f>'All Players'!G42</f>
        <v>Faucon</v>
      </c>
      <c r="F12" s="8">
        <f>'All Players'!H42</f>
        <v>79</v>
      </c>
      <c r="G12" s="8">
        <f>'All Players'!I42</f>
        <v>52</v>
      </c>
      <c r="H12" s="8">
        <f>'All Players'!J42</f>
        <v>15</v>
      </c>
      <c r="I12" s="8">
        <f>'All Players'!K42</f>
        <v>87</v>
      </c>
      <c r="J12" s="5">
        <f t="shared" si="2"/>
        <v>58.25</v>
      </c>
      <c r="K12" s="8">
        <f>'All Players'!M42</f>
        <v>79</v>
      </c>
      <c r="L12" s="8">
        <f>'All Players'!N42</f>
        <v>50</v>
      </c>
      <c r="M12" s="5">
        <f>O12*0.6</f>
        <v>27.9</v>
      </c>
      <c r="N12" s="5">
        <f>O12*0.9</f>
        <v>41.85</v>
      </c>
      <c r="O12" s="11">
        <f>F12*Formuals!B7+G12*Formuals!C7+H12*Formuals!D7+I12*Formuals!E7</f>
        <v>46.5</v>
      </c>
      <c r="P12" s="10">
        <f t="shared" ref="P12:P14" si="6">((M12/SUM($M$7:$M$17)))</f>
        <v>6.3586845044100546E-2</v>
      </c>
      <c r="Q12" s="10">
        <f t="shared" si="3"/>
        <v>0.41849999999999998</v>
      </c>
      <c r="R12" s="8" t="str">
        <f>'All Players'!T42</f>
        <v>Chile</v>
      </c>
      <c r="S12" s="8">
        <f>'All Players'!U42</f>
        <v>21</v>
      </c>
      <c r="T12" s="8">
        <f>'All Players'!V42</f>
        <v>72</v>
      </c>
      <c r="U12" s="49">
        <f t="shared" si="4"/>
        <v>18.950000000000003</v>
      </c>
      <c r="V12" s="6" t="str">
        <f>A39</f>
        <v>Like a 'faucon' (falcon), his sharp vision and quick response control the midfield.</v>
      </c>
    </row>
    <row r="13" spans="1:22" x14ac:dyDescent="0.25">
      <c r="A13" s="8" t="str">
        <f>'All Players'!C43</f>
        <v>CM</v>
      </c>
      <c r="B13" s="8" t="str">
        <f>'All Players'!D43</f>
        <v>Antonio</v>
      </c>
      <c r="C13" s="8" t="str">
        <f>'All Players'!E43</f>
        <v>Araya</v>
      </c>
      <c r="D13" s="8" t="str">
        <f>'All Players'!F43</f>
        <v>A. Araya</v>
      </c>
      <c r="E13" s="8" t="str">
        <f>'All Players'!G43</f>
        <v>Aguila</v>
      </c>
      <c r="F13" s="8">
        <f>'All Players'!H43</f>
        <v>91</v>
      </c>
      <c r="G13" s="8">
        <f>'All Players'!I43</f>
        <v>47</v>
      </c>
      <c r="H13" s="8">
        <f>'All Players'!J43</f>
        <v>11</v>
      </c>
      <c r="I13" s="8">
        <f>'All Players'!K43</f>
        <v>90</v>
      </c>
      <c r="J13" s="5">
        <f t="shared" si="2"/>
        <v>59.75</v>
      </c>
      <c r="K13" s="8">
        <f>'All Players'!M43</f>
        <v>82</v>
      </c>
      <c r="L13" s="8">
        <f>'All Players'!N43</f>
        <v>52</v>
      </c>
      <c r="M13" s="5">
        <f>O13*0.75</f>
        <v>44.287500000000001</v>
      </c>
      <c r="N13" s="5">
        <f>O13*0.75</f>
        <v>44.287500000000001</v>
      </c>
      <c r="O13" s="11">
        <f>F13*Formuals!B8+G13*Formuals!C8+H13*Formuals!D8+I13*Formuals!E8</f>
        <v>59.050000000000004</v>
      </c>
      <c r="P13" s="10">
        <f t="shared" si="6"/>
        <v>0.10093556988855208</v>
      </c>
      <c r="Q13" s="10">
        <f t="shared" si="3"/>
        <v>0.69088500000000008</v>
      </c>
      <c r="R13" s="8" t="str">
        <f>'All Players'!T43</f>
        <v>Chile</v>
      </c>
      <c r="S13" s="8">
        <f>'All Players'!U43</f>
        <v>27</v>
      </c>
      <c r="T13" s="8">
        <f>'All Players'!V43</f>
        <v>73</v>
      </c>
      <c r="U13" s="49">
        <f t="shared" si="4"/>
        <v>25.125</v>
      </c>
      <c r="V13" s="6" t="str">
        <f>A42</f>
        <v>His play is as majestic as an 'aguila' (eagle), with graceful yet impactful contributions.</v>
      </c>
    </row>
    <row r="14" spans="1:22" x14ac:dyDescent="0.25">
      <c r="A14" s="8" t="str">
        <f>'All Players'!C44</f>
        <v>CAM</v>
      </c>
      <c r="B14" s="8" t="str">
        <f>'All Players'!D44</f>
        <v>Diego</v>
      </c>
      <c r="C14" s="8" t="str">
        <f>'All Players'!E44</f>
        <v>Díaz</v>
      </c>
      <c r="D14" s="8" t="str">
        <f>'All Players'!F44</f>
        <v>D. Díaz</v>
      </c>
      <c r="E14" s="8" t="str">
        <f>'All Players'!G44</f>
        <v>Dinámico</v>
      </c>
      <c r="F14" s="8">
        <f>'All Players'!H44</f>
        <v>84</v>
      </c>
      <c r="G14" s="8">
        <f>'All Players'!I44</f>
        <v>52</v>
      </c>
      <c r="H14" s="8">
        <f>'All Players'!J44</f>
        <v>8</v>
      </c>
      <c r="I14" s="8">
        <f>'All Players'!K44</f>
        <v>96</v>
      </c>
      <c r="J14" s="5">
        <f t="shared" si="2"/>
        <v>60</v>
      </c>
      <c r="K14" s="8">
        <f>'All Players'!M44</f>
        <v>84</v>
      </c>
      <c r="L14" s="8">
        <f>'All Players'!N44</f>
        <v>37</v>
      </c>
      <c r="M14" s="5">
        <f>O14*0.9</f>
        <v>62.820000000000014</v>
      </c>
      <c r="N14" s="5">
        <f>O14*0.6</f>
        <v>41.88</v>
      </c>
      <c r="O14" s="11">
        <f>F14*Formuals!B9+G14*Formuals!C9+H14*Formuals!D9+I14*Formuals!E9</f>
        <v>69.800000000000011</v>
      </c>
      <c r="P14" s="10">
        <f t="shared" si="6"/>
        <v>0.14317296077671676</v>
      </c>
      <c r="Q14" s="10">
        <f t="shared" si="3"/>
        <v>0.69730200000000009</v>
      </c>
      <c r="R14" s="8" t="str">
        <f>'All Players'!T44</f>
        <v>Chile</v>
      </c>
      <c r="S14" s="8">
        <f>'All Players'!U44</f>
        <v>31</v>
      </c>
      <c r="T14" s="8">
        <f>'All Players'!V44</f>
        <v>76</v>
      </c>
      <c r="U14" s="49">
        <f t="shared" si="4"/>
        <v>31.600000000000009</v>
      </c>
      <c r="V14" s="6" t="str">
        <f>A45</f>
        <v>'Dinámico' (dynamic) in his approach, he is the creative engine of the team.</v>
      </c>
    </row>
    <row r="15" spans="1:22" x14ac:dyDescent="0.25">
      <c r="A15" s="8" t="str">
        <f>'All Players'!C45</f>
        <v>LW</v>
      </c>
      <c r="B15" s="8" t="str">
        <f>'All Players'!D45</f>
        <v>Carlos</v>
      </c>
      <c r="C15" s="8" t="str">
        <f>'All Players'!E45</f>
        <v>Carrasco</v>
      </c>
      <c r="D15" s="8" t="str">
        <f>'All Players'!F45</f>
        <v>C. Carrasco</v>
      </c>
      <c r="E15" s="8" t="str">
        <f>'All Players'!G45</f>
        <v>Cóndor</v>
      </c>
      <c r="F15" s="8">
        <f>'All Players'!H45</f>
        <v>93</v>
      </c>
      <c r="G15" s="8">
        <f>'All Players'!I45</f>
        <v>38</v>
      </c>
      <c r="H15" s="8">
        <f>'All Players'!J45</f>
        <v>7</v>
      </c>
      <c r="I15" s="8">
        <f>'All Players'!K45</f>
        <v>99</v>
      </c>
      <c r="J15" s="5">
        <f t="shared" si="2"/>
        <v>59.25</v>
      </c>
      <c r="K15" s="8">
        <f>'All Players'!M45</f>
        <v>86</v>
      </c>
      <c r="L15" s="8">
        <f>'All Players'!N45</f>
        <v>36</v>
      </c>
      <c r="M15" s="5">
        <f>O15</f>
        <v>83.15</v>
      </c>
      <c r="N15" s="5">
        <f>O15*0.3</f>
        <v>24.945</v>
      </c>
      <c r="O15" s="11">
        <f>F15*Formuals!B10+G15*Formuals!C10+H15*Formuals!D10+I15*Formuals!E10</f>
        <v>83.15</v>
      </c>
      <c r="P15" s="10">
        <f>((M15/SUM($M$7:$M$17)))*1.33</f>
        <v>0.25204435125464364</v>
      </c>
      <c r="Q15" s="10">
        <f t="shared" si="3"/>
        <v>0.89802000000000004</v>
      </c>
      <c r="R15" s="8" t="str">
        <f>'All Players'!T45</f>
        <v>Chile</v>
      </c>
      <c r="S15" s="8">
        <f>'All Players'!U45</f>
        <v>29</v>
      </c>
      <c r="T15" s="8">
        <f>'All Players'!V45</f>
        <v>89</v>
      </c>
      <c r="U15" s="49">
        <f t="shared" si="4"/>
        <v>44.974999999999994</v>
      </c>
      <c r="V15" s="6" t="str">
        <f>A48</f>
        <v>His wide range and soaring runs down the wing are reminiscent of a 'cóndor' (condor).</v>
      </c>
    </row>
    <row r="16" spans="1:22" x14ac:dyDescent="0.25">
      <c r="A16" s="8" t="str">
        <f>'All Players'!C46</f>
        <v>ST</v>
      </c>
      <c r="B16" s="8" t="str">
        <f>'All Players'!D46</f>
        <v>Javier</v>
      </c>
      <c r="C16" s="8" t="str">
        <f>'All Players'!E46</f>
        <v>Jiménez</v>
      </c>
      <c r="D16" s="8" t="str">
        <f>'All Players'!F46</f>
        <v>J. Jiménez</v>
      </c>
      <c r="E16" s="8" t="str">
        <f>'All Players'!G46</f>
        <v>Jimenez</v>
      </c>
      <c r="F16" s="8">
        <f>'All Players'!H46</f>
        <v>83</v>
      </c>
      <c r="G16" s="8">
        <f>'All Players'!I46</f>
        <v>51</v>
      </c>
      <c r="H16" s="8">
        <f>'All Players'!J46</f>
        <v>6</v>
      </c>
      <c r="I16" s="8">
        <f>'All Players'!K46</f>
        <v>97</v>
      </c>
      <c r="J16" s="5">
        <f t="shared" si="2"/>
        <v>59.25</v>
      </c>
      <c r="K16" s="8">
        <f>'All Players'!M46</f>
        <v>75</v>
      </c>
      <c r="L16" s="8">
        <f>'All Players'!N46</f>
        <v>32</v>
      </c>
      <c r="M16" s="5">
        <f>O16</f>
        <v>71.5</v>
      </c>
      <c r="N16" s="5">
        <f t="shared" ref="N16:N17" si="7">O16*0.3</f>
        <v>21.45</v>
      </c>
      <c r="O16" s="11">
        <f>F16*Formuals!B11+G16*Formuals!C11+H16*Formuals!D11+I16*Formuals!E11</f>
        <v>71.5</v>
      </c>
      <c r="P16" s="10">
        <f t="shared" ref="P16:P17" si="8">((M16/SUM($M$7:$M$17)))*1.33</f>
        <v>0.21673086127128108</v>
      </c>
      <c r="Q16" s="10">
        <f t="shared" si="3"/>
        <v>0.68640000000000001</v>
      </c>
      <c r="R16" s="8" t="str">
        <f>'All Players'!T46</f>
        <v>Chile</v>
      </c>
      <c r="S16" s="8">
        <f>'All Players'!U46</f>
        <v>24</v>
      </c>
      <c r="T16" s="8">
        <f>'All Players'!V46</f>
        <v>91</v>
      </c>
      <c r="U16" s="49">
        <f t="shared" si="4"/>
        <v>40.650000000000006</v>
      </c>
      <c r="V16" s="6" t="str">
        <f>A51</f>
        <v>His swift and powerful play on the wing mirrors the qualities of a 'jaguar'.</v>
      </c>
    </row>
    <row r="17" spans="1:22" x14ac:dyDescent="0.25">
      <c r="A17" s="8" t="str">
        <f>'All Players'!C47</f>
        <v>RW</v>
      </c>
      <c r="B17" s="8" t="str">
        <f>'All Players'!D47</f>
        <v>Eduardo</v>
      </c>
      <c r="C17" s="8" t="str">
        <f>'All Players'!E47</f>
        <v>Espinoza</v>
      </c>
      <c r="D17" s="8" t="str">
        <f>'All Players'!F47</f>
        <v>E. Espinoza</v>
      </c>
      <c r="E17" s="8" t="str">
        <f>'All Players'!G47</f>
        <v>El Águila</v>
      </c>
      <c r="F17" s="8">
        <f>'All Players'!H47</f>
        <v>92</v>
      </c>
      <c r="G17" s="8">
        <f>'All Players'!I47</f>
        <v>39</v>
      </c>
      <c r="H17" s="8">
        <f>'All Players'!J47</f>
        <v>4</v>
      </c>
      <c r="I17" s="8">
        <f>'All Players'!K47</f>
        <v>99</v>
      </c>
      <c r="J17" s="5">
        <f t="shared" si="2"/>
        <v>58.5</v>
      </c>
      <c r="K17" s="8">
        <f>'All Players'!M47</f>
        <v>84</v>
      </c>
      <c r="L17" s="8">
        <f>'All Players'!N47</f>
        <v>19</v>
      </c>
      <c r="M17" s="5">
        <f>O17</f>
        <v>82.800000000000011</v>
      </c>
      <c r="N17" s="5">
        <f t="shared" si="7"/>
        <v>24.840000000000003</v>
      </c>
      <c r="O17" s="11">
        <f>F17*Formuals!B12+G17*Formuals!C12+H17*Formuals!D12+I17*Formuals!E12</f>
        <v>82.800000000000011</v>
      </c>
      <c r="P17" s="10">
        <f t="shared" si="8"/>
        <v>0.25098343095471431</v>
      </c>
      <c r="Q17" s="10">
        <f t="shared" si="3"/>
        <v>0.47196000000000005</v>
      </c>
      <c r="R17" s="8" t="str">
        <f>'All Players'!T47</f>
        <v>Chile</v>
      </c>
      <c r="S17" s="8">
        <f>'All Players'!U47</f>
        <v>31</v>
      </c>
      <c r="T17" s="8">
        <f>'All Players'!V47</f>
        <v>89</v>
      </c>
      <c r="U17" s="49">
        <f t="shared" si="4"/>
        <v>44.600000000000009</v>
      </c>
      <c r="V17" s="6" t="str">
        <f>A54</f>
        <v>'El Águila' (The Eagle) for his sharp attacking instincts and soaring finishes.</v>
      </c>
    </row>
    <row r="18" spans="1:22" x14ac:dyDescent="0.25">
      <c r="F18" s="18">
        <f t="shared" ref="F18:G18" si="9">LARGE(F7:F17,1) - SMALL(F7:F17,1)</f>
        <v>21</v>
      </c>
      <c r="G18" s="18">
        <f t="shared" si="9"/>
        <v>24</v>
      </c>
      <c r="H18" s="18">
        <f>LARGE(H7:H17,1) - SMALL(H7:H17,1)</f>
        <v>24</v>
      </c>
      <c r="I18" s="18">
        <f>LARGE(I7:I17,1) - SMALL(I7:I17,1)</f>
        <v>12</v>
      </c>
      <c r="J18" s="19">
        <f t="shared" ref="J18:L18" si="10">LARGE(J7:J17,1) - SMALL(J7:J17,1)</f>
        <v>5.75</v>
      </c>
      <c r="K18" s="18">
        <f t="shared" si="10"/>
        <v>14</v>
      </c>
      <c r="L18" s="18">
        <f t="shared" si="10"/>
        <v>33</v>
      </c>
      <c r="O18" s="19">
        <f t="shared" ref="O18" si="11">LARGE(O7:O17,1) - SMALL(O7:O17,1)</f>
        <v>43.125000000000007</v>
      </c>
      <c r="P18" s="48">
        <f>SUM(P7:P17)</f>
        <v>1.1287129361624542</v>
      </c>
      <c r="S18">
        <f>AVERAGE(S7:S17)</f>
        <v>26.90909090909091</v>
      </c>
      <c r="T18">
        <f>AVERAGE(T7:T17)</f>
        <v>70</v>
      </c>
      <c r="U18" s="50">
        <f>SUM(U7:U17)</f>
        <v>266.35000000000002</v>
      </c>
    </row>
    <row r="19" spans="1:22" x14ac:dyDescent="0.25">
      <c r="B19" s="3" t="s">
        <v>1</v>
      </c>
      <c r="C19" s="3" t="s">
        <v>2</v>
      </c>
      <c r="D19" s="3" t="s">
        <v>3</v>
      </c>
    </row>
    <row r="20" spans="1:22" x14ac:dyDescent="0.25">
      <c r="A20" s="3" t="s">
        <v>4</v>
      </c>
      <c r="B20" s="2">
        <f>AVERAGE(O7:O12)*0.1+AVERAGE(O13:O17)*0.9</f>
        <v>70.841083333333344</v>
      </c>
      <c r="C20" s="2">
        <f>AVERAGE(O7:O12)*0.9+AVERAGE(O13:O17)*0.1</f>
        <v>51.489750000000001</v>
      </c>
      <c r="D20" s="2">
        <f>AVERAGE(K7:K17)*0.5+AVERAGE(L7:L17)*0.5</f>
        <v>60.227272727272727</v>
      </c>
    </row>
    <row r="22" spans="1:22" x14ac:dyDescent="0.25">
      <c r="A22" t="s">
        <v>467</v>
      </c>
    </row>
    <row r="24" spans="1:22" x14ac:dyDescent="0.25">
      <c r="A24" t="s">
        <v>456</v>
      </c>
    </row>
    <row r="25" spans="1:22" x14ac:dyDescent="0.25">
      <c r="A25" t="s">
        <v>468</v>
      </c>
    </row>
    <row r="27" spans="1:22" x14ac:dyDescent="0.25">
      <c r="A27" t="s">
        <v>457</v>
      </c>
    </row>
    <row r="28" spans="1:22" x14ac:dyDescent="0.25">
      <c r="A28" t="s">
        <v>469</v>
      </c>
    </row>
    <row r="30" spans="1:22" x14ac:dyDescent="0.25">
      <c r="A30" t="s">
        <v>458</v>
      </c>
    </row>
    <row r="31" spans="1:22" x14ac:dyDescent="0.25">
      <c r="A31" t="s">
        <v>470</v>
      </c>
    </row>
    <row r="33" spans="1:1" x14ac:dyDescent="0.25">
      <c r="A33" t="s">
        <v>459</v>
      </c>
    </row>
    <row r="34" spans="1:1" x14ac:dyDescent="0.25">
      <c r="A34" t="s">
        <v>471</v>
      </c>
    </row>
    <row r="36" spans="1:1" x14ac:dyDescent="0.25">
      <c r="A36" t="s">
        <v>460</v>
      </c>
    </row>
    <row r="37" spans="1:1" x14ac:dyDescent="0.25">
      <c r="A37" t="s">
        <v>472</v>
      </c>
    </row>
    <row r="39" spans="1:1" x14ac:dyDescent="0.25">
      <c r="A39" t="s">
        <v>461</v>
      </c>
    </row>
    <row r="40" spans="1:1" x14ac:dyDescent="0.25">
      <c r="A40" t="s">
        <v>473</v>
      </c>
    </row>
    <row r="42" spans="1:1" x14ac:dyDescent="0.25">
      <c r="A42" t="s">
        <v>462</v>
      </c>
    </row>
    <row r="43" spans="1:1" x14ac:dyDescent="0.25">
      <c r="A43" t="s">
        <v>474</v>
      </c>
    </row>
    <row r="45" spans="1:1" x14ac:dyDescent="0.25">
      <c r="A45" t="s">
        <v>463</v>
      </c>
    </row>
    <row r="46" spans="1:1" x14ac:dyDescent="0.25">
      <c r="A46" t="s">
        <v>475</v>
      </c>
    </row>
    <row r="48" spans="1:1" x14ac:dyDescent="0.25">
      <c r="A48" t="s">
        <v>464</v>
      </c>
    </row>
    <row r="49" spans="1:1" x14ac:dyDescent="0.25">
      <c r="A49" t="s">
        <v>477</v>
      </c>
    </row>
    <row r="51" spans="1:1" x14ac:dyDescent="0.25">
      <c r="A51" t="s">
        <v>465</v>
      </c>
    </row>
    <row r="52" spans="1:1" x14ac:dyDescent="0.25">
      <c r="A52" t="s">
        <v>476</v>
      </c>
    </row>
    <row r="54" spans="1:1" x14ac:dyDescent="0.25">
      <c r="A54" t="s">
        <v>466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790D8-6C42-4684-A2FD-BC3F4C1F93A1}">
  <sheetPr codeName="Sheet9">
    <tabColor theme="6"/>
  </sheetPr>
  <dimension ref="A1:V54"/>
  <sheetViews>
    <sheetView workbookViewId="0">
      <selection activeCell="U21" sqref="U21"/>
    </sheetView>
  </sheetViews>
  <sheetFormatPr defaultRowHeight="15" x14ac:dyDescent="0.25"/>
  <cols>
    <col min="2" max="2" width="10.5703125" bestFit="1" customWidth="1"/>
    <col min="3" max="3" width="10.140625" bestFit="1" customWidth="1"/>
    <col min="4" max="4" width="12.28515625" bestFit="1" customWidth="1"/>
    <col min="5" max="5" width="9.28515625" bestFit="1" customWidth="1"/>
    <col min="8" max="8" width="8.5703125" bestFit="1" customWidth="1"/>
    <col min="9" max="9" width="10.140625" customWidth="1"/>
    <col min="10" max="10" width="12.5703125" bestFit="1" customWidth="1"/>
    <col min="11" max="11" width="11.5703125" bestFit="1" customWidth="1"/>
  </cols>
  <sheetData>
    <row r="1" spans="1:22" x14ac:dyDescent="0.25">
      <c r="A1" s="3" t="s">
        <v>19</v>
      </c>
      <c r="B1" s="6" t="s">
        <v>28</v>
      </c>
    </row>
    <row r="2" spans="1:22" x14ac:dyDescent="0.25">
      <c r="A2" s="3" t="s">
        <v>20</v>
      </c>
      <c r="B2" s="6" t="s">
        <v>500</v>
      </c>
    </row>
    <row r="3" spans="1:22" x14ac:dyDescent="0.25">
      <c r="A3" s="3" t="s">
        <v>138</v>
      </c>
      <c r="B3" s="6" t="str">
        <f>VLOOKUP(B1,STATS!L1:AA21,16,FALSE)</f>
        <v>Australia</v>
      </c>
    </row>
    <row r="4" spans="1:22" x14ac:dyDescent="0.25">
      <c r="A4" s="3" t="s">
        <v>22</v>
      </c>
      <c r="B4" s="1">
        <f>((B20+C20)/2)*((D20+50)/100)</f>
        <v>59.738013446969703</v>
      </c>
      <c r="F4">
        <f>VLOOKUP($B$1,STATS!$L$1:$Q$21,3,FALSE)</f>
        <v>60</v>
      </c>
      <c r="G4">
        <f>VLOOKUP($B$1,STATS!$L$1:$Q$21,4,FALSE)</f>
        <v>55</v>
      </c>
      <c r="H4">
        <f>VLOOKUP($B$1,STATS!$L$1:$Q$21,5,FALSE)</f>
        <v>85</v>
      </c>
      <c r="I4">
        <f>VLOOKUP($B$1,STATS!$L$1:$Q$21,6,FALSE)</f>
        <v>80</v>
      </c>
      <c r="K4">
        <v>60</v>
      </c>
      <c r="L4">
        <v>10</v>
      </c>
    </row>
    <row r="5" spans="1:22" x14ac:dyDescent="0.25">
      <c r="F5" s="12">
        <f t="shared" ref="F5:H5" si="0">AVERAGE(F7:F17)</f>
        <v>55.272727272727273</v>
      </c>
      <c r="G5" s="12">
        <f t="shared" si="0"/>
        <v>56.18181818181818</v>
      </c>
      <c r="H5" s="12">
        <f t="shared" si="0"/>
        <v>85.181818181818187</v>
      </c>
      <c r="I5" s="12">
        <f>AVERAGE(I7:I17)</f>
        <v>80.454545454545453</v>
      </c>
      <c r="J5" s="12">
        <f>AVERAGE(J7:J17)</f>
        <v>69.272727272727266</v>
      </c>
      <c r="K5" s="12">
        <f t="shared" ref="K5:M5" si="1">AVERAGE(K7:K17)</f>
        <v>55.090909090909093</v>
      </c>
      <c r="L5" s="12">
        <f t="shared" si="1"/>
        <v>15.545454545454545</v>
      </c>
      <c r="M5" s="12">
        <f t="shared" si="1"/>
        <v>42.032272727272726</v>
      </c>
      <c r="N5" s="12">
        <f>AVERAGE(N7:N17)</f>
        <v>51.95931818181819</v>
      </c>
      <c r="O5" s="12">
        <f>AVERAGE(O7:O17)</f>
        <v>70.375</v>
      </c>
    </row>
    <row r="6" spans="1:22" x14ac:dyDescent="0.25">
      <c r="A6" s="3" t="s">
        <v>7</v>
      </c>
      <c r="B6" s="3" t="s">
        <v>8</v>
      </c>
      <c r="C6" s="3" t="s">
        <v>9</v>
      </c>
      <c r="D6" s="3" t="s">
        <v>44</v>
      </c>
      <c r="E6" s="3" t="s">
        <v>50</v>
      </c>
      <c r="F6" s="3" t="s">
        <v>17</v>
      </c>
      <c r="G6" s="3" t="s">
        <v>14</v>
      </c>
      <c r="H6" s="3" t="s">
        <v>15</v>
      </c>
      <c r="I6" s="3" t="s">
        <v>16</v>
      </c>
      <c r="J6" s="3" t="s">
        <v>48</v>
      </c>
      <c r="K6" s="3" t="s">
        <v>3</v>
      </c>
      <c r="L6" s="3" t="s">
        <v>10</v>
      </c>
      <c r="M6" s="3" t="s">
        <v>1</v>
      </c>
      <c r="N6" s="3" t="s">
        <v>12</v>
      </c>
      <c r="O6" s="3" t="s">
        <v>4</v>
      </c>
      <c r="P6" s="3" t="s">
        <v>49</v>
      </c>
      <c r="Q6" s="3" t="s">
        <v>47</v>
      </c>
      <c r="R6" s="3" t="s">
        <v>138</v>
      </c>
      <c r="S6" s="3" t="s">
        <v>1354</v>
      </c>
      <c r="T6" s="3" t="s">
        <v>1355</v>
      </c>
      <c r="U6" s="3" t="s">
        <v>1356</v>
      </c>
      <c r="V6" s="3" t="s">
        <v>13</v>
      </c>
    </row>
    <row r="7" spans="1:22" x14ac:dyDescent="0.25">
      <c r="A7" s="8" t="str">
        <f>'All Players'!C48</f>
        <v>GK</v>
      </c>
      <c r="B7" s="8" t="str">
        <f>'All Players'!D48</f>
        <v>Liam</v>
      </c>
      <c r="C7" s="8" t="str">
        <f>'All Players'!E48</f>
        <v>Baxter</v>
      </c>
      <c r="D7" s="8" t="str">
        <f>'All Players'!F48</f>
        <v>L. Baxter</v>
      </c>
      <c r="E7" s="8" t="str">
        <f>'All Players'!G48</f>
        <v>Barrier</v>
      </c>
      <c r="F7" s="8">
        <f>'All Players'!H48</f>
        <v>48</v>
      </c>
      <c r="G7" s="8">
        <f>'All Players'!I48</f>
        <v>44</v>
      </c>
      <c r="H7" s="8">
        <f>'All Players'!J48</f>
        <v>77</v>
      </c>
      <c r="I7" s="8">
        <f>'All Players'!K48</f>
        <v>81</v>
      </c>
      <c r="J7" s="5">
        <f t="shared" ref="J7:J17" si="2">AVERAGE(F7:I7)</f>
        <v>62.5</v>
      </c>
      <c r="K7" s="8">
        <f>'All Players'!M48</f>
        <v>60</v>
      </c>
      <c r="L7" s="8">
        <f>'All Players'!N48</f>
        <v>8</v>
      </c>
      <c r="M7" s="4">
        <f>AVERAGE(F7:I7)*0</f>
        <v>0</v>
      </c>
      <c r="N7" s="5">
        <f>O7</f>
        <v>54.45</v>
      </c>
      <c r="O7" s="11">
        <f>F7*Formuals!B2+G7*Formuals!C2+H7*Formuals!D2+I7*Formuals!E2</f>
        <v>54.45</v>
      </c>
      <c r="P7" s="10">
        <f>((M7/SUM($M$7:$M$17)))</f>
        <v>0</v>
      </c>
      <c r="Q7" s="10">
        <f t="shared" ref="Q7:Q17" si="3">((M7/100)*(L7/100))*3</f>
        <v>0</v>
      </c>
      <c r="R7" s="8" t="str">
        <f>'All Players'!T48</f>
        <v>Australia</v>
      </c>
      <c r="S7" s="8">
        <f>'All Players'!U48</f>
        <v>32</v>
      </c>
      <c r="T7" s="8">
        <f>'All Players'!V48</f>
        <v>58</v>
      </c>
      <c r="U7" s="49">
        <f t="shared" ref="U7:U17" si="4">IF((O7*0.5)+((T7*0.5)-((S7-18)*0.1))-40&lt;0,"0",(O7*0.5)+((T7*0.5)-((S7-18)*0.1))-40)</f>
        <v>14.825000000000003</v>
      </c>
      <c r="V7" s="6" t="str">
        <f>A24</f>
        <v>Known for his formidable presence in goal, much like the Great Barrier itself.</v>
      </c>
    </row>
    <row r="8" spans="1:22" x14ac:dyDescent="0.25">
      <c r="A8" s="8" t="str">
        <f>'All Players'!C49</f>
        <v>LB</v>
      </c>
      <c r="B8" s="8" t="str">
        <f>'All Players'!D49</f>
        <v>Ethan</v>
      </c>
      <c r="C8" s="8" t="str">
        <f>'All Players'!E49</f>
        <v>Edwards</v>
      </c>
      <c r="D8" s="8" t="str">
        <f>'All Players'!F49</f>
        <v>E. Edwards</v>
      </c>
      <c r="E8" s="8" t="str">
        <f>'All Players'!G49</f>
        <v>Eddy</v>
      </c>
      <c r="F8" s="8">
        <f>'All Players'!H49</f>
        <v>51</v>
      </c>
      <c r="G8" s="8">
        <f>'All Players'!I49</f>
        <v>56</v>
      </c>
      <c r="H8" s="8">
        <f>'All Players'!J49</f>
        <v>86</v>
      </c>
      <c r="I8" s="8">
        <f>'All Players'!K49</f>
        <v>71</v>
      </c>
      <c r="J8" s="5">
        <f t="shared" si="2"/>
        <v>66</v>
      </c>
      <c r="K8" s="8">
        <f>'All Players'!M49</f>
        <v>58</v>
      </c>
      <c r="L8" s="8">
        <f>'All Players'!N49</f>
        <v>11</v>
      </c>
      <c r="M8" s="5">
        <f>0.4*O8</f>
        <v>28.1</v>
      </c>
      <c r="N8" s="5">
        <f>0.9*O8</f>
        <v>63.225000000000001</v>
      </c>
      <c r="O8" s="11">
        <f>F8*Formuals!B3+G8*Formuals!C3+H8*Formuals!D3+I8*Formuals!E3</f>
        <v>70.25</v>
      </c>
      <c r="P8" s="10">
        <f t="shared" ref="P8:P10" si="5">((M8/SUM($M$7:$M$17)))*0.67</f>
        <v>4.0719793232472885E-2</v>
      </c>
      <c r="Q8" s="10">
        <f t="shared" si="3"/>
        <v>9.2730000000000007E-2</v>
      </c>
      <c r="R8" s="8" t="str">
        <f>'All Players'!T49</f>
        <v>Australia</v>
      </c>
      <c r="S8" s="8">
        <f>'All Players'!U49</f>
        <v>29</v>
      </c>
      <c r="T8" s="8">
        <f>'All Players'!V49</f>
        <v>75</v>
      </c>
      <c r="U8" s="49">
        <f t="shared" si="4"/>
        <v>31.525000000000006</v>
      </c>
      <c r="V8" s="6" t="str">
        <f>A27</f>
        <v>Quick and agile, his playstyle mirrors the unpredictable eddies of the ocean.</v>
      </c>
    </row>
    <row r="9" spans="1:22" x14ac:dyDescent="0.25">
      <c r="A9" s="8" t="str">
        <f>'All Players'!C50</f>
        <v>CB</v>
      </c>
      <c r="B9" s="8" t="str">
        <f>'All Players'!D50</f>
        <v>Noah</v>
      </c>
      <c r="C9" s="8" t="str">
        <f>'All Players'!E50</f>
        <v>Nicholson</v>
      </c>
      <c r="D9" s="8" t="str">
        <f>'All Players'!F50</f>
        <v>N. Nicholson</v>
      </c>
      <c r="E9" s="8" t="str">
        <f>'All Players'!G50</f>
        <v>Nipper</v>
      </c>
      <c r="F9" s="8">
        <f>'All Players'!H50</f>
        <v>72</v>
      </c>
      <c r="G9" s="8">
        <f>'All Players'!I50</f>
        <v>45</v>
      </c>
      <c r="H9" s="8">
        <f>'All Players'!J50</f>
        <v>100</v>
      </c>
      <c r="I9" s="8">
        <f>'All Players'!K50</f>
        <v>91</v>
      </c>
      <c r="J9" s="5">
        <f t="shared" si="2"/>
        <v>77</v>
      </c>
      <c r="K9" s="8">
        <f>'All Players'!M50</f>
        <v>61</v>
      </c>
      <c r="L9" s="8">
        <f>'All Players'!N50</f>
        <v>6</v>
      </c>
      <c r="M9" s="5">
        <f>O9*0.3</f>
        <v>26.07</v>
      </c>
      <c r="N9" s="5">
        <f>O9</f>
        <v>86.9</v>
      </c>
      <c r="O9" s="11">
        <f>F9*Formuals!B4+G9*Formuals!C4+H9*Formuals!D4+I9*Formuals!E4</f>
        <v>86.9</v>
      </c>
      <c r="P9" s="10">
        <f t="shared" si="5"/>
        <v>3.7778114219593172E-2</v>
      </c>
      <c r="Q9" s="10">
        <f t="shared" si="3"/>
        <v>4.6925999999999995E-2</v>
      </c>
      <c r="R9" s="8" t="str">
        <f>'All Players'!T50</f>
        <v>Australia</v>
      </c>
      <c r="S9" s="8">
        <f>'All Players'!U50</f>
        <v>32</v>
      </c>
      <c r="T9" s="8">
        <f>'All Players'!V50</f>
        <v>92</v>
      </c>
      <c r="U9" s="49">
        <f t="shared" si="4"/>
        <v>48.050000000000011</v>
      </c>
      <c r="V9" s="6" t="str">
        <f>A30</f>
        <v>His keen instincts and defensive nips disrupt opposing attacks effectively.</v>
      </c>
    </row>
    <row r="10" spans="1:22" x14ac:dyDescent="0.25">
      <c r="A10" s="8" t="str">
        <f>'All Players'!C51</f>
        <v>CB</v>
      </c>
      <c r="B10" s="8" t="str">
        <f>'All Players'!D51</f>
        <v>Oliver</v>
      </c>
      <c r="C10" s="8" t="str">
        <f>'All Players'!E51</f>
        <v>O'Connor</v>
      </c>
      <c r="D10" s="8" t="str">
        <f>'All Players'!F51</f>
        <v>O. O'Connor</v>
      </c>
      <c r="E10" s="8" t="str">
        <f>'All Players'!G51</f>
        <v>Outback</v>
      </c>
      <c r="F10" s="8">
        <f>'All Players'!H51</f>
        <v>54</v>
      </c>
      <c r="G10" s="8">
        <f>'All Players'!I51</f>
        <v>43</v>
      </c>
      <c r="H10" s="8">
        <f>'All Players'!J51</f>
        <v>71</v>
      </c>
      <c r="I10" s="8">
        <f>'All Players'!K51</f>
        <v>69</v>
      </c>
      <c r="J10" s="5">
        <f t="shared" si="2"/>
        <v>59.25</v>
      </c>
      <c r="K10" s="8">
        <f>'All Players'!M51</f>
        <v>64</v>
      </c>
      <c r="L10" s="8">
        <f>'All Players'!N51</f>
        <v>8</v>
      </c>
      <c r="M10" s="5">
        <f>O10*0.3</f>
        <v>19.312499999999996</v>
      </c>
      <c r="N10" s="5">
        <f>O10</f>
        <v>64.374999999999986</v>
      </c>
      <c r="O10" s="11">
        <f>F10*Formuals!B5+G10*Formuals!C5+H10*Formuals!D5+I10*Formuals!E5</f>
        <v>64.374999999999986</v>
      </c>
      <c r="P10" s="10">
        <f t="shared" si="5"/>
        <v>2.7985800953812541E-2</v>
      </c>
      <c r="Q10" s="10">
        <f t="shared" si="3"/>
        <v>4.6349999999999988E-2</v>
      </c>
      <c r="R10" s="8" t="str">
        <f>'All Players'!T51</f>
        <v>Australia</v>
      </c>
      <c r="S10" s="8">
        <f>'All Players'!U51</f>
        <v>34</v>
      </c>
      <c r="T10" s="8">
        <f>'All Players'!V51</f>
        <v>65</v>
      </c>
      <c r="U10" s="49">
        <f t="shared" si="4"/>
        <v>23.087499999999991</v>
      </c>
      <c r="V10" s="6" t="str">
        <f>A33</f>
        <v>As rugged and reliable as the Australian outback, he's a staple in the team’s defense.</v>
      </c>
    </row>
    <row r="11" spans="1:22" x14ac:dyDescent="0.25">
      <c r="A11" s="8" t="str">
        <f>'All Players'!C52</f>
        <v>RB</v>
      </c>
      <c r="B11" s="8" t="str">
        <f>'All Players'!D52</f>
        <v>Lerato</v>
      </c>
      <c r="C11" s="8" t="str">
        <f>'All Players'!E52</f>
        <v>Lekgari Jr.</v>
      </c>
      <c r="D11" s="8" t="str">
        <f>'All Players'!F52</f>
        <v>L. Lekgari Jr.</v>
      </c>
      <c r="E11" s="8" t="str">
        <f>'All Players'!G52</f>
        <v>Leviathan Jr.</v>
      </c>
      <c r="F11" s="8">
        <f>'All Players'!H52</f>
        <v>22</v>
      </c>
      <c r="G11" s="8">
        <f>'All Players'!I52</f>
        <v>95</v>
      </c>
      <c r="H11" s="8">
        <f>'All Players'!J52</f>
        <v>91</v>
      </c>
      <c r="I11" s="8">
        <f>'All Players'!K52</f>
        <v>111</v>
      </c>
      <c r="J11" s="5">
        <f t="shared" si="2"/>
        <v>79.75</v>
      </c>
      <c r="K11" s="8">
        <f>'All Players'!M52</f>
        <v>13</v>
      </c>
      <c r="L11" s="8">
        <f>'All Players'!N52</f>
        <v>78</v>
      </c>
      <c r="M11" s="5">
        <f>0.4*O11</f>
        <v>34.979999999999997</v>
      </c>
      <c r="N11" s="5">
        <f>0.9*O11</f>
        <v>78.704999999999998</v>
      </c>
      <c r="O11" s="11">
        <f>F11*Formuals!B6+G11*Formuals!C6+H11*Formuals!D6+I11*Formuals!E6</f>
        <v>87.449999999999989</v>
      </c>
      <c r="P11" s="10">
        <f>((M11/SUM($M$7:$M$17)))*0.67</f>
        <v>5.0689621611099696E-2</v>
      </c>
      <c r="Q11" s="10">
        <f t="shared" si="3"/>
        <v>0.81853199999999993</v>
      </c>
      <c r="R11" s="8" t="str">
        <f>'All Players'!T52</f>
        <v>Australia</v>
      </c>
      <c r="S11" s="8">
        <f>'All Players'!U52</f>
        <v>35</v>
      </c>
      <c r="T11" s="8">
        <f>'All Players'!V52</f>
        <v>76</v>
      </c>
      <c r="U11" s="49">
        <f t="shared" si="4"/>
        <v>40.024999999999991</v>
      </c>
      <c r="V11" s="6" t="str">
        <f>A36</f>
        <v>His fluid movements and ability to ride the defensive wave make him crucial to the team’s structure.</v>
      </c>
    </row>
    <row r="12" spans="1:22" x14ac:dyDescent="0.25">
      <c r="A12" s="8" t="str">
        <f>'All Players'!C53</f>
        <v>CDM</v>
      </c>
      <c r="B12" s="8" t="str">
        <f>'All Players'!D53</f>
        <v>Jack</v>
      </c>
      <c r="C12" s="8" t="str">
        <f>'All Players'!E53</f>
        <v>Johnson</v>
      </c>
      <c r="D12" s="8" t="str">
        <f>'All Players'!F53</f>
        <v>J. Johnson</v>
      </c>
      <c r="E12" s="8" t="str">
        <f>'All Players'!G53</f>
        <v>Jellyfish</v>
      </c>
      <c r="F12" s="8">
        <f>'All Players'!H53</f>
        <v>64</v>
      </c>
      <c r="G12" s="8">
        <f>'All Players'!I53</f>
        <v>63</v>
      </c>
      <c r="H12" s="8">
        <f>'All Players'!J53</f>
        <v>99</v>
      </c>
      <c r="I12" s="8">
        <f>'All Players'!K53</f>
        <v>81</v>
      </c>
      <c r="J12" s="5">
        <f t="shared" si="2"/>
        <v>76.75</v>
      </c>
      <c r="K12" s="8">
        <f>'All Players'!M53</f>
        <v>62</v>
      </c>
      <c r="L12" s="8">
        <f>'All Players'!N53</f>
        <v>13</v>
      </c>
      <c r="M12" s="5">
        <f>O12*0.6</f>
        <v>48.15</v>
      </c>
      <c r="N12" s="5">
        <f>O12*0.9</f>
        <v>72.225000000000009</v>
      </c>
      <c r="O12" s="11">
        <f>F12*Formuals!B7+G12*Formuals!C7+H12*Formuals!D7+I12*Formuals!E7</f>
        <v>80.25</v>
      </c>
      <c r="P12" s="10">
        <f t="shared" ref="P12:P14" si="6">((M12/SUM($M$7:$M$17)))</f>
        <v>0.10414075764293669</v>
      </c>
      <c r="Q12" s="10">
        <f t="shared" si="3"/>
        <v>0.18778499999999998</v>
      </c>
      <c r="R12" s="8" t="str">
        <f>'All Players'!T53</f>
        <v>Australia</v>
      </c>
      <c r="S12" s="8">
        <f>'All Players'!U53</f>
        <v>29</v>
      </c>
      <c r="T12" s="8">
        <f>'All Players'!V53</f>
        <v>89</v>
      </c>
      <c r="U12" s="49">
        <f t="shared" si="4"/>
        <v>43.525000000000006</v>
      </c>
      <c r="V12" s="6" t="str">
        <f>A39</f>
        <v>Deceptively calm but impactful, like a jellyfish, he controls the midfield with poise.</v>
      </c>
    </row>
    <row r="13" spans="1:22" x14ac:dyDescent="0.25">
      <c r="A13" s="8" t="str">
        <f>'All Players'!C54</f>
        <v>CM</v>
      </c>
      <c r="B13" s="8" t="str">
        <f>'All Players'!D54</f>
        <v>Lucas</v>
      </c>
      <c r="C13" s="8" t="str">
        <f>'All Players'!E54</f>
        <v>Lewis</v>
      </c>
      <c r="D13" s="8" t="str">
        <f>'All Players'!F54</f>
        <v>L. Lewis</v>
      </c>
      <c r="E13" s="8" t="str">
        <f>'All Players'!G54</f>
        <v>Lagoon</v>
      </c>
      <c r="F13" s="8">
        <f>'All Players'!H54</f>
        <v>64</v>
      </c>
      <c r="G13" s="8">
        <f>'All Players'!I54</f>
        <v>67</v>
      </c>
      <c r="H13" s="8">
        <f>'All Players'!J54</f>
        <v>78</v>
      </c>
      <c r="I13" s="8">
        <f>'All Players'!K54</f>
        <v>94</v>
      </c>
      <c r="J13" s="5">
        <f t="shared" si="2"/>
        <v>75.75</v>
      </c>
      <c r="K13" s="8">
        <f>'All Players'!M54</f>
        <v>55</v>
      </c>
      <c r="L13" s="8">
        <f>'All Players'!N54</f>
        <v>6</v>
      </c>
      <c r="M13" s="5">
        <f>O13*0.75</f>
        <v>53.962500000000006</v>
      </c>
      <c r="N13" s="5">
        <f>O13*0.75</f>
        <v>53.962500000000006</v>
      </c>
      <c r="O13" s="11">
        <f>F13*Formuals!B8+G13*Formuals!C8+H13*Formuals!D8+I13*Formuals!E8</f>
        <v>71.95</v>
      </c>
      <c r="P13" s="10">
        <f t="shared" si="6"/>
        <v>0.11671226654843141</v>
      </c>
      <c r="Q13" s="10">
        <f t="shared" si="3"/>
        <v>9.713250000000001E-2</v>
      </c>
      <c r="R13" s="8" t="str">
        <f>'All Players'!T54</f>
        <v>Australia</v>
      </c>
      <c r="S13" s="8">
        <f>'All Players'!U54</f>
        <v>18</v>
      </c>
      <c r="T13" s="8">
        <f>'All Players'!V54</f>
        <v>101</v>
      </c>
      <c r="U13" s="49">
        <f t="shared" si="4"/>
        <v>46.474999999999994</v>
      </c>
      <c r="V13" s="6" t="str">
        <f>A42</f>
        <v>His play is as serene and deep as a lagoon, with a sudden striking ability.</v>
      </c>
    </row>
    <row r="14" spans="1:22" x14ac:dyDescent="0.25">
      <c r="A14" s="8" t="str">
        <f>'All Players'!C55</f>
        <v>CAM</v>
      </c>
      <c r="B14" s="8" t="str">
        <f>'All Players'!D55</f>
        <v>Henry</v>
      </c>
      <c r="C14" s="8" t="str">
        <f>'All Players'!E55</f>
        <v>Harris</v>
      </c>
      <c r="D14" s="8" t="str">
        <f>'All Players'!F55</f>
        <v>H. Harris</v>
      </c>
      <c r="E14" s="8" t="str">
        <f>'All Players'!G55</f>
        <v>Harbor</v>
      </c>
      <c r="F14" s="8">
        <f>'All Players'!H55</f>
        <v>68</v>
      </c>
      <c r="G14" s="8">
        <f>'All Players'!I55</f>
        <v>66</v>
      </c>
      <c r="H14" s="8">
        <f>'All Players'!J55</f>
        <v>80</v>
      </c>
      <c r="I14" s="8">
        <f>'All Players'!K55</f>
        <v>65</v>
      </c>
      <c r="J14" s="5">
        <f t="shared" si="2"/>
        <v>69.75</v>
      </c>
      <c r="K14" s="8">
        <f>'All Players'!M55</f>
        <v>62</v>
      </c>
      <c r="L14" s="8">
        <f>'All Players'!N55</f>
        <v>8</v>
      </c>
      <c r="M14" s="5">
        <f>O14*0.9</f>
        <v>60.480000000000004</v>
      </c>
      <c r="N14" s="5">
        <f>O14*0.6</f>
        <v>40.32</v>
      </c>
      <c r="O14" s="11">
        <f>F14*Formuals!B9+G14*Formuals!C9+H14*Formuals!D9+I14*Formuals!E9</f>
        <v>67.2</v>
      </c>
      <c r="P14" s="10">
        <f t="shared" si="6"/>
        <v>0.130808577824399</v>
      </c>
      <c r="Q14" s="10">
        <f t="shared" si="3"/>
        <v>0.145152</v>
      </c>
      <c r="R14" s="8" t="str">
        <f>'All Players'!T55</f>
        <v>Australia</v>
      </c>
      <c r="S14" s="8">
        <f>'All Players'!U55</f>
        <v>29</v>
      </c>
      <c r="T14" s="8">
        <f>'All Players'!V55</f>
        <v>74</v>
      </c>
      <c r="U14" s="49">
        <f t="shared" si="4"/>
        <v>29.5</v>
      </c>
      <c r="V14" s="6" t="str">
        <f>A45</f>
        <v>A safe harbor for the ball, he's the team's anchor in creating attacking opportunities.</v>
      </c>
    </row>
    <row r="15" spans="1:22" x14ac:dyDescent="0.25">
      <c r="A15" s="8" t="str">
        <f>'All Players'!C56</f>
        <v>LW</v>
      </c>
      <c r="B15" s="8" t="str">
        <f>'All Players'!D56</f>
        <v>Mason</v>
      </c>
      <c r="C15" s="8" t="str">
        <f>'All Players'!E56</f>
        <v>Mitchell</v>
      </c>
      <c r="D15" s="8" t="str">
        <f>'All Players'!F56</f>
        <v>M. Mitchell</v>
      </c>
      <c r="E15" s="8" t="str">
        <f>'All Players'!G56</f>
        <v>Marlin</v>
      </c>
      <c r="F15" s="8">
        <f>'All Players'!H56</f>
        <v>40</v>
      </c>
      <c r="G15" s="8">
        <f>'All Players'!I56</f>
        <v>30</v>
      </c>
      <c r="H15" s="8">
        <f>'All Players'!J56</f>
        <v>81</v>
      </c>
      <c r="I15" s="8">
        <f>'All Players'!K56</f>
        <v>69</v>
      </c>
      <c r="J15" s="5">
        <f t="shared" si="2"/>
        <v>55</v>
      </c>
      <c r="K15" s="8">
        <f>'All Players'!M56</f>
        <v>58</v>
      </c>
      <c r="L15" s="8">
        <f>'All Players'!N56</f>
        <v>13</v>
      </c>
      <c r="M15" s="5">
        <f>O15</f>
        <v>53.6</v>
      </c>
      <c r="N15" s="5">
        <f>O15*0.3</f>
        <v>16.079999999999998</v>
      </c>
      <c r="O15" s="11">
        <f>F15*Formuals!B10+G15*Formuals!C10+H15*Formuals!D10+I15*Formuals!E10</f>
        <v>53.6</v>
      </c>
      <c r="P15" s="10">
        <f>((M15/SUM($M$7:$M$17)))*1.33</f>
        <v>0.15418455515783328</v>
      </c>
      <c r="Q15" s="10">
        <f t="shared" si="3"/>
        <v>0.20904</v>
      </c>
      <c r="R15" s="8" t="str">
        <f>'All Players'!T56</f>
        <v>Australia</v>
      </c>
      <c r="S15" s="8">
        <f>'All Players'!U56</f>
        <v>24</v>
      </c>
      <c r="T15" s="8">
        <f>'All Players'!V56</f>
        <v>69</v>
      </c>
      <c r="U15" s="49">
        <f t="shared" si="4"/>
        <v>20.700000000000003</v>
      </c>
      <c r="V15" s="6" t="str">
        <f>A48</f>
        <v>Fast and sharp, much like a marlin, his runs down the wing are a spectacle.</v>
      </c>
    </row>
    <row r="16" spans="1:22" x14ac:dyDescent="0.25">
      <c r="A16" s="8" t="str">
        <f>'All Players'!C57</f>
        <v>ST</v>
      </c>
      <c r="B16" s="8" t="str">
        <f>'All Players'!D57</f>
        <v>Charlie</v>
      </c>
      <c r="C16" s="8" t="str">
        <f>'All Players'!E57</f>
        <v>Campbell</v>
      </c>
      <c r="D16" s="8" t="str">
        <f>'All Players'!F57</f>
        <v>C. Campbell</v>
      </c>
      <c r="E16" s="8" t="str">
        <f>'All Players'!G57</f>
        <v>Current</v>
      </c>
      <c r="F16" s="8">
        <f>'All Players'!H57</f>
        <v>69</v>
      </c>
      <c r="G16" s="8">
        <f>'All Players'!I57</f>
        <v>51</v>
      </c>
      <c r="H16" s="8">
        <f>'All Players'!J57</f>
        <v>94</v>
      </c>
      <c r="I16" s="8">
        <f>'All Players'!K57</f>
        <v>65</v>
      </c>
      <c r="J16" s="5">
        <f t="shared" si="2"/>
        <v>69.75</v>
      </c>
      <c r="K16" s="8">
        <f>'All Players'!M57</f>
        <v>55</v>
      </c>
      <c r="L16" s="8">
        <f>'All Players'!N57</f>
        <v>13</v>
      </c>
      <c r="M16" s="5">
        <f>O16</f>
        <v>65.8</v>
      </c>
      <c r="N16" s="5">
        <f t="shared" ref="N16:N17" si="7">O16*0.3</f>
        <v>19.739999999999998</v>
      </c>
      <c r="O16" s="11">
        <f>F16*Formuals!B11+G16*Formuals!C11+H16*Formuals!D11+I16*Formuals!E11</f>
        <v>65.8</v>
      </c>
      <c r="P16" s="10">
        <f t="shared" ref="P16:P17" si="8">((M16/SUM($M$7:$M$17)))*1.33</f>
        <v>0.18927880092136995</v>
      </c>
      <c r="Q16" s="10">
        <f t="shared" si="3"/>
        <v>0.25661999999999996</v>
      </c>
      <c r="R16" s="8" t="str">
        <f>'All Players'!T57</f>
        <v>Australia</v>
      </c>
      <c r="S16" s="8">
        <f>'All Players'!U57</f>
        <v>22</v>
      </c>
      <c r="T16" s="8">
        <f>'All Players'!V57</f>
        <v>82</v>
      </c>
      <c r="U16" s="49">
        <f t="shared" si="4"/>
        <v>33.5</v>
      </c>
      <c r="V16" s="6" t="str">
        <f>A51</f>
        <v>With the strength and unpredictability of ocean currents, he's vital in the team's attacks.</v>
      </c>
    </row>
    <row r="17" spans="1:22" x14ac:dyDescent="0.25">
      <c r="A17" s="8" t="str">
        <f>'All Players'!C58</f>
        <v>RW</v>
      </c>
      <c r="B17" s="8" t="str">
        <f>'All Players'!D58</f>
        <v>Thomas</v>
      </c>
      <c r="C17" s="8" t="str">
        <f>'All Players'!E58</f>
        <v>Taylor</v>
      </c>
      <c r="D17" s="8" t="str">
        <f>'All Players'!F58</f>
        <v>T. Taylor</v>
      </c>
      <c r="E17" s="8" t="str">
        <f>'All Players'!G58</f>
        <v>Tide</v>
      </c>
      <c r="F17" s="8">
        <f>'All Players'!H58</f>
        <v>56</v>
      </c>
      <c r="G17" s="8">
        <f>'All Players'!I58</f>
        <v>58</v>
      </c>
      <c r="H17" s="8">
        <f>'All Players'!J58</f>
        <v>80</v>
      </c>
      <c r="I17" s="8">
        <f>'All Players'!K58</f>
        <v>88</v>
      </c>
      <c r="J17" s="5">
        <f t="shared" si="2"/>
        <v>70.5</v>
      </c>
      <c r="K17" s="8">
        <f>'All Players'!M58</f>
        <v>58</v>
      </c>
      <c r="L17" s="8">
        <f>'All Players'!N58</f>
        <v>7</v>
      </c>
      <c r="M17" s="5">
        <f>O17</f>
        <v>71.900000000000006</v>
      </c>
      <c r="N17" s="5">
        <f t="shared" si="7"/>
        <v>21.57</v>
      </c>
      <c r="O17" s="11">
        <f>F17*Formuals!B12+G17*Formuals!C12+H17*Formuals!D12+I17*Formuals!E12</f>
        <v>71.900000000000006</v>
      </c>
      <c r="P17" s="10">
        <f t="shared" si="8"/>
        <v>0.2068259238031383</v>
      </c>
      <c r="Q17" s="10">
        <f t="shared" si="3"/>
        <v>0.15099000000000004</v>
      </c>
      <c r="R17" s="8" t="str">
        <f>'All Players'!T58</f>
        <v>Australia</v>
      </c>
      <c r="S17" s="8">
        <f>'All Players'!U58</f>
        <v>19</v>
      </c>
      <c r="T17" s="8">
        <f>'All Players'!V58</f>
        <v>97</v>
      </c>
      <c r="U17" s="49">
        <f t="shared" si="4"/>
        <v>44.349999999999994</v>
      </c>
      <c r="V17" t="str">
        <f>A54</f>
        <v>Ebbing and flowing like the tide, his ability to find and exploit spaces is unmatched.</v>
      </c>
    </row>
    <row r="18" spans="1:22" x14ac:dyDescent="0.25">
      <c r="F18" s="18">
        <f t="shared" ref="F18:G18" si="9">LARGE(F7:F17,1) - SMALL(F7:F17,1)</f>
        <v>50</v>
      </c>
      <c r="G18" s="18">
        <f t="shared" si="9"/>
        <v>65</v>
      </c>
      <c r="H18" s="18">
        <f>LARGE(H7:H17,1) - SMALL(H7:H17,1)</f>
        <v>29</v>
      </c>
      <c r="I18" s="18">
        <f>LARGE(I7:I17,1) - SMALL(I7:I17,1)</f>
        <v>46</v>
      </c>
      <c r="J18" s="19">
        <f t="shared" ref="J18:L18" si="10">LARGE(J7:J17,1) - SMALL(J7:J17,1)</f>
        <v>24.75</v>
      </c>
      <c r="K18" s="18">
        <f t="shared" si="10"/>
        <v>51</v>
      </c>
      <c r="L18" s="18">
        <f t="shared" si="10"/>
        <v>72</v>
      </c>
      <c r="O18" s="19">
        <f t="shared" ref="O18" si="11">LARGE(O7:O17,1) - SMALL(O7:O17,1)</f>
        <v>33.849999999999987</v>
      </c>
      <c r="P18" s="48">
        <f>SUM(P7:P17)</f>
        <v>1.059124211915087</v>
      </c>
      <c r="S18">
        <f>AVERAGE(S7:S17)</f>
        <v>27.545454545454547</v>
      </c>
      <c r="T18">
        <f>AVERAGE(T7:T17)</f>
        <v>79.818181818181813</v>
      </c>
      <c r="U18" s="50">
        <f>SUM(U7:U17)</f>
        <v>375.5625</v>
      </c>
    </row>
    <row r="19" spans="1:22" x14ac:dyDescent="0.25">
      <c r="B19" s="3" t="s">
        <v>1</v>
      </c>
      <c r="C19" s="3" t="s">
        <v>2</v>
      </c>
      <c r="D19" s="3" t="s">
        <v>3</v>
      </c>
    </row>
    <row r="20" spans="1:22" x14ac:dyDescent="0.25">
      <c r="A20" s="3" t="s">
        <v>4</v>
      </c>
      <c r="B20" s="2">
        <f>AVERAGE(O7:O12)*0.1+AVERAGE(O13:O17)*0.9</f>
        <v>66.875583333333338</v>
      </c>
      <c r="C20" s="2">
        <f>AVERAGE(O7:O12)*0.9+AVERAGE(O13:O17)*0.1</f>
        <v>73.160250000000005</v>
      </c>
      <c r="D20" s="2">
        <f>AVERAGE(K7:K17)*0.5+AVERAGE(L7:L17)*0.5</f>
        <v>35.31818181818182</v>
      </c>
    </row>
    <row r="22" spans="1:22" x14ac:dyDescent="0.25">
      <c r="A22" t="s">
        <v>512</v>
      </c>
    </row>
    <row r="24" spans="1:22" x14ac:dyDescent="0.25">
      <c r="A24" t="s">
        <v>501</v>
      </c>
    </row>
    <row r="25" spans="1:22" x14ac:dyDescent="0.25">
      <c r="A25" t="s">
        <v>513</v>
      </c>
    </row>
    <row r="27" spans="1:22" x14ac:dyDescent="0.25">
      <c r="A27" t="s">
        <v>502</v>
      </c>
    </row>
    <row r="28" spans="1:22" x14ac:dyDescent="0.25">
      <c r="A28" t="s">
        <v>514</v>
      </c>
    </row>
    <row r="30" spans="1:22" x14ac:dyDescent="0.25">
      <c r="A30" t="s">
        <v>503</v>
      </c>
    </row>
    <row r="31" spans="1:22" x14ac:dyDescent="0.25">
      <c r="A31" t="s">
        <v>515</v>
      </c>
    </row>
    <row r="33" spans="1:1" x14ac:dyDescent="0.25">
      <c r="A33" t="s">
        <v>504</v>
      </c>
    </row>
    <row r="34" spans="1:1" x14ac:dyDescent="0.25">
      <c r="A34" t="s">
        <v>516</v>
      </c>
    </row>
    <row r="36" spans="1:1" x14ac:dyDescent="0.25">
      <c r="A36" t="s">
        <v>505</v>
      </c>
    </row>
    <row r="37" spans="1:1" x14ac:dyDescent="0.25">
      <c r="A37" t="s">
        <v>517</v>
      </c>
    </row>
    <row r="39" spans="1:1" x14ac:dyDescent="0.25">
      <c r="A39" t="s">
        <v>506</v>
      </c>
    </row>
    <row r="40" spans="1:1" x14ac:dyDescent="0.25">
      <c r="A40" t="s">
        <v>518</v>
      </c>
    </row>
    <row r="42" spans="1:1" x14ac:dyDescent="0.25">
      <c r="A42" t="s">
        <v>507</v>
      </c>
    </row>
    <row r="43" spans="1:1" x14ac:dyDescent="0.25">
      <c r="A43" t="s">
        <v>519</v>
      </c>
    </row>
    <row r="45" spans="1:1" x14ac:dyDescent="0.25">
      <c r="A45" t="s">
        <v>508</v>
      </c>
    </row>
    <row r="46" spans="1:1" x14ac:dyDescent="0.25">
      <c r="A46" t="s">
        <v>520</v>
      </c>
    </row>
    <row r="48" spans="1:1" x14ac:dyDescent="0.25">
      <c r="A48" t="s">
        <v>509</v>
      </c>
    </row>
    <row r="49" spans="1:1" x14ac:dyDescent="0.25">
      <c r="A49" t="s">
        <v>521</v>
      </c>
    </row>
    <row r="51" spans="1:1" x14ac:dyDescent="0.25">
      <c r="A51" t="s">
        <v>510</v>
      </c>
    </row>
    <row r="52" spans="1:1" x14ac:dyDescent="0.25">
      <c r="A52" t="s">
        <v>522</v>
      </c>
    </row>
    <row r="54" spans="1:1" x14ac:dyDescent="0.25">
      <c r="A54" t="s">
        <v>511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D8076-C06B-4FB3-A55B-20C3FA3D5FCB}">
  <sheetPr codeName="Sheet10">
    <tabColor theme="6"/>
  </sheetPr>
  <dimension ref="A1:V54"/>
  <sheetViews>
    <sheetView workbookViewId="0">
      <selection activeCell="U21" sqref="U21"/>
    </sheetView>
  </sheetViews>
  <sheetFormatPr defaultRowHeight="15" x14ac:dyDescent="0.25"/>
  <cols>
    <col min="2" max="2" width="10.5703125" bestFit="1" customWidth="1"/>
    <col min="3" max="3" width="10.28515625" bestFit="1" customWidth="1"/>
    <col min="4" max="4" width="12.5703125" bestFit="1" customWidth="1"/>
    <col min="5" max="5" width="9.28515625" bestFit="1" customWidth="1"/>
  </cols>
  <sheetData>
    <row r="1" spans="1:22" x14ac:dyDescent="0.25">
      <c r="A1" s="3" t="s">
        <v>19</v>
      </c>
      <c r="B1" s="6" t="s">
        <v>27</v>
      </c>
      <c r="N1" s="17"/>
    </row>
    <row r="2" spans="1:22" x14ac:dyDescent="0.25">
      <c r="A2" s="3" t="s">
        <v>20</v>
      </c>
      <c r="B2" s="6" t="s">
        <v>62</v>
      </c>
    </row>
    <row r="3" spans="1:22" x14ac:dyDescent="0.25">
      <c r="A3" s="3" t="s">
        <v>138</v>
      </c>
      <c r="B3" s="6" t="str">
        <f>VLOOKUP(B1,STATS!L1:AA21,16,FALSE)</f>
        <v>Malaysia</v>
      </c>
    </row>
    <row r="4" spans="1:22" x14ac:dyDescent="0.25">
      <c r="A4" s="3" t="s">
        <v>22</v>
      </c>
      <c r="B4" s="1">
        <f>((B20+C20)/2)*((D20+50)/100)</f>
        <v>91.436094696969704</v>
      </c>
      <c r="F4">
        <f>VLOOKUP($B$1,STATS!$L$1:$Q$21,3,FALSE)</f>
        <v>90</v>
      </c>
      <c r="G4">
        <f>VLOOKUP($B$1,STATS!$L$1:$Q$21,4,FALSE)</f>
        <v>80</v>
      </c>
      <c r="H4">
        <f>VLOOKUP($B$1,STATS!$L$1:$Q$21,5,FALSE)</f>
        <v>65</v>
      </c>
      <c r="I4">
        <f>VLOOKUP($B$1,STATS!$L$1:$Q$21,6,FALSE)</f>
        <v>85</v>
      </c>
      <c r="J4">
        <f>AVERAGE(F4:I4)</f>
        <v>80</v>
      </c>
      <c r="K4">
        <v>75</v>
      </c>
      <c r="L4">
        <v>50</v>
      </c>
    </row>
    <row r="5" spans="1:22" x14ac:dyDescent="0.25">
      <c r="F5" s="12">
        <f t="shared" ref="F5" si="0">AVERAGE(F7:F17)</f>
        <v>90.272727272727266</v>
      </c>
      <c r="G5" s="12">
        <f t="shared" ref="G5:L5" si="1">AVERAGE(G7:G17)</f>
        <v>79.090909090909093</v>
      </c>
      <c r="H5" s="12">
        <f t="shared" si="1"/>
        <v>63.81818181818182</v>
      </c>
      <c r="I5" s="12">
        <f t="shared" si="1"/>
        <v>86.545454545454547</v>
      </c>
      <c r="J5" s="12">
        <f t="shared" si="1"/>
        <v>79.931818181818187</v>
      </c>
      <c r="K5" s="12">
        <f t="shared" si="1"/>
        <v>80.454545454545453</v>
      </c>
      <c r="L5" s="12">
        <f t="shared" si="1"/>
        <v>40.909090909090907</v>
      </c>
      <c r="M5" s="12">
        <f t="shared" ref="M5" si="2">AVERAGE(M7:M17)</f>
        <v>50.546818181818182</v>
      </c>
      <c r="N5" s="12">
        <f>AVERAGE(N7:N17)</f>
        <v>58.714090909090913</v>
      </c>
      <c r="O5" s="12">
        <f>AVERAGE(O7:O17)</f>
        <v>82.372727272727275</v>
      </c>
    </row>
    <row r="6" spans="1:22" x14ac:dyDescent="0.25">
      <c r="A6" s="3" t="s">
        <v>7</v>
      </c>
      <c r="B6" s="3" t="s">
        <v>8</v>
      </c>
      <c r="C6" s="3" t="s">
        <v>9</v>
      </c>
      <c r="D6" s="3" t="s">
        <v>44</v>
      </c>
      <c r="E6" s="3" t="s">
        <v>50</v>
      </c>
      <c r="F6" s="3" t="s">
        <v>17</v>
      </c>
      <c r="G6" s="3" t="s">
        <v>14</v>
      </c>
      <c r="H6" s="3" t="s">
        <v>15</v>
      </c>
      <c r="I6" s="3" t="s">
        <v>16</v>
      </c>
      <c r="J6" s="3" t="s">
        <v>48</v>
      </c>
      <c r="K6" s="3" t="s">
        <v>3</v>
      </c>
      <c r="L6" s="3" t="s">
        <v>10</v>
      </c>
      <c r="M6" s="3" t="s">
        <v>1</v>
      </c>
      <c r="N6" s="3" t="s">
        <v>12</v>
      </c>
      <c r="O6" s="3" t="s">
        <v>4</v>
      </c>
      <c r="P6" s="3" t="s">
        <v>49</v>
      </c>
      <c r="Q6" s="3" t="s">
        <v>47</v>
      </c>
      <c r="R6" s="3" t="s">
        <v>138</v>
      </c>
      <c r="S6" s="3" t="s">
        <v>1354</v>
      </c>
      <c r="T6" s="3" t="s">
        <v>1355</v>
      </c>
      <c r="U6" s="3" t="s">
        <v>1356</v>
      </c>
      <c r="V6" s="3" t="s">
        <v>13</v>
      </c>
    </row>
    <row r="7" spans="1:22" x14ac:dyDescent="0.25">
      <c r="A7" s="8" t="str">
        <f>'All Players'!C59</f>
        <v>GK</v>
      </c>
      <c r="B7" s="8" t="str">
        <f>'All Players'!D59</f>
        <v>Ahmad</v>
      </c>
      <c r="C7" s="8" t="str">
        <f>'All Players'!E59</f>
        <v>Aziz</v>
      </c>
      <c r="D7" s="8" t="str">
        <f>'All Players'!F59</f>
        <v>A. Aziz</v>
      </c>
      <c r="E7" s="8" t="str">
        <f>'All Players'!G59</f>
        <v>Awan</v>
      </c>
      <c r="F7" s="8">
        <f>'All Players'!H59</f>
        <v>95</v>
      </c>
      <c r="G7" s="8">
        <f>'All Players'!I59</f>
        <v>82</v>
      </c>
      <c r="H7" s="8">
        <f>'All Players'!J59</f>
        <v>64</v>
      </c>
      <c r="I7" s="8">
        <f>'All Players'!K59</f>
        <v>82</v>
      </c>
      <c r="J7" s="5">
        <f t="shared" ref="J7:J17" si="3">AVERAGE(F7:I7)</f>
        <v>80.75</v>
      </c>
      <c r="K7" s="8">
        <f>'All Players'!M59</f>
        <v>81</v>
      </c>
      <c r="L7" s="8">
        <f>'All Players'!N59</f>
        <v>37</v>
      </c>
      <c r="M7" s="4">
        <f>AVERAGE(F7:I7)*0</f>
        <v>0</v>
      </c>
      <c r="N7" s="5">
        <f>O7</f>
        <v>85.4</v>
      </c>
      <c r="O7" s="11">
        <f>F7*Formuals!B2+G7*Formuals!C2+H7*Formuals!D2+I7*Formuals!E2</f>
        <v>85.4</v>
      </c>
      <c r="P7" s="10">
        <f>((M7/SUM($M$7:$M$17)))</f>
        <v>0</v>
      </c>
      <c r="Q7" s="10">
        <f t="shared" ref="Q7:Q17" si="4">((M7/100)*(L7/100))*3</f>
        <v>0</v>
      </c>
      <c r="R7" s="8" t="str">
        <f>'All Players'!T59</f>
        <v>Malaysia</v>
      </c>
      <c r="S7" s="8">
        <f>'All Players'!U59</f>
        <v>34</v>
      </c>
      <c r="T7" s="8">
        <f>'All Players'!V59</f>
        <v>87</v>
      </c>
      <c r="U7" s="49">
        <f t="shared" ref="U7:U17" si="5">IF((O7*0.5)+((T7*0.5)-((S7-18)*0.1))-40&lt;0,"0",(O7*0.5)+((T7*0.5)-((S7-18)*0.1))-40)</f>
        <v>44.599999999999994</v>
      </c>
      <c r="V7" s="6" t="str">
        <f>A24</f>
        <v>Known for his 'awan' (cloud-like) reflexes, his quick and graceful dives make him a reliable goalkeeper.</v>
      </c>
    </row>
    <row r="8" spans="1:22" x14ac:dyDescent="0.25">
      <c r="A8" s="8" t="str">
        <f>'All Players'!C60</f>
        <v>LB</v>
      </c>
      <c r="B8" s="8" t="str">
        <f>'All Players'!D60</f>
        <v>Syed</v>
      </c>
      <c r="C8" s="8" t="str">
        <f>'All Players'!E60</f>
        <v>Rahman</v>
      </c>
      <c r="D8" s="8" t="str">
        <f>'All Players'!F60</f>
        <v>S. Rahman</v>
      </c>
      <c r="E8" s="8" t="str">
        <f>'All Players'!G60</f>
        <v>Sinar</v>
      </c>
      <c r="F8" s="8">
        <f>'All Players'!H60</f>
        <v>92</v>
      </c>
      <c r="G8" s="8">
        <f>'All Players'!I60</f>
        <v>75</v>
      </c>
      <c r="H8" s="8">
        <f>'All Players'!J60</f>
        <v>72</v>
      </c>
      <c r="I8" s="8">
        <f>'All Players'!K60</f>
        <v>88</v>
      </c>
      <c r="J8" s="5">
        <f t="shared" si="3"/>
        <v>81.75</v>
      </c>
      <c r="K8" s="8">
        <f>'All Players'!M60</f>
        <v>78</v>
      </c>
      <c r="L8" s="8">
        <f>'All Players'!N60</f>
        <v>45</v>
      </c>
      <c r="M8" s="5">
        <f>0.4*O8</f>
        <v>32.160000000000004</v>
      </c>
      <c r="N8" s="5">
        <f>0.9*O8</f>
        <v>72.360000000000014</v>
      </c>
      <c r="O8" s="11">
        <f>F8*Formuals!B3+G8*Formuals!C3+H8*Formuals!D3+I8*Formuals!E3</f>
        <v>80.400000000000006</v>
      </c>
      <c r="P8" s="10">
        <f t="shared" ref="P8:P10" si="6">((M8/SUM($M$7:$M$17)))*0.67</f>
        <v>3.875291134231991E-2</v>
      </c>
      <c r="Q8" s="10">
        <f t="shared" si="4"/>
        <v>0.43416000000000005</v>
      </c>
      <c r="R8" s="8" t="str">
        <f>'All Players'!T60</f>
        <v>Malaysia</v>
      </c>
      <c r="S8" s="8">
        <f>'All Players'!U60</f>
        <v>25</v>
      </c>
      <c r="T8" s="8">
        <f>'All Players'!V60</f>
        <v>89</v>
      </c>
      <c r="U8" s="49">
        <f t="shared" si="5"/>
        <v>44</v>
      </c>
      <c r="V8" s="6" t="str">
        <f>A27</f>
        <v>His 'sinar' (ray) of energy and speed on the right flank is indispensable for both defense and offense.</v>
      </c>
    </row>
    <row r="9" spans="1:22" x14ac:dyDescent="0.25">
      <c r="A9" s="8" t="str">
        <f>'All Players'!C61</f>
        <v>CB</v>
      </c>
      <c r="B9" s="8" t="str">
        <f>'All Players'!D61</f>
        <v>Faisal</v>
      </c>
      <c r="C9" s="8" t="str">
        <f>'All Players'!E61</f>
        <v>Bakar</v>
      </c>
      <c r="D9" s="8" t="str">
        <f>'All Players'!F61</f>
        <v>F. Bakar</v>
      </c>
      <c r="E9" s="8" t="str">
        <f>'All Players'!G61</f>
        <v>Firasat</v>
      </c>
      <c r="F9" s="8">
        <f>'All Players'!H61</f>
        <v>81</v>
      </c>
      <c r="G9" s="8">
        <f>'All Players'!I61</f>
        <v>74</v>
      </c>
      <c r="H9" s="8">
        <f>'All Players'!J61</f>
        <v>75</v>
      </c>
      <c r="I9" s="8">
        <f>'All Players'!K61</f>
        <v>76</v>
      </c>
      <c r="J9" s="5">
        <f t="shared" si="3"/>
        <v>76.5</v>
      </c>
      <c r="K9" s="8">
        <f>'All Players'!M61</f>
        <v>84</v>
      </c>
      <c r="L9" s="8">
        <f>'All Players'!N61</f>
        <v>36</v>
      </c>
      <c r="M9" s="5">
        <f>O9*0.3</f>
        <v>22.724999999999998</v>
      </c>
      <c r="N9" s="5">
        <f>O9</f>
        <v>75.75</v>
      </c>
      <c r="O9" s="11">
        <f>F9*Formuals!B4+G9*Formuals!C4+H9*Formuals!D4+I9*Formuals!E4</f>
        <v>75.75</v>
      </c>
      <c r="P9" s="10">
        <f t="shared" si="6"/>
        <v>2.7383703677059071E-2</v>
      </c>
      <c r="Q9" s="10">
        <f t="shared" si="4"/>
        <v>0.24542999999999998</v>
      </c>
      <c r="R9" s="8" t="str">
        <f>'All Players'!T61</f>
        <v>Malaysia</v>
      </c>
      <c r="S9" s="8">
        <f>'All Players'!U61</f>
        <v>25</v>
      </c>
      <c r="T9" s="8">
        <f>'All Players'!V61</f>
        <v>95</v>
      </c>
      <c r="U9" s="49">
        <f t="shared" si="5"/>
        <v>44.674999999999997</v>
      </c>
      <c r="V9" s="6" t="str">
        <f>A30</f>
        <v>With 'firasat' (instinct), his anticipation and tackles make him a vital part of the defense.</v>
      </c>
    </row>
    <row r="10" spans="1:22" x14ac:dyDescent="0.25">
      <c r="A10" s="8" t="str">
        <f>'All Players'!C62</f>
        <v>CB</v>
      </c>
      <c r="B10" s="8" t="str">
        <f>'All Players'!D62</f>
        <v>Zulkifli</v>
      </c>
      <c r="C10" s="8" t="str">
        <f>'All Players'!E62</f>
        <v>Zainal</v>
      </c>
      <c r="D10" s="8" t="str">
        <f>'All Players'!F62</f>
        <v>Z. Zainal</v>
      </c>
      <c r="E10" s="8" t="str">
        <f>'All Players'!G62</f>
        <v>Zahir</v>
      </c>
      <c r="F10" s="8">
        <f>'All Players'!H62</f>
        <v>84</v>
      </c>
      <c r="G10" s="8">
        <f>'All Players'!I62</f>
        <v>72</v>
      </c>
      <c r="H10" s="8">
        <f>'All Players'!J62</f>
        <v>80</v>
      </c>
      <c r="I10" s="8">
        <f>'All Players'!K62</f>
        <v>84</v>
      </c>
      <c r="J10" s="5">
        <f t="shared" si="3"/>
        <v>80</v>
      </c>
      <c r="K10" s="8">
        <f>'All Players'!M62</f>
        <v>78</v>
      </c>
      <c r="L10" s="8">
        <f>'All Players'!N62</f>
        <v>44</v>
      </c>
      <c r="M10" s="5">
        <f>O10*0.3</f>
        <v>23.969999999999995</v>
      </c>
      <c r="N10" s="5">
        <f>O10</f>
        <v>79.899999999999991</v>
      </c>
      <c r="O10" s="11">
        <f>F10*Formuals!B5+G10*Formuals!C5+H10*Formuals!D5+I10*Formuals!E5</f>
        <v>79.899999999999991</v>
      </c>
      <c r="P10" s="10">
        <f t="shared" si="6"/>
        <v>2.8883932987419404E-2</v>
      </c>
      <c r="Q10" s="10">
        <f t="shared" si="4"/>
        <v>0.31640399999999991</v>
      </c>
      <c r="R10" s="8" t="str">
        <f>'All Players'!T62</f>
        <v>Malaysia</v>
      </c>
      <c r="S10" s="8">
        <f>'All Players'!U62</f>
        <v>31</v>
      </c>
      <c r="T10" s="8">
        <f>'All Players'!V62</f>
        <v>86</v>
      </c>
      <c r="U10" s="49">
        <f t="shared" si="5"/>
        <v>41.650000000000006</v>
      </c>
      <c r="V10" s="6" t="str">
        <f>A33</f>
        <v>His 'zahir' (evident) presence in the defense line provides strength and stability.</v>
      </c>
    </row>
    <row r="11" spans="1:22" x14ac:dyDescent="0.25">
      <c r="A11" s="8" t="str">
        <f>'All Players'!C63</f>
        <v>RB</v>
      </c>
      <c r="B11" s="8" t="str">
        <f>'All Players'!D63</f>
        <v>Ismail</v>
      </c>
      <c r="C11" s="8" t="str">
        <f>'All Players'!E63</f>
        <v>Adnan</v>
      </c>
      <c r="D11" s="8" t="str">
        <f>'All Players'!F63</f>
        <v>I. Adnan</v>
      </c>
      <c r="E11" s="8" t="str">
        <f>'All Players'!G63</f>
        <v>Iringan</v>
      </c>
      <c r="F11" s="8">
        <f>'All Players'!H63</f>
        <v>89</v>
      </c>
      <c r="G11" s="8">
        <f>'All Players'!I63</f>
        <v>69</v>
      </c>
      <c r="H11" s="8">
        <f>'All Players'!J63</f>
        <v>61</v>
      </c>
      <c r="I11" s="8">
        <f>'All Players'!K63</f>
        <v>95</v>
      </c>
      <c r="J11" s="5">
        <f t="shared" si="3"/>
        <v>78.5</v>
      </c>
      <c r="K11" s="8">
        <f>'All Players'!M63</f>
        <v>79</v>
      </c>
      <c r="L11" s="8">
        <f>'All Players'!N63</f>
        <v>37</v>
      </c>
      <c r="M11" s="5">
        <f>0.4*O11</f>
        <v>30.8</v>
      </c>
      <c r="N11" s="5">
        <f>0.9*O11</f>
        <v>69.3</v>
      </c>
      <c r="O11" s="11">
        <f>F11*Formuals!B6+G11*Formuals!C6+H11*Formuals!D6+I11*Formuals!E6</f>
        <v>77</v>
      </c>
      <c r="P11" s="10">
        <f>((M11/SUM($M$7:$M$17)))*0.67</f>
        <v>3.7114106633813843E-2</v>
      </c>
      <c r="Q11" s="10">
        <f t="shared" si="4"/>
        <v>0.34187999999999996</v>
      </c>
      <c r="R11" s="8" t="str">
        <f>'All Players'!T63</f>
        <v>Malaysia</v>
      </c>
      <c r="S11" s="8">
        <f>'All Players'!U63</f>
        <v>27</v>
      </c>
      <c r="T11" s="8">
        <f>'All Players'!V63</f>
        <v>88</v>
      </c>
      <c r="U11" s="49">
        <f t="shared" si="5"/>
        <v>41.599999999999994</v>
      </c>
      <c r="V11" s="6" t="str">
        <f>A36</f>
        <v>Known for his 'iringan' (accompaniment), his support in both defense and attack is key.</v>
      </c>
    </row>
    <row r="12" spans="1:22" x14ac:dyDescent="0.25">
      <c r="A12" s="8" t="str">
        <f>'All Players'!C64</f>
        <v>CDM</v>
      </c>
      <c r="B12" s="8" t="str">
        <f>'All Players'!D64</f>
        <v>Rizal</v>
      </c>
      <c r="C12" s="8" t="str">
        <f>'All Players'!E64</f>
        <v>Jamal</v>
      </c>
      <c r="D12" s="8" t="str">
        <f>'All Players'!F64</f>
        <v>R. Jamal</v>
      </c>
      <c r="E12" s="8" t="str">
        <f>'All Players'!G64</f>
        <v>Rimau</v>
      </c>
      <c r="F12" s="8">
        <f>'All Players'!H64</f>
        <v>97</v>
      </c>
      <c r="G12" s="8">
        <f>'All Players'!I64</f>
        <v>85</v>
      </c>
      <c r="H12" s="8">
        <f>'All Players'!J64</f>
        <v>69</v>
      </c>
      <c r="I12" s="8">
        <f>'All Players'!K64</f>
        <v>92</v>
      </c>
      <c r="J12" s="5">
        <f t="shared" si="3"/>
        <v>85.75</v>
      </c>
      <c r="K12" s="8">
        <f>'All Players'!M64</f>
        <v>82</v>
      </c>
      <c r="L12" s="8">
        <f>'All Players'!N64</f>
        <v>41</v>
      </c>
      <c r="M12" s="5">
        <f>O12*0.6</f>
        <v>48.87</v>
      </c>
      <c r="N12" s="5">
        <f>O12*0.9</f>
        <v>73.305000000000007</v>
      </c>
      <c r="O12" s="11">
        <f>F12*Formuals!B7+G12*Formuals!C7+H12*Formuals!D7+I12*Formuals!E7</f>
        <v>81.45</v>
      </c>
      <c r="P12" s="10">
        <f t="shared" ref="P12:P14" si="7">((M12/SUM($M$7:$M$17)))</f>
        <v>8.7893312230785142E-2</v>
      </c>
      <c r="Q12" s="10">
        <f t="shared" si="4"/>
        <v>0.60110099999999989</v>
      </c>
      <c r="R12" s="8" t="str">
        <f>'All Players'!T64</f>
        <v>Malaysia</v>
      </c>
      <c r="S12" s="8">
        <f>'All Players'!U64</f>
        <v>21</v>
      </c>
      <c r="T12" s="8">
        <f>'All Players'!V64</f>
        <v>109</v>
      </c>
      <c r="U12" s="49">
        <f t="shared" si="5"/>
        <v>54.925000000000011</v>
      </c>
      <c r="V12" s="6" t="str">
        <f>A39</f>
        <v>'Rimau' (tiger) represents his aggressive yet intelligent control in the midfield.</v>
      </c>
    </row>
    <row r="13" spans="1:22" x14ac:dyDescent="0.25">
      <c r="A13" s="8" t="str">
        <f>'All Players'!C65</f>
        <v>CM</v>
      </c>
      <c r="B13" s="8" t="str">
        <f>'All Players'!D65</f>
        <v>Amir</v>
      </c>
      <c r="C13" s="8" t="str">
        <f>'All Players'!E65</f>
        <v>Ali</v>
      </c>
      <c r="D13" s="8" t="str">
        <f>'All Players'!F65</f>
        <v>A. Ali</v>
      </c>
      <c r="E13" s="8" t="str">
        <f>'All Players'!G65</f>
        <v>Alam</v>
      </c>
      <c r="F13" s="8">
        <f>'All Players'!H65</f>
        <v>88</v>
      </c>
      <c r="G13" s="8">
        <f>'All Players'!I65</f>
        <v>82</v>
      </c>
      <c r="H13" s="8">
        <f>'All Players'!J65</f>
        <v>64</v>
      </c>
      <c r="I13" s="8">
        <f>'All Players'!K65</f>
        <v>80</v>
      </c>
      <c r="J13" s="5">
        <f t="shared" si="3"/>
        <v>78.5</v>
      </c>
      <c r="K13" s="8">
        <f>'All Players'!M65</f>
        <v>81</v>
      </c>
      <c r="L13" s="8">
        <f>'All Players'!N65</f>
        <v>45</v>
      </c>
      <c r="M13" s="5">
        <f>O13*0.75</f>
        <v>60.375</v>
      </c>
      <c r="N13" s="5">
        <f>O13*0.75</f>
        <v>60.375</v>
      </c>
      <c r="O13" s="11">
        <f>F13*Formuals!B8+G13*Formuals!C8+H13*Formuals!D8+I13*Formuals!E8</f>
        <v>80.5</v>
      </c>
      <c r="P13" s="10">
        <f t="shared" si="7"/>
        <v>0.10858520003956729</v>
      </c>
      <c r="Q13" s="10">
        <f t="shared" si="4"/>
        <v>0.81506250000000002</v>
      </c>
      <c r="R13" s="8" t="str">
        <f>'All Players'!T65</f>
        <v>Malaysia</v>
      </c>
      <c r="S13" s="8">
        <f>'All Players'!U65</f>
        <v>33</v>
      </c>
      <c r="T13" s="8">
        <f>'All Players'!V65</f>
        <v>82</v>
      </c>
      <c r="U13" s="49">
        <f t="shared" si="5"/>
        <v>39.75</v>
      </c>
      <c r="V13" s="6" t="str">
        <f>A42</f>
        <v>His play reflects 'alam' (nature), encompassing versatility and natural skill.</v>
      </c>
    </row>
    <row r="14" spans="1:22" x14ac:dyDescent="0.25">
      <c r="A14" s="8" t="str">
        <f>'All Players'!C66</f>
        <v>CAM</v>
      </c>
      <c r="B14" s="8" t="str">
        <f>'All Players'!D66</f>
        <v>Hafiz</v>
      </c>
      <c r="C14" s="8" t="str">
        <f>'All Players'!E66</f>
        <v>Hassan</v>
      </c>
      <c r="D14" s="8" t="str">
        <f>'All Players'!F66</f>
        <v>H. Hassan</v>
      </c>
      <c r="E14" s="8" t="str">
        <f>'All Players'!G66</f>
        <v>Harimau</v>
      </c>
      <c r="F14" s="8">
        <f>'All Players'!H66</f>
        <v>92</v>
      </c>
      <c r="G14" s="8">
        <f>'All Players'!I66</f>
        <v>85</v>
      </c>
      <c r="H14" s="8">
        <f>'All Players'!J66</f>
        <v>65</v>
      </c>
      <c r="I14" s="8">
        <f>'All Players'!K66</f>
        <v>82</v>
      </c>
      <c r="J14" s="5">
        <f t="shared" si="3"/>
        <v>81</v>
      </c>
      <c r="K14" s="8">
        <f>'All Players'!M66</f>
        <v>84</v>
      </c>
      <c r="L14" s="8">
        <f>'All Players'!N66</f>
        <v>44</v>
      </c>
      <c r="M14" s="5">
        <f>O14*0.9</f>
        <v>77.265000000000001</v>
      </c>
      <c r="N14" s="5">
        <f>O14*0.6</f>
        <v>51.51</v>
      </c>
      <c r="O14" s="11">
        <f>F14*Formuals!B9+G14*Formuals!C9+H14*Formuals!D9+I14*Formuals!E9</f>
        <v>85.85</v>
      </c>
      <c r="P14" s="10">
        <f t="shared" si="7"/>
        <v>0.13896207836119528</v>
      </c>
      <c r="Q14" s="10">
        <f t="shared" si="4"/>
        <v>1.0198980000000002</v>
      </c>
      <c r="R14" s="8" t="str">
        <f>'All Players'!T66</f>
        <v>Malaysia</v>
      </c>
      <c r="S14" s="8">
        <f>'All Players'!U66</f>
        <v>23</v>
      </c>
      <c r="T14" s="8">
        <f>'All Players'!V66</f>
        <v>96</v>
      </c>
      <c r="U14" s="49">
        <f t="shared" si="5"/>
        <v>50.424999999999997</v>
      </c>
      <c r="V14" s="6" t="str">
        <f>A45</f>
        <v>Like a 'harimau' (tiger), his daring and impactful plays spark the team’s attacks.</v>
      </c>
    </row>
    <row r="15" spans="1:22" x14ac:dyDescent="0.25">
      <c r="A15" s="8" t="str">
        <f>'All Players'!C67</f>
        <v>LW</v>
      </c>
      <c r="B15" s="8" t="str">
        <f>'All Players'!D67</f>
        <v>Azhar</v>
      </c>
      <c r="C15" s="8" t="str">
        <f>'All Players'!E67</f>
        <v>Abdullah</v>
      </c>
      <c r="D15" s="8" t="str">
        <f>'All Players'!F67</f>
        <v>A. Abdullah</v>
      </c>
      <c r="E15" s="8" t="str">
        <f>'All Players'!G67</f>
        <v>Angin</v>
      </c>
      <c r="F15" s="8">
        <f>'All Players'!H67</f>
        <v>84</v>
      </c>
      <c r="G15" s="8">
        <f>'All Players'!I67</f>
        <v>92</v>
      </c>
      <c r="H15" s="8">
        <f>'All Players'!J67</f>
        <v>53</v>
      </c>
      <c r="I15" s="8">
        <f>'All Players'!K67</f>
        <v>92</v>
      </c>
      <c r="J15" s="5">
        <f t="shared" si="3"/>
        <v>80.25</v>
      </c>
      <c r="K15" s="8">
        <f>'All Players'!M67</f>
        <v>82</v>
      </c>
      <c r="L15" s="8">
        <f>'All Players'!N67</f>
        <v>37</v>
      </c>
      <c r="M15" s="5">
        <f>O15</f>
        <v>87.25</v>
      </c>
      <c r="N15" s="5">
        <f>O15*0.3</f>
        <v>26.175000000000001</v>
      </c>
      <c r="O15" s="11">
        <f>F15*Formuals!B10+G15*Formuals!C10+H15*Formuals!D10+I15*Formuals!E10</f>
        <v>87.25</v>
      </c>
      <c r="P15" s="10">
        <f>((M15/SUM($M$7:$M$17)))*1.33</f>
        <v>0.20870390187315091</v>
      </c>
      <c r="Q15" s="10">
        <f t="shared" si="4"/>
        <v>0.96847500000000009</v>
      </c>
      <c r="R15" s="8" t="str">
        <f>'All Players'!T67</f>
        <v>Malaysia</v>
      </c>
      <c r="S15" s="8">
        <f>'All Players'!U67</f>
        <v>26</v>
      </c>
      <c r="T15" s="8">
        <f>'All Players'!V67</f>
        <v>101</v>
      </c>
      <c r="U15" s="49">
        <f t="shared" si="5"/>
        <v>53.325000000000003</v>
      </c>
      <c r="V15" s="6" t="str">
        <f>A48</f>
        <v>His 'angin' (wind) like pace and skill on the wing are vital for breaking down defenses.</v>
      </c>
    </row>
    <row r="16" spans="1:22" x14ac:dyDescent="0.25">
      <c r="A16" s="8" t="str">
        <f>'All Players'!C68</f>
        <v>ST</v>
      </c>
      <c r="B16" s="8" t="str">
        <f>'All Players'!D68</f>
        <v>Farid</v>
      </c>
      <c r="C16" s="8" t="str">
        <f>'All Players'!E68</f>
        <v>Fauzi</v>
      </c>
      <c r="D16" s="8" t="str">
        <f>'All Players'!F68</f>
        <v>F. Fauzi</v>
      </c>
      <c r="E16" s="8" t="str">
        <f>'All Players'!G68</f>
        <v>Fajar</v>
      </c>
      <c r="F16" s="8">
        <f>'All Players'!H68</f>
        <v>95</v>
      </c>
      <c r="G16" s="8">
        <f>'All Players'!I68</f>
        <v>75</v>
      </c>
      <c r="H16" s="8">
        <f>'All Players'!J68</f>
        <v>48</v>
      </c>
      <c r="I16" s="8">
        <f>'All Players'!K68</f>
        <v>91</v>
      </c>
      <c r="J16" s="5">
        <f t="shared" si="3"/>
        <v>77.25</v>
      </c>
      <c r="K16" s="8">
        <f>'All Players'!M68</f>
        <v>79</v>
      </c>
      <c r="L16" s="8">
        <f>'All Players'!N68</f>
        <v>40</v>
      </c>
      <c r="M16" s="5">
        <f>O16</f>
        <v>84.1</v>
      </c>
      <c r="N16" s="5">
        <f t="shared" ref="N16:N17" si="8">O16*0.3</f>
        <v>25.229999999999997</v>
      </c>
      <c r="O16" s="11">
        <f>F16*Formuals!B11+G16*Formuals!C11+H16*Formuals!D11+I16*Formuals!E11</f>
        <v>84.1</v>
      </c>
      <c r="P16" s="10">
        <f t="shared" ref="P16:P17" si="9">((M16/SUM($M$7:$M$17)))*1.33</f>
        <v>0.20116903320953572</v>
      </c>
      <c r="Q16" s="10">
        <f t="shared" si="4"/>
        <v>1.0092000000000001</v>
      </c>
      <c r="R16" s="8" t="str">
        <f>'All Players'!T68</f>
        <v>Malaysia</v>
      </c>
      <c r="S16" s="8">
        <f>'All Players'!U68</f>
        <v>22</v>
      </c>
      <c r="T16" s="8">
        <f>'All Players'!V68</f>
        <v>100</v>
      </c>
      <c r="U16" s="49">
        <f t="shared" si="5"/>
        <v>51.650000000000006</v>
      </c>
      <c r="V16" s="6" t="str">
        <f>A51</f>
        <v>His 'fajar' (dawn) of creativity and energy on the field illuminates the team's play.</v>
      </c>
    </row>
    <row r="17" spans="1:22" x14ac:dyDescent="0.25">
      <c r="A17" s="8" t="str">
        <f>'All Players'!C69</f>
        <v>RW</v>
      </c>
      <c r="B17" s="8" t="str">
        <f>'All Players'!D69</f>
        <v>Kamarul</v>
      </c>
      <c r="C17" s="8" t="str">
        <f>'All Players'!E69</f>
        <v>Khairi</v>
      </c>
      <c r="D17" s="8" t="str">
        <f>'All Players'!F69</f>
        <v>K. Khairi</v>
      </c>
      <c r="E17" s="8" t="str">
        <f>'All Players'!G69</f>
        <v>Kuasa</v>
      </c>
      <c r="F17" s="8">
        <f>'All Players'!H69</f>
        <v>96</v>
      </c>
      <c r="G17" s="8">
        <f>'All Players'!I69</f>
        <v>79</v>
      </c>
      <c r="H17" s="8">
        <f>'All Players'!J69</f>
        <v>51</v>
      </c>
      <c r="I17" s="8">
        <f>'All Players'!K69</f>
        <v>90</v>
      </c>
      <c r="J17" s="5">
        <f t="shared" si="3"/>
        <v>79</v>
      </c>
      <c r="K17" s="8">
        <f>'All Players'!M69</f>
        <v>77</v>
      </c>
      <c r="L17" s="8">
        <f>'All Players'!N69</f>
        <v>44</v>
      </c>
      <c r="M17" s="5">
        <f>O17</f>
        <v>88.5</v>
      </c>
      <c r="N17" s="5">
        <f t="shared" si="8"/>
        <v>26.55</v>
      </c>
      <c r="O17" s="11">
        <f>F17*Formuals!B12+G17*Formuals!C12+H17*Formuals!D12+I17*Formuals!E12</f>
        <v>88.5</v>
      </c>
      <c r="P17" s="10">
        <f t="shared" si="9"/>
        <v>0.21169392912061727</v>
      </c>
      <c r="Q17" s="10">
        <f t="shared" si="4"/>
        <v>1.1682000000000001</v>
      </c>
      <c r="R17" s="8" t="str">
        <f>'All Players'!T69</f>
        <v>Malaysia</v>
      </c>
      <c r="S17" s="8">
        <f>'All Players'!U69</f>
        <v>28</v>
      </c>
      <c r="T17" s="8">
        <f>'All Players'!V69</f>
        <v>97</v>
      </c>
      <c r="U17" s="49">
        <f t="shared" si="5"/>
        <v>51.75</v>
      </c>
      <c r="V17" s="6" t="str">
        <f>A54</f>
        <v>'Kuasa' (power) defines his strength and potency in front of the goal.</v>
      </c>
    </row>
    <row r="18" spans="1:22" x14ac:dyDescent="0.25">
      <c r="F18" s="18">
        <f t="shared" ref="F18:G18" si="10">LARGE(F7:F17,1) - SMALL(F7:F17,1)</f>
        <v>16</v>
      </c>
      <c r="G18" s="18">
        <f t="shared" si="10"/>
        <v>23</v>
      </c>
      <c r="H18" s="18">
        <f>LARGE(H7:H17,1) - SMALL(H7:H17,1)</f>
        <v>32</v>
      </c>
      <c r="I18" s="18">
        <f>LARGE(I7:I17,1) - SMALL(I7:I17,1)</f>
        <v>19</v>
      </c>
      <c r="J18" s="19">
        <f t="shared" ref="J18:L18" si="11">LARGE(J7:J17,1) - SMALL(J7:J17,1)</f>
        <v>9.25</v>
      </c>
      <c r="K18" s="18">
        <f t="shared" si="11"/>
        <v>7</v>
      </c>
      <c r="L18" s="18">
        <f t="shared" si="11"/>
        <v>9</v>
      </c>
      <c r="O18" s="19">
        <f t="shared" ref="O18" si="12">LARGE(O7:O17,1) - SMALL(O7:O17,1)</f>
        <v>12.75</v>
      </c>
      <c r="P18" s="48">
        <f>SUM(P7:P17)</f>
        <v>1.0891421094754639</v>
      </c>
      <c r="S18">
        <f>AVERAGE(S7:S17)</f>
        <v>26.818181818181817</v>
      </c>
      <c r="T18">
        <f>AVERAGE(T7:T17)</f>
        <v>93.63636363636364</v>
      </c>
      <c r="U18" s="50">
        <f>SUM(U7:U17)</f>
        <v>518.35</v>
      </c>
    </row>
    <row r="19" spans="1:22" x14ac:dyDescent="0.25">
      <c r="B19" s="3" t="s">
        <v>1</v>
      </c>
      <c r="C19" s="3" t="s">
        <v>2</v>
      </c>
      <c r="D19" s="3" t="s">
        <v>3</v>
      </c>
    </row>
    <row r="20" spans="1:22" x14ac:dyDescent="0.25">
      <c r="A20" s="3" t="s">
        <v>4</v>
      </c>
      <c r="B20" s="2">
        <f>AVERAGE(O7:O12)*0.1+AVERAGE(O13:O17)*0.9</f>
        <v>84.714333333333329</v>
      </c>
      <c r="C20" s="2">
        <f>AVERAGE(O7:O12)*0.9+AVERAGE(O13:O17)*0.1</f>
        <v>80.509</v>
      </c>
      <c r="D20" s="2">
        <f>AVERAGE(K7:K17)*0.5+AVERAGE(L7:L17)*0.5</f>
        <v>60.68181818181818</v>
      </c>
    </row>
    <row r="22" spans="1:22" x14ac:dyDescent="0.25">
      <c r="A22" t="s">
        <v>489</v>
      </c>
    </row>
    <row r="24" spans="1:22" x14ac:dyDescent="0.25">
      <c r="A24" t="s">
        <v>478</v>
      </c>
    </row>
    <row r="25" spans="1:22" x14ac:dyDescent="0.25">
      <c r="A25" t="s">
        <v>490</v>
      </c>
    </row>
    <row r="27" spans="1:22" x14ac:dyDescent="0.25">
      <c r="A27" t="s">
        <v>479</v>
      </c>
    </row>
    <row r="28" spans="1:22" x14ac:dyDescent="0.25">
      <c r="A28" t="s">
        <v>491</v>
      </c>
    </row>
    <row r="30" spans="1:22" x14ac:dyDescent="0.25">
      <c r="A30" t="s">
        <v>480</v>
      </c>
    </row>
    <row r="31" spans="1:22" x14ac:dyDescent="0.25">
      <c r="A31" t="s">
        <v>492</v>
      </c>
    </row>
    <row r="33" spans="1:1" x14ac:dyDescent="0.25">
      <c r="A33" t="s">
        <v>481</v>
      </c>
    </row>
    <row r="34" spans="1:1" x14ac:dyDescent="0.25">
      <c r="A34" t="s">
        <v>493</v>
      </c>
    </row>
    <row r="36" spans="1:1" x14ac:dyDescent="0.25">
      <c r="A36" t="s">
        <v>482</v>
      </c>
    </row>
    <row r="37" spans="1:1" x14ac:dyDescent="0.25">
      <c r="A37" t="s">
        <v>494</v>
      </c>
    </row>
    <row r="39" spans="1:1" x14ac:dyDescent="0.25">
      <c r="A39" t="s">
        <v>483</v>
      </c>
    </row>
    <row r="40" spans="1:1" x14ac:dyDescent="0.25">
      <c r="A40" t="s">
        <v>495</v>
      </c>
    </row>
    <row r="42" spans="1:1" x14ac:dyDescent="0.25">
      <c r="A42" t="s">
        <v>484</v>
      </c>
    </row>
    <row r="43" spans="1:1" x14ac:dyDescent="0.25">
      <c r="A43" t="s">
        <v>496</v>
      </c>
    </row>
    <row r="45" spans="1:1" x14ac:dyDescent="0.25">
      <c r="A45" t="s">
        <v>485</v>
      </c>
    </row>
    <row r="46" spans="1:1" x14ac:dyDescent="0.25">
      <c r="A46" t="s">
        <v>497</v>
      </c>
    </row>
    <row r="48" spans="1:1" x14ac:dyDescent="0.25">
      <c r="A48" t="s">
        <v>486</v>
      </c>
    </row>
    <row r="49" spans="1:1" x14ac:dyDescent="0.25">
      <c r="A49" t="s">
        <v>498</v>
      </c>
    </row>
    <row r="51" spans="1:1" x14ac:dyDescent="0.25">
      <c r="A51" t="s">
        <v>487</v>
      </c>
    </row>
    <row r="52" spans="1:1" x14ac:dyDescent="0.25">
      <c r="A52" t="s">
        <v>499</v>
      </c>
    </row>
    <row r="54" spans="1:1" x14ac:dyDescent="0.25">
      <c r="A54" t="s">
        <v>488</v>
      </c>
    </row>
  </sheetData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AAC7C-BB04-4110-94CD-2D37AD359B11}">
  <sheetPr codeName="Sheet11">
    <tabColor theme="6"/>
  </sheetPr>
  <dimension ref="A1:V54"/>
  <sheetViews>
    <sheetView workbookViewId="0">
      <selection activeCell="U21" sqref="U21"/>
    </sheetView>
  </sheetViews>
  <sheetFormatPr defaultRowHeight="15" x14ac:dyDescent="0.25"/>
  <cols>
    <col min="2" max="2" width="10.5703125" bestFit="1" customWidth="1"/>
    <col min="3" max="3" width="11.140625" bestFit="1" customWidth="1"/>
    <col min="4" max="4" width="13.5703125" bestFit="1" customWidth="1"/>
    <col min="5" max="5" width="9.28515625" bestFit="1" customWidth="1"/>
  </cols>
  <sheetData>
    <row r="1" spans="1:22" x14ac:dyDescent="0.25">
      <c r="A1" s="3" t="s">
        <v>19</v>
      </c>
      <c r="B1" s="6" t="s">
        <v>29</v>
      </c>
    </row>
    <row r="2" spans="1:22" x14ac:dyDescent="0.25">
      <c r="A2" s="3" t="s">
        <v>20</v>
      </c>
      <c r="B2" s="6" t="s">
        <v>523</v>
      </c>
    </row>
    <row r="3" spans="1:22" x14ac:dyDescent="0.25">
      <c r="A3" s="3" t="s">
        <v>138</v>
      </c>
      <c r="B3" s="6" t="str">
        <f>VLOOKUP(B1,STATS!L1:AA21,16,FALSE)</f>
        <v>Russia</v>
      </c>
    </row>
    <row r="4" spans="1:22" x14ac:dyDescent="0.25">
      <c r="A4" s="3" t="s">
        <v>22</v>
      </c>
      <c r="B4" s="1">
        <f>((B20+C20)/2)*((D20+50)/100)</f>
        <v>105.18239867424242</v>
      </c>
      <c r="F4">
        <f>VLOOKUP($B$1,STATS!$L$1:$Q$21,3,FALSE)</f>
        <v>85</v>
      </c>
      <c r="G4">
        <f>VLOOKUP($B$1,STATS!$L$1:$Q$21,4,FALSE)</f>
        <v>85</v>
      </c>
      <c r="H4">
        <f>VLOOKUP($B$1,STATS!$L$1:$Q$21,5,FALSE)</f>
        <v>60</v>
      </c>
      <c r="I4">
        <f>VLOOKUP($B$1,STATS!$L$1:$Q$21,6,FALSE)</f>
        <v>70</v>
      </c>
      <c r="K4">
        <v>80</v>
      </c>
      <c r="L4">
        <v>95</v>
      </c>
    </row>
    <row r="5" spans="1:22" x14ac:dyDescent="0.25">
      <c r="F5" s="12">
        <f t="shared" ref="F5:H5" si="0">AVERAGE(F7:F17)</f>
        <v>88.36363636363636</v>
      </c>
      <c r="G5" s="12">
        <f t="shared" si="0"/>
        <v>83.545454545454547</v>
      </c>
      <c r="H5" s="12">
        <f t="shared" si="0"/>
        <v>53.636363636363633</v>
      </c>
      <c r="I5" s="12">
        <f>AVERAGE(I7:I17)</f>
        <v>75.090909090909093</v>
      </c>
      <c r="J5" s="12">
        <f>AVERAGE(J7:J17)</f>
        <v>75.159090909090907</v>
      </c>
      <c r="K5" s="12">
        <f t="shared" ref="K5:M5" si="1">AVERAGE(K7:K17)</f>
        <v>79.545454545454547</v>
      </c>
      <c r="L5" s="12">
        <f t="shared" si="1"/>
        <v>93.63636363636364</v>
      </c>
      <c r="M5" s="12">
        <f t="shared" si="1"/>
        <v>47.222272727272731</v>
      </c>
      <c r="N5" s="12">
        <f>AVERAGE(N7:N17)</f>
        <v>54.607500000000002</v>
      </c>
      <c r="O5" s="12">
        <f>AVERAGE(O7:O17)</f>
        <v>76.638636363636365</v>
      </c>
    </row>
    <row r="6" spans="1:22" x14ac:dyDescent="0.25">
      <c r="A6" s="3" t="s">
        <v>7</v>
      </c>
      <c r="B6" s="3" t="s">
        <v>8</v>
      </c>
      <c r="C6" s="3" t="s">
        <v>9</v>
      </c>
      <c r="D6" s="3" t="s">
        <v>44</v>
      </c>
      <c r="E6" s="3" t="s">
        <v>50</v>
      </c>
      <c r="F6" s="3" t="s">
        <v>17</v>
      </c>
      <c r="G6" s="3" t="s">
        <v>14</v>
      </c>
      <c r="H6" s="3" t="s">
        <v>15</v>
      </c>
      <c r="I6" s="3" t="s">
        <v>16</v>
      </c>
      <c r="J6" s="3" t="s">
        <v>48</v>
      </c>
      <c r="K6" s="3" t="s">
        <v>3</v>
      </c>
      <c r="L6" s="3" t="s">
        <v>10</v>
      </c>
      <c r="M6" s="3" t="s">
        <v>1</v>
      </c>
      <c r="N6" s="3" t="s">
        <v>12</v>
      </c>
      <c r="O6" s="3" t="s">
        <v>4</v>
      </c>
      <c r="P6" s="3" t="s">
        <v>49</v>
      </c>
      <c r="Q6" s="3" t="s">
        <v>47</v>
      </c>
      <c r="R6" s="3" t="s">
        <v>138</v>
      </c>
      <c r="S6" s="3" t="s">
        <v>1354</v>
      </c>
      <c r="T6" s="3" t="s">
        <v>1355</v>
      </c>
      <c r="U6" s="3" t="s">
        <v>1356</v>
      </c>
      <c r="V6" s="3" t="s">
        <v>13</v>
      </c>
    </row>
    <row r="7" spans="1:22" x14ac:dyDescent="0.25">
      <c r="A7" s="8" t="str">
        <f>'All Players'!C70</f>
        <v>GK</v>
      </c>
      <c r="B7" s="8" t="str">
        <f>'All Players'!D70</f>
        <v>Dmitri</v>
      </c>
      <c r="C7" s="8" t="str">
        <f>'All Players'!E70</f>
        <v>Ivanov</v>
      </c>
      <c r="D7" s="8" t="str">
        <f>'All Players'!F70</f>
        <v>D. Ivanov</v>
      </c>
      <c r="E7" s="8" t="str">
        <f>'All Players'!G70</f>
        <v>Druzhok</v>
      </c>
      <c r="F7" s="8">
        <f>'All Players'!H70</f>
        <v>91</v>
      </c>
      <c r="G7" s="8">
        <f>'All Players'!I70</f>
        <v>84</v>
      </c>
      <c r="H7" s="8">
        <f>'All Players'!J70</f>
        <v>51</v>
      </c>
      <c r="I7" s="8">
        <f>'All Players'!K70</f>
        <v>81</v>
      </c>
      <c r="J7" s="5">
        <f t="shared" ref="J7:J17" si="2">AVERAGE(F7:I7)</f>
        <v>76.75</v>
      </c>
      <c r="K7" s="8">
        <f>'All Players'!M70</f>
        <v>78</v>
      </c>
      <c r="L7" s="8">
        <f>'All Players'!N70</f>
        <v>93</v>
      </c>
      <c r="M7" s="4">
        <f>AVERAGE(F7:I7)*0</f>
        <v>0</v>
      </c>
      <c r="N7" s="5">
        <f>O7</f>
        <v>83.05</v>
      </c>
      <c r="O7" s="11">
        <f>F7*Formuals!B2+G7*Formuals!C2+H7*Formuals!D2+I7*Formuals!E2</f>
        <v>83.05</v>
      </c>
      <c r="P7" s="10">
        <f>((M7/SUM($M$7:$M$17)))</f>
        <v>0</v>
      </c>
      <c r="Q7" s="10">
        <f t="shared" ref="Q7:Q17" si="3">((M7/100)*(L7/100))*3</f>
        <v>0</v>
      </c>
      <c r="R7" t="s">
        <v>147</v>
      </c>
      <c r="S7" s="8">
        <f>'All Players'!U70</f>
        <v>23</v>
      </c>
      <c r="T7" s="8">
        <f>'All Players'!V70</f>
        <v>102</v>
      </c>
      <c r="U7" s="49">
        <f t="shared" ref="U7:U17" si="4">IF((O7*0.5)+((T7*0.5)-((S7-18)*0.1))-40&lt;0,"0",(O7*0.5)+((T7*0.5)-((S7-18)*0.1))-40)</f>
        <v>52.025000000000006</v>
      </c>
      <c r="V7" s="6" t="str">
        <f>A24</f>
        <v>Known for his 'druzhok' (buddy-like) camaraderie and sharp reflexes in goal.</v>
      </c>
    </row>
    <row r="8" spans="1:22" x14ac:dyDescent="0.25">
      <c r="A8" s="8" t="str">
        <f>'All Players'!C71</f>
        <v>LB</v>
      </c>
      <c r="B8" s="8" t="str">
        <f>'All Players'!D71</f>
        <v>Nikolai</v>
      </c>
      <c r="C8" s="8" t="str">
        <f>'All Players'!E71</f>
        <v>Petrov</v>
      </c>
      <c r="D8" s="8" t="str">
        <f>'All Players'!F71</f>
        <v>N. Petrov</v>
      </c>
      <c r="E8" s="8" t="str">
        <f>'All Players'!G71</f>
        <v>Nikol</v>
      </c>
      <c r="F8" s="8">
        <f>'All Players'!H71</f>
        <v>83</v>
      </c>
      <c r="G8" s="8">
        <f>'All Players'!I71</f>
        <v>85</v>
      </c>
      <c r="H8" s="8">
        <f>'All Players'!J71</f>
        <v>56</v>
      </c>
      <c r="I8" s="8">
        <f>'All Players'!K71</f>
        <v>93</v>
      </c>
      <c r="J8" s="5">
        <f t="shared" si="2"/>
        <v>79.25</v>
      </c>
      <c r="K8" s="8">
        <f>'All Players'!M71</f>
        <v>81</v>
      </c>
      <c r="L8" s="8">
        <f>'All Players'!N71</f>
        <v>96</v>
      </c>
      <c r="M8" s="5">
        <f>0.4*O8</f>
        <v>30.779999999999998</v>
      </c>
      <c r="N8" s="5">
        <f>0.9*O8</f>
        <v>69.254999999999995</v>
      </c>
      <c r="O8" s="11">
        <f>F8*Formuals!B3+G8*Formuals!C3+H8*Formuals!D3+I8*Formuals!E3</f>
        <v>76.949999999999989</v>
      </c>
      <c r="P8" s="10">
        <f t="shared" ref="P8:P10" si="5">((M8/SUM($M$7:$M$17)))*0.67</f>
        <v>3.9701219570888152E-2</v>
      </c>
      <c r="Q8" s="10">
        <f t="shared" si="3"/>
        <v>0.88646399999999992</v>
      </c>
      <c r="R8" t="s">
        <v>147</v>
      </c>
      <c r="S8" s="8">
        <f>'All Players'!U71</f>
        <v>28</v>
      </c>
      <c r="T8" s="8">
        <f>'All Players'!V71</f>
        <v>78</v>
      </c>
      <c r="U8" s="49">
        <f t="shared" si="4"/>
        <v>36.474999999999994</v>
      </c>
      <c r="V8" s="6" t="str">
        <f>A27</f>
        <v>His robust and resilient play mirrors the Russian spirit.</v>
      </c>
    </row>
    <row r="9" spans="1:22" x14ac:dyDescent="0.25">
      <c r="A9" s="8" t="str">
        <f>'All Players'!C72</f>
        <v>CB</v>
      </c>
      <c r="B9" s="8" t="str">
        <f>'All Players'!D72</f>
        <v>Igor</v>
      </c>
      <c r="C9" s="8" t="str">
        <f>'All Players'!E72</f>
        <v>Smirnov</v>
      </c>
      <c r="D9" s="8" t="str">
        <f>'All Players'!F72</f>
        <v>I. Smirnov</v>
      </c>
      <c r="E9" s="8" t="str">
        <f>'All Players'!G72</f>
        <v>Irbis</v>
      </c>
      <c r="F9" s="8">
        <f>'All Players'!H72</f>
        <v>87</v>
      </c>
      <c r="G9" s="8">
        <f>'All Players'!I72</f>
        <v>73</v>
      </c>
      <c r="H9" s="8">
        <f>'All Players'!J72</f>
        <v>57</v>
      </c>
      <c r="I9" s="8">
        <f>'All Players'!K72</f>
        <v>68</v>
      </c>
      <c r="J9" s="5">
        <f t="shared" si="2"/>
        <v>71.25</v>
      </c>
      <c r="K9" s="8">
        <f>'All Players'!M72</f>
        <v>81</v>
      </c>
      <c r="L9" s="8">
        <f>'All Players'!N72</f>
        <v>91</v>
      </c>
      <c r="M9" s="5">
        <f>O9*0.3</f>
        <v>19.439999999999998</v>
      </c>
      <c r="N9" s="5">
        <f>O9</f>
        <v>64.8</v>
      </c>
      <c r="O9" s="11">
        <f>F9*Formuals!B4+G9*Formuals!C4+H9*Formuals!D4+I9*Formuals!E4</f>
        <v>64.8</v>
      </c>
      <c r="P9" s="10">
        <f t="shared" si="5"/>
        <v>2.5074454465824098E-2</v>
      </c>
      <c r="Q9" s="10">
        <f t="shared" si="3"/>
        <v>0.53071200000000007</v>
      </c>
      <c r="R9" t="s">
        <v>147</v>
      </c>
      <c r="S9" s="8">
        <f>'All Players'!U72</f>
        <v>31</v>
      </c>
      <c r="T9" s="8">
        <f>'All Players'!V72</f>
        <v>71</v>
      </c>
      <c r="U9" s="49">
        <f t="shared" si="4"/>
        <v>26.599999999999994</v>
      </c>
      <c r="V9" s="6" t="str">
        <f>A30</f>
        <v>Strong and stealthy like an 'irbis' (snow leopard), he's a key figure in defense.</v>
      </c>
    </row>
    <row r="10" spans="1:22" x14ac:dyDescent="0.25">
      <c r="A10" s="8" t="str">
        <f>'All Players'!C73</f>
        <v>CB</v>
      </c>
      <c r="B10" s="8" t="str">
        <f>'All Players'!D73</f>
        <v>Sergei</v>
      </c>
      <c r="C10" s="8" t="str">
        <f>'All Players'!E73</f>
        <v>Kuznetsov</v>
      </c>
      <c r="D10" s="8" t="str">
        <f>'All Players'!F73</f>
        <v>S. Kuznetsov</v>
      </c>
      <c r="E10" s="8" t="str">
        <f>'All Players'!G73</f>
        <v>Sokol</v>
      </c>
      <c r="F10" s="8">
        <f>'All Players'!H73</f>
        <v>98</v>
      </c>
      <c r="G10" s="8">
        <f>'All Players'!I73</f>
        <v>77</v>
      </c>
      <c r="H10" s="8">
        <f>'All Players'!J73</f>
        <v>53</v>
      </c>
      <c r="I10" s="8">
        <f>'All Players'!K73</f>
        <v>61</v>
      </c>
      <c r="J10" s="5">
        <f t="shared" si="2"/>
        <v>72.25</v>
      </c>
      <c r="K10" s="8">
        <f>'All Players'!M73</f>
        <v>83</v>
      </c>
      <c r="L10" s="8">
        <f>'All Players'!N73</f>
        <v>93</v>
      </c>
      <c r="M10" s="5">
        <f>O10*0.3</f>
        <v>19.027499999999996</v>
      </c>
      <c r="N10" s="5">
        <f>O10</f>
        <v>63.42499999999999</v>
      </c>
      <c r="O10" s="11">
        <f>F10*Formuals!B5+G10*Formuals!C5+H10*Formuals!D5+I10*Formuals!E5</f>
        <v>63.42499999999999</v>
      </c>
      <c r="P10" s="10">
        <f t="shared" si="5"/>
        <v>2.4542396211340946E-2</v>
      </c>
      <c r="Q10" s="10">
        <f t="shared" si="3"/>
        <v>0.53086725000000001</v>
      </c>
      <c r="R10" t="s">
        <v>147</v>
      </c>
      <c r="S10" s="8">
        <f>'All Players'!U73</f>
        <v>23</v>
      </c>
      <c r="T10" s="8">
        <f>'All Players'!V73</f>
        <v>72</v>
      </c>
      <c r="U10" s="49">
        <f t="shared" si="4"/>
        <v>27.212499999999991</v>
      </c>
      <c r="V10" s="6" t="str">
        <f>A33</f>
        <v>His 'sokol' (falcon) like focus and aerial ability make him formidable in defense.</v>
      </c>
    </row>
    <row r="11" spans="1:22" x14ac:dyDescent="0.25">
      <c r="A11" s="8" t="str">
        <f>'All Players'!C74</f>
        <v>RB</v>
      </c>
      <c r="B11" s="8" t="str">
        <f>'All Players'!D74</f>
        <v>Alexei</v>
      </c>
      <c r="C11" s="8" t="str">
        <f>'All Players'!E74</f>
        <v>Alexandrov</v>
      </c>
      <c r="D11" s="8" t="str">
        <f>'All Players'!F74</f>
        <v>A. Alexandrov</v>
      </c>
      <c r="E11" s="8" t="str">
        <f>'All Players'!G74</f>
        <v>Azart</v>
      </c>
      <c r="F11" s="8">
        <f>'All Players'!H74</f>
        <v>94</v>
      </c>
      <c r="G11" s="8">
        <f>'All Players'!I74</f>
        <v>92</v>
      </c>
      <c r="H11" s="8">
        <f>'All Players'!J74</f>
        <v>53</v>
      </c>
      <c r="I11" s="8">
        <f>'All Players'!K74</f>
        <v>77</v>
      </c>
      <c r="J11" s="5">
        <f t="shared" si="2"/>
        <v>79</v>
      </c>
      <c r="K11" s="8">
        <f>'All Players'!M74</f>
        <v>76</v>
      </c>
      <c r="L11" s="8">
        <f>'All Players'!N74</f>
        <v>92</v>
      </c>
      <c r="M11" s="5">
        <f>0.4*O11</f>
        <v>29.659999999999997</v>
      </c>
      <c r="N11" s="5">
        <f>0.9*O11</f>
        <v>66.734999999999999</v>
      </c>
      <c r="O11" s="11">
        <f>F11*Formuals!B6+G11*Formuals!C6+H11*Formuals!D6+I11*Formuals!E6</f>
        <v>74.149999999999991</v>
      </c>
      <c r="P11" s="10">
        <f>((M11/SUM($M$7:$M$17)))*0.67</f>
        <v>3.8256600795079358E-2</v>
      </c>
      <c r="Q11" s="10">
        <f t="shared" si="3"/>
        <v>0.81861600000000001</v>
      </c>
      <c r="R11" t="s">
        <v>147</v>
      </c>
      <c r="S11" s="8">
        <f>'All Players'!U74</f>
        <v>30</v>
      </c>
      <c r="T11" s="8">
        <f>'All Players'!V74</f>
        <v>81</v>
      </c>
      <c r="U11" s="49">
        <f t="shared" si="4"/>
        <v>36.375</v>
      </c>
      <c r="V11" s="6" t="str">
        <f>A36</f>
        <v>'Azart' (enthusiasm) characterizes his passionate play and quick runs on the flank.</v>
      </c>
    </row>
    <row r="12" spans="1:22" x14ac:dyDescent="0.25">
      <c r="A12" s="8" t="str">
        <f>'All Players'!C75</f>
        <v>CDM</v>
      </c>
      <c r="B12" s="8" t="str">
        <f>'All Players'!D75</f>
        <v>Vladimir</v>
      </c>
      <c r="C12" s="8" t="str">
        <f>'All Players'!E75</f>
        <v>Vasilyev</v>
      </c>
      <c r="D12" s="8" t="str">
        <f>'All Players'!F75</f>
        <v>V. Vasilyev</v>
      </c>
      <c r="E12" s="8" t="str">
        <f>'All Players'!G75</f>
        <v>Volchok</v>
      </c>
      <c r="F12" s="8">
        <f>'All Players'!H75</f>
        <v>90</v>
      </c>
      <c r="G12" s="8">
        <f>'All Players'!I75</f>
        <v>86</v>
      </c>
      <c r="H12" s="8">
        <f>'All Players'!J75</f>
        <v>63</v>
      </c>
      <c r="I12" s="8">
        <f>'All Players'!K75</f>
        <v>73</v>
      </c>
      <c r="J12" s="5">
        <f t="shared" si="2"/>
        <v>78</v>
      </c>
      <c r="K12" s="8">
        <f>'All Players'!M75</f>
        <v>79</v>
      </c>
      <c r="L12" s="8">
        <f>'All Players'!N75</f>
        <v>95</v>
      </c>
      <c r="M12" s="5">
        <f>O12*0.6</f>
        <v>45.27</v>
      </c>
      <c r="N12" s="5">
        <f>O12*0.9</f>
        <v>67.905000000000001</v>
      </c>
      <c r="O12" s="11">
        <f>F12*Formuals!B7+G12*Formuals!C7+H12*Formuals!D7+I12*Formuals!E7</f>
        <v>75.45</v>
      </c>
      <c r="P12" s="10">
        <f t="shared" ref="P12:P14" si="6">((M12/SUM($M$7:$M$17)))</f>
        <v>8.715070892972307E-2</v>
      </c>
      <c r="Q12" s="10">
        <f t="shared" si="3"/>
        <v>1.2901950000000002</v>
      </c>
      <c r="R12" t="s">
        <v>147</v>
      </c>
      <c r="S12" s="8">
        <f>'All Players'!U75</f>
        <v>27</v>
      </c>
      <c r="T12" s="8">
        <f>'All Players'!V75</f>
        <v>87</v>
      </c>
      <c r="U12" s="49">
        <f t="shared" si="4"/>
        <v>40.325000000000003</v>
      </c>
      <c r="V12" s="6" t="str">
        <f>A39</f>
        <v>'Volchok' (little wolf) for his tenacity and leadership in the midfield.</v>
      </c>
    </row>
    <row r="13" spans="1:22" x14ac:dyDescent="0.25">
      <c r="A13" s="8" t="str">
        <f>'All Players'!C76</f>
        <v>CM</v>
      </c>
      <c r="B13" s="8" t="str">
        <f>'All Players'!D76</f>
        <v>Mikhail</v>
      </c>
      <c r="C13" s="8" t="str">
        <f>'All Players'!E76</f>
        <v>Morozov</v>
      </c>
      <c r="D13" s="8" t="str">
        <f>'All Players'!F76</f>
        <v>M. Morozov</v>
      </c>
      <c r="E13" s="8" t="str">
        <f>'All Players'!G76</f>
        <v>Medved</v>
      </c>
      <c r="F13" s="8">
        <f>'All Players'!H76</f>
        <v>92</v>
      </c>
      <c r="G13" s="8">
        <f>'All Players'!I76</f>
        <v>97</v>
      </c>
      <c r="H13" s="8">
        <f>'All Players'!J76</f>
        <v>60</v>
      </c>
      <c r="I13" s="8">
        <f>'All Players'!K76</f>
        <v>70</v>
      </c>
      <c r="J13" s="5">
        <f t="shared" si="2"/>
        <v>79.75</v>
      </c>
      <c r="K13" s="8">
        <f>'All Players'!M76</f>
        <v>81</v>
      </c>
      <c r="L13" s="8">
        <f>'All Players'!N76</f>
        <v>92</v>
      </c>
      <c r="M13" s="5">
        <f>O13*0.75</f>
        <v>64.612500000000011</v>
      </c>
      <c r="N13" s="5">
        <f>O13*0.75</f>
        <v>64.612500000000011</v>
      </c>
      <c r="O13" s="11">
        <f>F13*Formuals!B8+G13*Formuals!C8+H13*Formuals!D8+I13*Formuals!E8</f>
        <v>86.15</v>
      </c>
      <c r="P13" s="10">
        <f t="shared" si="6"/>
        <v>0.12438756749992781</v>
      </c>
      <c r="Q13" s="10">
        <f t="shared" si="3"/>
        <v>1.7833050000000001</v>
      </c>
      <c r="R13" t="s">
        <v>147</v>
      </c>
      <c r="S13" s="8">
        <f>'All Players'!U76</f>
        <v>20</v>
      </c>
      <c r="T13" s="8">
        <f>'All Players'!V76</f>
        <v>109</v>
      </c>
      <c r="U13" s="49">
        <f t="shared" si="4"/>
        <v>57.375</v>
      </c>
      <c r="V13" s="6" t="str">
        <f>A42</f>
        <v>His play is as strong and steady as a 'medved' (bear), dominating the midfield.</v>
      </c>
    </row>
    <row r="14" spans="1:22" x14ac:dyDescent="0.25">
      <c r="A14" s="8" t="str">
        <f>'All Players'!C77</f>
        <v>CAM</v>
      </c>
      <c r="B14" s="8" t="str">
        <f>'All Players'!D77</f>
        <v>Yuri</v>
      </c>
      <c r="C14" s="8" t="str">
        <f>'All Players'!E77</f>
        <v>Yudin</v>
      </c>
      <c r="D14" s="8" t="str">
        <f>'All Players'!F77</f>
        <v>Y. Yudin</v>
      </c>
      <c r="E14" s="8" t="str">
        <f>'All Players'!G77</f>
        <v>Yastreb</v>
      </c>
      <c r="F14" s="8">
        <f>'All Players'!H77</f>
        <v>79</v>
      </c>
      <c r="G14" s="8">
        <f>'All Players'!I77</f>
        <v>99</v>
      </c>
      <c r="H14" s="8">
        <f>'All Players'!J77</f>
        <v>66</v>
      </c>
      <c r="I14" s="8">
        <f>'All Players'!K77</f>
        <v>67</v>
      </c>
      <c r="J14" s="5">
        <f t="shared" si="2"/>
        <v>77.75</v>
      </c>
      <c r="K14" s="8">
        <f>'All Players'!M77</f>
        <v>80</v>
      </c>
      <c r="L14" s="8">
        <f>'All Players'!N77</f>
        <v>93</v>
      </c>
      <c r="M14" s="5">
        <f>O14*0.9</f>
        <v>75.555000000000007</v>
      </c>
      <c r="N14" s="5">
        <f>O14*0.6</f>
        <v>50.37</v>
      </c>
      <c r="O14" s="11">
        <f>F14*Formuals!B9+G14*Formuals!C9+H14*Formuals!D9+I14*Formuals!E9</f>
        <v>83.95</v>
      </c>
      <c r="P14" s="10">
        <f t="shared" si="6"/>
        <v>0.14545332037078035</v>
      </c>
      <c r="Q14" s="10">
        <f t="shared" si="3"/>
        <v>2.1079845000000001</v>
      </c>
      <c r="R14" t="s">
        <v>147</v>
      </c>
      <c r="S14" s="8">
        <f>'All Players'!U77</f>
        <v>26</v>
      </c>
      <c r="T14" s="8">
        <f>'All Players'!V77</f>
        <v>93</v>
      </c>
      <c r="U14" s="49">
        <f t="shared" si="4"/>
        <v>47.675000000000011</v>
      </c>
      <c r="V14" s="6" t="str">
        <f>A45</f>
        <v>Agile and sharp like a 'yastreb' (hawk), his playmaking is crucial for the team.</v>
      </c>
    </row>
    <row r="15" spans="1:22" x14ac:dyDescent="0.25">
      <c r="A15" s="8" t="str">
        <f>'All Players'!C78</f>
        <v>LW</v>
      </c>
      <c r="B15" s="8" t="str">
        <f>'All Players'!D78</f>
        <v>Andrei</v>
      </c>
      <c r="C15" s="8" t="str">
        <f>'All Players'!E78</f>
        <v>Antonov</v>
      </c>
      <c r="D15" s="8" t="str">
        <f>'All Players'!F78</f>
        <v>A. Antonov</v>
      </c>
      <c r="E15" s="8" t="str">
        <f>'All Players'!G78</f>
        <v>Arktika</v>
      </c>
      <c r="F15" s="8">
        <f>'All Players'!H78</f>
        <v>87</v>
      </c>
      <c r="G15" s="8">
        <f>'All Players'!I78</f>
        <v>66</v>
      </c>
      <c r="H15" s="8">
        <f>'All Players'!J78</f>
        <v>49</v>
      </c>
      <c r="I15" s="8">
        <f>'All Players'!K78</f>
        <v>89</v>
      </c>
      <c r="J15" s="5">
        <f t="shared" si="2"/>
        <v>72.75</v>
      </c>
      <c r="K15" s="8">
        <f>'All Players'!M78</f>
        <v>84</v>
      </c>
      <c r="L15" s="8">
        <f>'All Players'!N78</f>
        <v>91</v>
      </c>
      <c r="M15" s="5">
        <f>O15</f>
        <v>82.850000000000009</v>
      </c>
      <c r="N15" s="5">
        <f>O15*0.3</f>
        <v>24.855</v>
      </c>
      <c r="O15" s="11">
        <f>F15*Formuals!B10+G15*Formuals!C10+H15*Formuals!D10+I15*Formuals!E10</f>
        <v>82.850000000000009</v>
      </c>
      <c r="P15" s="10">
        <f>((M15/SUM($M$7:$M$17)))*1.33</f>
        <v>0.21213121697196047</v>
      </c>
      <c r="Q15" s="10">
        <f t="shared" si="3"/>
        <v>2.2618050000000003</v>
      </c>
      <c r="R15" t="s">
        <v>147</v>
      </c>
      <c r="S15" s="8">
        <f>'All Players'!U78</f>
        <v>25</v>
      </c>
      <c r="T15" s="8">
        <f>'All Players'!V78</f>
        <v>85</v>
      </c>
      <c r="U15" s="49">
        <f t="shared" si="4"/>
        <v>43.224999999999994</v>
      </c>
      <c r="V15" s="6" t="str">
        <f>A48</f>
        <v>His endurance and skill are reminiscent of the vast and challenging Arctic.</v>
      </c>
    </row>
    <row r="16" spans="1:22" x14ac:dyDescent="0.25">
      <c r="A16" s="8" t="str">
        <f>'All Players'!C79</f>
        <v>ST</v>
      </c>
      <c r="B16" s="8" t="str">
        <f>'All Players'!D79</f>
        <v>Konstantin</v>
      </c>
      <c r="C16" s="8" t="str">
        <f>'All Players'!E79</f>
        <v>Kozlov</v>
      </c>
      <c r="D16" s="8" t="str">
        <f>'All Players'!F79</f>
        <v>K. Kozlov</v>
      </c>
      <c r="E16" s="8" t="str">
        <f>'All Players'!G79</f>
        <v>Krepost</v>
      </c>
      <c r="F16" s="8">
        <f>'All Players'!H79</f>
        <v>85</v>
      </c>
      <c r="G16" s="8">
        <f>'All Players'!I79</f>
        <v>90</v>
      </c>
      <c r="H16" s="8">
        <f>'All Players'!J79</f>
        <v>50</v>
      </c>
      <c r="I16" s="8">
        <f>'All Players'!K79</f>
        <v>89</v>
      </c>
      <c r="J16" s="5">
        <f t="shared" si="2"/>
        <v>78.5</v>
      </c>
      <c r="K16" s="8">
        <f>'All Players'!M79</f>
        <v>76</v>
      </c>
      <c r="L16" s="8">
        <f>'All Players'!N79</f>
        <v>98</v>
      </c>
      <c r="M16" s="5">
        <f>O16</f>
        <v>83.95</v>
      </c>
      <c r="N16" s="5">
        <f t="shared" ref="N16:N17" si="7">O16*0.3</f>
        <v>25.184999999999999</v>
      </c>
      <c r="O16" s="11">
        <f>F16*Formuals!B11+G16*Formuals!C11+H16*Formuals!D11+I16*Formuals!E11</f>
        <v>83.95</v>
      </c>
      <c r="P16" s="10">
        <f t="shared" ref="P16:P17" si="8">((M16/SUM($M$7:$M$17)))*1.33</f>
        <v>0.21494768454793095</v>
      </c>
      <c r="Q16" s="10">
        <f t="shared" si="3"/>
        <v>2.4681300000000004</v>
      </c>
      <c r="R16" t="s">
        <v>147</v>
      </c>
      <c r="S16" s="8">
        <f>'All Players'!U79</f>
        <v>23</v>
      </c>
      <c r="T16" s="8">
        <f>'All Players'!V79</f>
        <v>85</v>
      </c>
      <c r="U16" s="49">
        <f t="shared" si="4"/>
        <v>43.974999999999994</v>
      </c>
      <c r="V16" s="6" t="str">
        <f>A51</f>
        <v>'Krepost' (fortress) for his solid and unwavering play on the wing.</v>
      </c>
    </row>
    <row r="17" spans="1:22" x14ac:dyDescent="0.25">
      <c r="A17" s="8" t="str">
        <f>'All Players'!C80</f>
        <v>RW</v>
      </c>
      <c r="B17" s="8" t="str">
        <f>'All Players'!D80</f>
        <v>Maxim</v>
      </c>
      <c r="C17" s="8" t="str">
        <f>'All Players'!E80</f>
        <v>Makarov</v>
      </c>
      <c r="D17" s="8" t="str">
        <f>'All Players'!F80</f>
        <v>M. Makarov</v>
      </c>
      <c r="E17" s="8" t="str">
        <f>'All Players'!G80</f>
        <v>Molniya</v>
      </c>
      <c r="F17" s="8">
        <f>'All Players'!H80</f>
        <v>86</v>
      </c>
      <c r="G17" s="8">
        <f>'All Players'!I80</f>
        <v>70</v>
      </c>
      <c r="H17" s="8">
        <f>'All Players'!J80</f>
        <v>32</v>
      </c>
      <c r="I17" s="8">
        <f>'All Players'!K80</f>
        <v>58</v>
      </c>
      <c r="J17" s="5">
        <f t="shared" si="2"/>
        <v>61.5</v>
      </c>
      <c r="K17" s="8">
        <f>'All Players'!M80</f>
        <v>76</v>
      </c>
      <c r="L17" s="8">
        <f>'All Players'!N80</f>
        <v>96</v>
      </c>
      <c r="M17" s="5">
        <f>O17</f>
        <v>68.3</v>
      </c>
      <c r="N17" s="5">
        <f t="shared" si="7"/>
        <v>20.49</v>
      </c>
      <c r="O17" s="11">
        <f>F17*Formuals!B12+G17*Formuals!C12+H17*Formuals!D12+I17*Formuals!E12</f>
        <v>68.3</v>
      </c>
      <c r="P17" s="10">
        <f t="shared" si="8"/>
        <v>0.17487703221707784</v>
      </c>
      <c r="Q17" s="10">
        <f t="shared" si="3"/>
        <v>1.9670399999999999</v>
      </c>
      <c r="R17" t="s">
        <v>147</v>
      </c>
      <c r="S17" s="8">
        <f>'All Players'!U80</f>
        <v>29</v>
      </c>
      <c r="T17" s="8">
        <f>'All Players'!V80</f>
        <v>69</v>
      </c>
      <c r="U17" s="49">
        <f t="shared" si="4"/>
        <v>27.549999999999997</v>
      </c>
      <c r="V17" s="6" t="str">
        <f>A54</f>
        <v>'Molniya' (lightning) for his striking speed and lethal finishing.</v>
      </c>
    </row>
    <row r="18" spans="1:22" x14ac:dyDescent="0.25">
      <c r="F18" s="18">
        <f t="shared" ref="F18:G18" si="9">LARGE(F7:F17,1) - SMALL(F7:F17,1)</f>
        <v>19</v>
      </c>
      <c r="G18" s="18">
        <f t="shared" si="9"/>
        <v>33</v>
      </c>
      <c r="H18" s="18">
        <f>LARGE(H7:H17,1) - SMALL(H7:H17,1)</f>
        <v>34</v>
      </c>
      <c r="I18" s="18">
        <f>LARGE(I7:I17,1) - SMALL(I7:I17,1)</f>
        <v>35</v>
      </c>
      <c r="J18" s="19">
        <f t="shared" ref="J18:L18" si="10">LARGE(J7:J17,1) - SMALL(J7:J17,1)</f>
        <v>18.25</v>
      </c>
      <c r="K18" s="18">
        <f t="shared" si="10"/>
        <v>8</v>
      </c>
      <c r="L18" s="18">
        <f t="shared" si="10"/>
        <v>7</v>
      </c>
      <c r="O18" s="19">
        <f t="shared" ref="O18" si="11">LARGE(O7:O17,1) - SMALL(O7:O17,1)</f>
        <v>22.725000000000016</v>
      </c>
      <c r="P18" s="48">
        <f>SUM(P7:P17)</f>
        <v>1.0865222015805331</v>
      </c>
      <c r="S18">
        <f>AVERAGE(S7:S17)</f>
        <v>25.90909090909091</v>
      </c>
      <c r="T18">
        <f>AVERAGE(T7:T17)</f>
        <v>84.727272727272734</v>
      </c>
      <c r="U18" s="50">
        <f>SUM(U7:U17)</f>
        <v>438.81250000000006</v>
      </c>
    </row>
    <row r="19" spans="1:22" x14ac:dyDescent="0.25">
      <c r="B19" s="3" t="s">
        <v>1</v>
      </c>
      <c r="C19" s="3" t="s">
        <v>2</v>
      </c>
      <c r="D19" s="3" t="s">
        <v>3</v>
      </c>
    </row>
    <row r="20" spans="1:22" x14ac:dyDescent="0.25">
      <c r="A20" s="3" t="s">
        <v>4</v>
      </c>
      <c r="B20" s="2">
        <f>AVERAGE(O7:O12)*0.1+AVERAGE(O13:O17)*0.9</f>
        <v>80.23308333333334</v>
      </c>
      <c r="C20" s="2">
        <f>AVERAGE(O7:O12)*0.9+AVERAGE(O13:O17)*0.1</f>
        <v>73.777749999999997</v>
      </c>
      <c r="D20" s="2">
        <f>AVERAGE(K7:K17)*0.5+AVERAGE(L7:L17)*0.5</f>
        <v>86.590909090909093</v>
      </c>
    </row>
    <row r="22" spans="1:22" x14ac:dyDescent="0.25">
      <c r="A22" t="s">
        <v>535</v>
      </c>
    </row>
    <row r="24" spans="1:22" x14ac:dyDescent="0.25">
      <c r="A24" t="s">
        <v>524</v>
      </c>
    </row>
    <row r="25" spans="1:22" x14ac:dyDescent="0.25">
      <c r="A25" t="s">
        <v>536</v>
      </c>
    </row>
    <row r="27" spans="1:22" x14ac:dyDescent="0.25">
      <c r="A27" t="s">
        <v>525</v>
      </c>
    </row>
    <row r="28" spans="1:22" x14ac:dyDescent="0.25">
      <c r="A28" t="s">
        <v>537</v>
      </c>
    </row>
    <row r="30" spans="1:22" x14ac:dyDescent="0.25">
      <c r="A30" t="s">
        <v>526</v>
      </c>
    </row>
    <row r="31" spans="1:22" x14ac:dyDescent="0.25">
      <c r="A31" t="s">
        <v>538</v>
      </c>
    </row>
    <row r="33" spans="1:1" x14ac:dyDescent="0.25">
      <c r="A33" t="s">
        <v>527</v>
      </c>
    </row>
    <row r="34" spans="1:1" x14ac:dyDescent="0.25">
      <c r="A34" t="s">
        <v>539</v>
      </c>
    </row>
    <row r="36" spans="1:1" x14ac:dyDescent="0.25">
      <c r="A36" t="s">
        <v>528</v>
      </c>
    </row>
    <row r="37" spans="1:1" x14ac:dyDescent="0.25">
      <c r="A37" t="s">
        <v>540</v>
      </c>
    </row>
    <row r="39" spans="1:1" x14ac:dyDescent="0.25">
      <c r="A39" t="s">
        <v>529</v>
      </c>
    </row>
    <row r="40" spans="1:1" x14ac:dyDescent="0.25">
      <c r="A40" t="s">
        <v>541</v>
      </c>
    </row>
    <row r="42" spans="1:1" x14ac:dyDescent="0.25">
      <c r="A42" t="s">
        <v>530</v>
      </c>
    </row>
    <row r="43" spans="1:1" x14ac:dyDescent="0.25">
      <c r="A43" t="s">
        <v>542</v>
      </c>
    </row>
    <row r="45" spans="1:1" x14ac:dyDescent="0.25">
      <c r="A45" t="s">
        <v>531</v>
      </c>
    </row>
    <row r="46" spans="1:1" x14ac:dyDescent="0.25">
      <c r="A46" t="s">
        <v>543</v>
      </c>
    </row>
    <row r="48" spans="1:1" x14ac:dyDescent="0.25">
      <c r="A48" t="s">
        <v>532</v>
      </c>
    </row>
    <row r="49" spans="1:1" x14ac:dyDescent="0.25">
      <c r="A49" t="s">
        <v>544</v>
      </c>
    </row>
    <row r="51" spans="1:1" x14ac:dyDescent="0.25">
      <c r="A51" t="s">
        <v>533</v>
      </c>
    </row>
    <row r="52" spans="1:1" x14ac:dyDescent="0.25">
      <c r="A52" t="s">
        <v>545</v>
      </c>
    </row>
    <row r="54" spans="1:1" x14ac:dyDescent="0.25">
      <c r="A54" t="s">
        <v>534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7CD78-FC11-453E-BBC7-EF42598D9B98}">
  <sheetPr codeName="Sheet13">
    <tabColor theme="6"/>
  </sheetPr>
  <dimension ref="A1:V54"/>
  <sheetViews>
    <sheetView workbookViewId="0">
      <selection activeCell="U21" sqref="U21"/>
    </sheetView>
  </sheetViews>
  <sheetFormatPr defaultRowHeight="15" x14ac:dyDescent="0.25"/>
  <cols>
    <col min="2" max="2" width="10.5703125" bestFit="1" customWidth="1"/>
    <col min="3" max="3" width="11.140625" bestFit="1" customWidth="1"/>
    <col min="4" max="4" width="13.42578125" bestFit="1" customWidth="1"/>
    <col min="5" max="5" width="9.28515625" bestFit="1" customWidth="1"/>
  </cols>
  <sheetData>
    <row r="1" spans="1:22" x14ac:dyDescent="0.25">
      <c r="A1" s="3" t="s">
        <v>19</v>
      </c>
      <c r="B1" s="6" t="s">
        <v>31</v>
      </c>
      <c r="K1">
        <f ca="1">RANDBETWEEN(K$4-5,K$4+5)</f>
        <v>55</v>
      </c>
      <c r="L1">
        <f ca="1">RANDBETWEEN(L$4-5,L$4+5)</f>
        <v>69</v>
      </c>
    </row>
    <row r="2" spans="1:22" x14ac:dyDescent="0.25">
      <c r="A2" s="3" t="s">
        <v>20</v>
      </c>
      <c r="B2" s="6" t="s">
        <v>92</v>
      </c>
    </row>
    <row r="3" spans="1:22" x14ac:dyDescent="0.25">
      <c r="A3" s="3" t="s">
        <v>138</v>
      </c>
      <c r="B3" s="6" t="str">
        <f>VLOOKUP(B1,STATS!L1:AA21,16,FALSE)</f>
        <v>Bangladesh</v>
      </c>
    </row>
    <row r="4" spans="1:22" x14ac:dyDescent="0.25">
      <c r="A4" s="3" t="s">
        <v>22</v>
      </c>
      <c r="B4" s="1">
        <f>((B20+C20)/2)*((D20+50)/100)</f>
        <v>88.93895890151515</v>
      </c>
      <c r="F4">
        <f>VLOOKUP($B$1,STATS!$L$1:$Q$21,3,FALSE)</f>
        <v>85</v>
      </c>
      <c r="G4">
        <f>VLOOKUP($B$1,STATS!$L$1:$Q$21,4,FALSE)</f>
        <v>80</v>
      </c>
      <c r="H4">
        <f>VLOOKUP($B$1,STATS!$L$1:$Q$21,5,FALSE)</f>
        <v>75</v>
      </c>
      <c r="I4">
        <f>VLOOKUP($B$1,STATS!$L$1:$Q$21,6,FALSE)</f>
        <v>80</v>
      </c>
      <c r="J4">
        <f>AVERAGE(F4:I4)</f>
        <v>80</v>
      </c>
      <c r="K4">
        <v>50</v>
      </c>
      <c r="L4">
        <v>70</v>
      </c>
    </row>
    <row r="5" spans="1:22" x14ac:dyDescent="0.25">
      <c r="F5" s="12">
        <f t="shared" ref="F5:H5" si="0">AVERAGE(F7:F17)</f>
        <v>84.818181818181813</v>
      </c>
      <c r="G5" s="12">
        <f t="shared" si="0"/>
        <v>77.545454545454547</v>
      </c>
      <c r="H5" s="12">
        <f t="shared" si="0"/>
        <v>74.36363636363636</v>
      </c>
      <c r="I5" s="12">
        <f>AVERAGE(I7:I17)</f>
        <v>81.454545454545453</v>
      </c>
      <c r="J5" s="12">
        <f>AVERAGE(J7:J17)</f>
        <v>79.545454545454547</v>
      </c>
      <c r="K5" s="12">
        <f t="shared" ref="K5:M5" si="1">AVERAGE(K7:K17)</f>
        <v>49.81818181818182</v>
      </c>
      <c r="L5" s="12">
        <f t="shared" si="1"/>
        <v>69.36363636363636</v>
      </c>
      <c r="M5" s="12">
        <f t="shared" si="1"/>
        <v>49.093863636363636</v>
      </c>
      <c r="N5" s="12">
        <f>AVERAGE(N7:N17)</f>
        <v>58.369090909090907</v>
      </c>
      <c r="O5" s="12">
        <f>AVERAGE(O7:O17)</f>
        <v>81.00681818181819</v>
      </c>
    </row>
    <row r="6" spans="1:22" x14ac:dyDescent="0.25">
      <c r="A6" s="3" t="s">
        <v>7</v>
      </c>
      <c r="B6" s="3" t="s">
        <v>8</v>
      </c>
      <c r="C6" s="3" t="s">
        <v>9</v>
      </c>
      <c r="D6" s="3" t="s">
        <v>44</v>
      </c>
      <c r="E6" s="3" t="s">
        <v>50</v>
      </c>
      <c r="F6" s="3" t="s">
        <v>17</v>
      </c>
      <c r="G6" s="3" t="s">
        <v>14</v>
      </c>
      <c r="H6" s="3" t="s">
        <v>15</v>
      </c>
      <c r="I6" s="3" t="s">
        <v>16</v>
      </c>
      <c r="J6" s="3" t="s">
        <v>48</v>
      </c>
      <c r="K6" s="3" t="s">
        <v>3</v>
      </c>
      <c r="L6" s="3" t="s">
        <v>10</v>
      </c>
      <c r="M6" s="3" t="s">
        <v>1</v>
      </c>
      <c r="N6" s="3" t="s">
        <v>12</v>
      </c>
      <c r="O6" s="3" t="s">
        <v>4</v>
      </c>
      <c r="P6" s="3" t="s">
        <v>49</v>
      </c>
      <c r="Q6" s="3" t="s">
        <v>47</v>
      </c>
      <c r="R6" s="3" t="s">
        <v>138</v>
      </c>
      <c r="S6" s="3" t="s">
        <v>1354</v>
      </c>
      <c r="T6" s="3" t="s">
        <v>1355</v>
      </c>
      <c r="U6" s="3" t="s">
        <v>1356</v>
      </c>
      <c r="V6" s="3" t="s">
        <v>13</v>
      </c>
    </row>
    <row r="7" spans="1:22" x14ac:dyDescent="0.25">
      <c r="A7" s="8" t="str">
        <f>'All Players'!C92</f>
        <v>GK</v>
      </c>
      <c r="B7" s="8" t="str">
        <f>'All Players'!D92</f>
        <v>Rahim</v>
      </c>
      <c r="C7" s="8" t="str">
        <f>'All Players'!E92</f>
        <v>Chowdhury</v>
      </c>
      <c r="D7" s="8" t="str">
        <f>'All Players'!F92</f>
        <v>R. Chowdhury</v>
      </c>
      <c r="E7" s="8" t="str">
        <f>'All Players'!G92</f>
        <v>Cat</v>
      </c>
      <c r="F7" s="8">
        <f>'All Players'!H92</f>
        <v>100</v>
      </c>
      <c r="G7" s="8">
        <f>'All Players'!I92</f>
        <v>89</v>
      </c>
      <c r="H7" s="8">
        <f>'All Players'!J92</f>
        <v>48</v>
      </c>
      <c r="I7" s="8">
        <f>'All Players'!K92</f>
        <v>76</v>
      </c>
      <c r="J7" s="5">
        <f t="shared" ref="J7:J17" si="2">AVERAGE(F7:I7)</f>
        <v>78.25</v>
      </c>
      <c r="K7" s="8">
        <f>'All Players'!M92</f>
        <v>47</v>
      </c>
      <c r="L7" s="8">
        <f>'All Players'!N92</f>
        <v>73</v>
      </c>
      <c r="M7" s="4">
        <f>AVERAGE(F7:I7)*0</f>
        <v>0</v>
      </c>
      <c r="N7" s="5">
        <f>O7</f>
        <v>87.350000000000009</v>
      </c>
      <c r="O7" s="11">
        <f>F7*Formuals!B2+G7*Formuals!C2+H7*Formuals!D2+I7*Formuals!E2</f>
        <v>87.350000000000009</v>
      </c>
      <c r="P7" s="10">
        <f>((M7/SUM($M$7:$M$17)))</f>
        <v>0</v>
      </c>
      <c r="Q7" s="10">
        <f t="shared" ref="Q7:Q17" si="3">((M7/100)*(L7/100))*3</f>
        <v>0</v>
      </c>
      <c r="R7" s="8" t="str">
        <f>'All Players'!T92</f>
        <v>Bangladesh</v>
      </c>
      <c r="S7" s="8">
        <f>'All Players'!U92</f>
        <v>31</v>
      </c>
      <c r="T7" s="8">
        <f>'All Players'!V92</f>
        <v>93</v>
      </c>
      <c r="U7" s="49">
        <f t="shared" ref="U7:U17" si="4">IF((O7*0.5)+((T7*0.5)-((S7-18)*0.1))-40&lt;0,"0",(O7*0.5)+((T7*0.5)-((S7-18)*0.1))-40)</f>
        <v>48.875</v>
      </c>
      <c r="V7" s="6" t="str">
        <f>A24</f>
        <v>His commanding presence and roaring saves make him a cornerstone of the team's defense.</v>
      </c>
    </row>
    <row r="8" spans="1:22" x14ac:dyDescent="0.25">
      <c r="A8" s="8" t="str">
        <f>'All Players'!C93</f>
        <v>LB</v>
      </c>
      <c r="B8" s="8" t="str">
        <f>'All Players'!D93</f>
        <v>Faisal</v>
      </c>
      <c r="C8" s="8" t="str">
        <f>'All Players'!E93</f>
        <v>Ahmed</v>
      </c>
      <c r="D8" s="8" t="str">
        <f>'All Players'!F93</f>
        <v>F. Ahmed</v>
      </c>
      <c r="E8" s="8" t="str">
        <f>'All Players'!G93</f>
        <v>Fierce</v>
      </c>
      <c r="F8" s="8">
        <f>'All Players'!H93</f>
        <v>80</v>
      </c>
      <c r="G8" s="8">
        <f>'All Players'!I93</f>
        <v>91</v>
      </c>
      <c r="H8" s="8">
        <f>'All Players'!J93</f>
        <v>77</v>
      </c>
      <c r="I8" s="8">
        <f>'All Players'!K93</f>
        <v>61</v>
      </c>
      <c r="J8" s="5">
        <f t="shared" si="2"/>
        <v>77.25</v>
      </c>
      <c r="K8" s="8">
        <f>'All Players'!M93</f>
        <v>50</v>
      </c>
      <c r="L8" s="8">
        <f>'All Players'!N93</f>
        <v>69</v>
      </c>
      <c r="M8" s="5">
        <f>0.4*O8</f>
        <v>30.180000000000003</v>
      </c>
      <c r="N8" s="5">
        <f>0.9*O8</f>
        <v>67.905000000000001</v>
      </c>
      <c r="O8" s="11">
        <f>F8*Formuals!B3+G8*Formuals!C3+H8*Formuals!D3+I8*Formuals!E3</f>
        <v>75.45</v>
      </c>
      <c r="P8" s="10">
        <f t="shared" ref="P8:P10" si="5">((M8/SUM($M$7:$M$17)))*0.67</f>
        <v>3.7443302023489333E-2</v>
      </c>
      <c r="Q8" s="10">
        <f t="shared" si="3"/>
        <v>0.62472599999999989</v>
      </c>
      <c r="R8" s="8" t="str">
        <f>'All Players'!T93</f>
        <v>Bangladesh</v>
      </c>
      <c r="S8" s="8">
        <f>'All Players'!U93</f>
        <v>25</v>
      </c>
      <c r="T8" s="8">
        <f>'All Players'!V93</f>
        <v>92</v>
      </c>
      <c r="U8" s="49">
        <f t="shared" si="4"/>
        <v>43.025000000000006</v>
      </c>
      <c r="V8" s="6" t="str">
        <f>A27</f>
        <v>Known for his fierce tackles and relentless energy on the flank.</v>
      </c>
    </row>
    <row r="9" spans="1:22" x14ac:dyDescent="0.25">
      <c r="A9" s="8" t="str">
        <f>'All Players'!C94</f>
        <v>CB</v>
      </c>
      <c r="B9" s="8" t="str">
        <f>'All Players'!D94</f>
        <v>Asif</v>
      </c>
      <c r="C9" s="8" t="str">
        <f>'All Players'!E94</f>
        <v>Rahman</v>
      </c>
      <c r="D9" s="8" t="str">
        <f>'All Players'!F94</f>
        <v>A. Rahman</v>
      </c>
      <c r="E9" s="8" t="str">
        <f>'All Players'!G94</f>
        <v>Growl</v>
      </c>
      <c r="F9" s="8">
        <f>'All Players'!H94</f>
        <v>84</v>
      </c>
      <c r="G9" s="8">
        <f>'All Players'!I94</f>
        <v>72</v>
      </c>
      <c r="H9" s="8">
        <f>'All Players'!J94</f>
        <v>70</v>
      </c>
      <c r="I9" s="8">
        <f>'All Players'!K94</f>
        <v>83</v>
      </c>
      <c r="J9" s="5">
        <f t="shared" si="2"/>
        <v>77.25</v>
      </c>
      <c r="K9" s="8">
        <f>'All Players'!M94</f>
        <v>45</v>
      </c>
      <c r="L9" s="8">
        <f>'All Players'!N94</f>
        <v>70</v>
      </c>
      <c r="M9" s="5">
        <f>O9*0.3</f>
        <v>22.2</v>
      </c>
      <c r="N9" s="5">
        <f>O9</f>
        <v>74</v>
      </c>
      <c r="O9" s="11">
        <f>F9*Formuals!B4+G9*Formuals!C4+H9*Formuals!D4+I9*Formuals!E4</f>
        <v>74</v>
      </c>
      <c r="P9" s="10">
        <f t="shared" si="5"/>
        <v>2.754278677672177E-2</v>
      </c>
      <c r="Q9" s="10">
        <f t="shared" si="3"/>
        <v>0.46619999999999995</v>
      </c>
      <c r="R9" s="8" t="str">
        <f>'All Players'!T94</f>
        <v>Bangladesh</v>
      </c>
      <c r="S9" s="8">
        <f>'All Players'!U94</f>
        <v>34</v>
      </c>
      <c r="T9" s="8">
        <f>'All Players'!V94</f>
        <v>76</v>
      </c>
      <c r="U9" s="49">
        <f t="shared" si="4"/>
        <v>33.400000000000006</v>
      </c>
      <c r="V9" s="6" t="str">
        <f>A30</f>
        <v>Agile and robust, he's a master at intercepting and clearing the ball from danger.</v>
      </c>
    </row>
    <row r="10" spans="1:22" x14ac:dyDescent="0.25">
      <c r="A10" s="8" t="str">
        <f>'All Players'!C95</f>
        <v>CB</v>
      </c>
      <c r="B10" s="8" t="str">
        <f>'All Players'!D95</f>
        <v>Iqbal</v>
      </c>
      <c r="C10" s="8" t="str">
        <f>'All Players'!E95</f>
        <v>Islam</v>
      </c>
      <c r="D10" s="8" t="str">
        <f>'All Players'!F95</f>
        <v>I. Islam</v>
      </c>
      <c r="E10" s="8" t="str">
        <f>'All Players'!G95</f>
        <v>Intruder</v>
      </c>
      <c r="F10" s="8">
        <f>'All Players'!H95</f>
        <v>93</v>
      </c>
      <c r="G10" s="8">
        <f>'All Players'!I95</f>
        <v>70</v>
      </c>
      <c r="H10" s="8">
        <f>'All Players'!J95</f>
        <v>94</v>
      </c>
      <c r="I10" s="8">
        <f>'All Players'!K95</f>
        <v>75</v>
      </c>
      <c r="J10" s="5">
        <f t="shared" si="2"/>
        <v>83</v>
      </c>
      <c r="K10" s="8">
        <f>'All Players'!M95</f>
        <v>53</v>
      </c>
      <c r="L10" s="8">
        <f>'All Players'!N95</f>
        <v>69</v>
      </c>
      <c r="M10" s="5">
        <f>O10*0.3</f>
        <v>26.227499999999999</v>
      </c>
      <c r="N10" s="5">
        <f>O10</f>
        <v>87.424999999999997</v>
      </c>
      <c r="O10" s="11">
        <f>F10*Formuals!B5+G10*Formuals!C5+H10*Formuals!D5+I10*Formuals!E5</f>
        <v>87.424999999999997</v>
      </c>
      <c r="P10" s="10">
        <f t="shared" si="5"/>
        <v>3.2539569377768932E-2</v>
      </c>
      <c r="Q10" s="10">
        <f t="shared" si="3"/>
        <v>0.5429092499999999</v>
      </c>
      <c r="R10" s="8" t="str">
        <f>'All Players'!T95</f>
        <v>Bangladesh</v>
      </c>
      <c r="S10" s="8">
        <f>'All Players'!U95</f>
        <v>26</v>
      </c>
      <c r="T10" s="8">
        <f>'All Players'!V95</f>
        <v>102</v>
      </c>
      <c r="U10" s="49">
        <f t="shared" si="4"/>
        <v>53.912499999999994</v>
      </c>
      <c r="V10" s="6" t="str">
        <f>A33</f>
        <v>Dominant in aerial challenges and known for intruding into opposition plays to disrupt them.</v>
      </c>
    </row>
    <row r="11" spans="1:22" x14ac:dyDescent="0.25">
      <c r="A11" s="8" t="str">
        <f>'All Players'!C96</f>
        <v>RB</v>
      </c>
      <c r="B11" s="8" t="str">
        <f>'All Players'!D96</f>
        <v>Nasir</v>
      </c>
      <c r="C11" s="8" t="str">
        <f>'All Players'!E96</f>
        <v>Miah</v>
      </c>
      <c r="D11" s="8" t="str">
        <f>'All Players'!F96</f>
        <v>N. Miah</v>
      </c>
      <c r="E11" s="8" t="str">
        <f>'All Players'!G96</f>
        <v>Nimble</v>
      </c>
      <c r="F11" s="8">
        <f>'All Players'!H96</f>
        <v>72</v>
      </c>
      <c r="G11" s="8">
        <f>'All Players'!I96</f>
        <v>64</v>
      </c>
      <c r="H11" s="8">
        <f>'All Players'!J96</f>
        <v>72</v>
      </c>
      <c r="I11" s="8">
        <f>'All Players'!K96</f>
        <v>85</v>
      </c>
      <c r="J11" s="5">
        <f t="shared" si="2"/>
        <v>73.25</v>
      </c>
      <c r="K11" s="8">
        <f>'All Players'!M96</f>
        <v>49</v>
      </c>
      <c r="L11" s="8">
        <f>'All Players'!N96</f>
        <v>68</v>
      </c>
      <c r="M11" s="5">
        <f>0.4*O11</f>
        <v>29.72</v>
      </c>
      <c r="N11" s="5">
        <f>0.9*O11</f>
        <v>66.87</v>
      </c>
      <c r="O11" s="11">
        <f>F11*Formuals!B6+G11*Formuals!C6+H11*Formuals!D6+I11*Formuals!E6</f>
        <v>74.3</v>
      </c>
      <c r="P11" s="10">
        <f>((M11/SUM($M$7:$M$17)))*0.67</f>
        <v>3.6872595630818517E-2</v>
      </c>
      <c r="Q11" s="10">
        <f t="shared" si="3"/>
        <v>0.60628799999999994</v>
      </c>
      <c r="R11" s="8" t="str">
        <f>'All Players'!T96</f>
        <v>Bangladesh</v>
      </c>
      <c r="S11" s="8">
        <f>'All Players'!U96</f>
        <v>25</v>
      </c>
      <c r="T11" s="8">
        <f>'All Players'!V96</f>
        <v>91</v>
      </c>
      <c r="U11" s="49">
        <f t="shared" si="4"/>
        <v>41.949999999999989</v>
      </c>
      <c r="V11" s="6" t="str">
        <f>A36</f>
        <v>His nimble footwork and speed make him a key player in both defense and attack.</v>
      </c>
    </row>
    <row r="12" spans="1:22" x14ac:dyDescent="0.25">
      <c r="A12" s="8" t="str">
        <f>'All Players'!C97</f>
        <v>CDM</v>
      </c>
      <c r="B12" s="8" t="str">
        <f>'All Players'!D97</f>
        <v>Tanvir</v>
      </c>
      <c r="C12" s="8" t="str">
        <f>'All Players'!E97</f>
        <v>Talukdar</v>
      </c>
      <c r="D12" s="8" t="str">
        <f>'All Players'!F97</f>
        <v>T. Talukdar</v>
      </c>
      <c r="E12" s="8" t="str">
        <f>'All Players'!G97</f>
        <v>Tiger</v>
      </c>
      <c r="F12" s="8">
        <f>'All Players'!H97</f>
        <v>90</v>
      </c>
      <c r="G12" s="8">
        <f>'All Players'!I97</f>
        <v>79</v>
      </c>
      <c r="H12" s="8">
        <f>'All Players'!J97</f>
        <v>72</v>
      </c>
      <c r="I12" s="8">
        <f>'All Players'!K97</f>
        <v>84</v>
      </c>
      <c r="J12" s="5">
        <f t="shared" si="2"/>
        <v>81.25</v>
      </c>
      <c r="K12" s="8">
        <f>'All Players'!M97</f>
        <v>45</v>
      </c>
      <c r="L12" s="8">
        <f>'All Players'!N97</f>
        <v>75</v>
      </c>
      <c r="M12" s="5">
        <f>O12*0.6</f>
        <v>47.16</v>
      </c>
      <c r="N12" s="5">
        <f>O12*0.9</f>
        <v>70.739999999999995</v>
      </c>
      <c r="O12" s="11">
        <f>F12*Formuals!B7+G12*Formuals!C7+H12*Formuals!D7+I12*Formuals!E7</f>
        <v>78.599999999999994</v>
      </c>
      <c r="P12" s="10">
        <f t="shared" ref="P12:P14" si="6">((M12/SUM($M$7:$M$17)))</f>
        <v>8.7328077476818519E-2</v>
      </c>
      <c r="Q12" s="10">
        <f t="shared" si="3"/>
        <v>1.0610999999999999</v>
      </c>
      <c r="R12" s="8" t="str">
        <f>'All Players'!T97</f>
        <v>Bangladesh</v>
      </c>
      <c r="S12" s="8">
        <f>'All Players'!U97</f>
        <v>24</v>
      </c>
      <c r="T12" s="8">
        <f>'All Players'!V97</f>
        <v>81</v>
      </c>
      <c r="U12" s="49">
        <f t="shared" si="4"/>
        <v>39.199999999999989</v>
      </c>
      <c r="V12" s="6" t="str">
        <f>A39</f>
        <v>His tenacity and tiger-like tackles are essential in controlling the midfield area.</v>
      </c>
    </row>
    <row r="13" spans="1:22" x14ac:dyDescent="0.25">
      <c r="A13" s="8" t="str">
        <f>'All Players'!C98</f>
        <v>CM</v>
      </c>
      <c r="B13" s="8" t="str">
        <f>'All Players'!D98</f>
        <v>Zayan</v>
      </c>
      <c r="C13" s="8" t="str">
        <f>'All Players'!E98</f>
        <v>Zaman</v>
      </c>
      <c r="D13" s="8" t="str">
        <f>'All Players'!F98</f>
        <v>Z. Zaman</v>
      </c>
      <c r="E13" s="8" t="str">
        <f>'All Players'!G98</f>
        <v>Zoo</v>
      </c>
      <c r="F13" s="8">
        <f>'All Players'!H98</f>
        <v>89</v>
      </c>
      <c r="G13" s="8">
        <f>'All Players'!I98</f>
        <v>74</v>
      </c>
      <c r="H13" s="8">
        <f>'All Players'!J98</f>
        <v>87</v>
      </c>
      <c r="I13" s="8">
        <f>'All Players'!K98</f>
        <v>90</v>
      </c>
      <c r="J13" s="5">
        <f t="shared" si="2"/>
        <v>85</v>
      </c>
      <c r="K13" s="8">
        <f>'All Players'!M98</f>
        <v>55</v>
      </c>
      <c r="L13" s="8">
        <f>'All Players'!N98</f>
        <v>66</v>
      </c>
      <c r="M13" s="5">
        <f>O13*0.75</f>
        <v>61.575000000000003</v>
      </c>
      <c r="N13" s="5">
        <f>O13*0.75</f>
        <v>61.575000000000003</v>
      </c>
      <c r="O13" s="11">
        <f>F13*Formuals!B8+G13*Formuals!C8+H13*Formuals!D8+I13*Formuals!E8</f>
        <v>82.100000000000009</v>
      </c>
      <c r="P13" s="10">
        <f t="shared" si="6"/>
        <v>0.11402091540786898</v>
      </c>
      <c r="Q13" s="10">
        <f t="shared" si="3"/>
        <v>1.219185</v>
      </c>
      <c r="R13" s="8" t="str">
        <f>'All Players'!T98</f>
        <v>Bangladesh</v>
      </c>
      <c r="S13" s="8">
        <f>'All Players'!U98</f>
        <v>32</v>
      </c>
      <c r="T13" s="8">
        <f>'All Players'!V98</f>
        <v>86</v>
      </c>
      <c r="U13" s="49">
        <f t="shared" si="4"/>
        <v>42.650000000000006</v>
      </c>
      <c r="V13" s="6" t="str">
        <f>A42</f>
        <v>Skilled at moving the ball like a gentle breeze but with the sudden intensity of a storm.</v>
      </c>
    </row>
    <row r="14" spans="1:22" x14ac:dyDescent="0.25">
      <c r="A14" s="8" t="str">
        <f>'All Players'!C99</f>
        <v>CAM</v>
      </c>
      <c r="B14" s="8" t="str">
        <f>'All Players'!D99</f>
        <v>Aarav</v>
      </c>
      <c r="C14" s="8" t="str">
        <f>'All Players'!E99</f>
        <v>Ali</v>
      </c>
      <c r="D14" s="8" t="str">
        <f>'All Players'!F99</f>
        <v>A. Ali</v>
      </c>
      <c r="E14" s="8" t="str">
        <f>'All Players'!G99</f>
        <v>Amble</v>
      </c>
      <c r="F14" s="8">
        <f>'All Players'!H99</f>
        <v>90</v>
      </c>
      <c r="G14" s="8">
        <f>'All Players'!I99</f>
        <v>90</v>
      </c>
      <c r="H14" s="8">
        <f>'All Players'!J99</f>
        <v>74</v>
      </c>
      <c r="I14" s="8">
        <f>'All Players'!K99</f>
        <v>88</v>
      </c>
      <c r="J14" s="5">
        <f t="shared" si="2"/>
        <v>85.5</v>
      </c>
      <c r="K14" s="8">
        <f>'All Players'!M99</f>
        <v>52</v>
      </c>
      <c r="L14" s="8">
        <f>'All Players'!N99</f>
        <v>65</v>
      </c>
      <c r="M14" s="5">
        <f>O14*0.9</f>
        <v>79.920000000000016</v>
      </c>
      <c r="N14" s="5">
        <f>O14*0.6</f>
        <v>53.280000000000008</v>
      </c>
      <c r="O14" s="11">
        <f>F14*Formuals!B9+G14*Formuals!C9+H14*Formuals!D9+I14*Formuals!E9</f>
        <v>88.800000000000011</v>
      </c>
      <c r="P14" s="10">
        <f t="shared" si="6"/>
        <v>0.14799109312865433</v>
      </c>
      <c r="Q14" s="10">
        <f t="shared" si="3"/>
        <v>1.55844</v>
      </c>
      <c r="R14" s="8" t="str">
        <f>'All Players'!T99</f>
        <v>Bangladesh</v>
      </c>
      <c r="S14" s="8">
        <f>'All Players'!U99</f>
        <v>26</v>
      </c>
      <c r="T14" s="8">
        <f>'All Players'!V99</f>
        <v>97</v>
      </c>
      <c r="U14" s="49">
        <f t="shared" si="4"/>
        <v>52.100000000000009</v>
      </c>
      <c r="V14" s="6" t="str">
        <f>A45</f>
        <v>An ace at creating chances, his playmaking skills are integral to the team's offense.</v>
      </c>
    </row>
    <row r="15" spans="1:22" x14ac:dyDescent="0.25">
      <c r="A15" s="8" t="str">
        <f>'All Players'!C100</f>
        <v>LW</v>
      </c>
      <c r="B15" s="8" t="str">
        <f>'All Players'!D100</f>
        <v>Samiul</v>
      </c>
      <c r="C15" s="8" t="str">
        <f>'All Players'!E100</f>
        <v>Sheikh</v>
      </c>
      <c r="D15" s="8" t="str">
        <f>'All Players'!F100</f>
        <v>S. Sheikh</v>
      </c>
      <c r="E15" s="8" t="str">
        <f>'All Players'!G100</f>
        <v>Strike</v>
      </c>
      <c r="F15" s="8">
        <f>'All Players'!H100</f>
        <v>62</v>
      </c>
      <c r="G15" s="8">
        <f>'All Players'!I100</f>
        <v>78</v>
      </c>
      <c r="H15" s="8">
        <f>'All Players'!J100</f>
        <v>73</v>
      </c>
      <c r="I15" s="8">
        <f>'All Players'!K100</f>
        <v>82</v>
      </c>
      <c r="J15" s="5">
        <f t="shared" si="2"/>
        <v>73.75</v>
      </c>
      <c r="K15" s="8">
        <f>'All Players'!M100</f>
        <v>51</v>
      </c>
      <c r="L15" s="8">
        <f>'All Players'!N100</f>
        <v>66</v>
      </c>
      <c r="M15" s="5">
        <f>O15</f>
        <v>73.949999999999989</v>
      </c>
      <c r="N15" s="5">
        <f>O15*0.3</f>
        <v>22.184999999999995</v>
      </c>
      <c r="O15" s="11">
        <f>F15*Formuals!B10+G15*Formuals!C10+H15*Formuals!D10+I15*Formuals!E10</f>
        <v>73.949999999999989</v>
      </c>
      <c r="P15" s="10">
        <f>((M15/SUM($M$7:$M$17)))*1.33</f>
        <v>0.18212514987523898</v>
      </c>
      <c r="Q15" s="10">
        <f t="shared" si="3"/>
        <v>1.46421</v>
      </c>
      <c r="R15" s="8" t="str">
        <f>'All Players'!T100</f>
        <v>Bangladesh</v>
      </c>
      <c r="S15" s="8">
        <f>'All Players'!U100</f>
        <v>19</v>
      </c>
      <c r="T15" s="8">
        <f>'All Players'!V100</f>
        <v>100</v>
      </c>
      <c r="U15" s="49">
        <f t="shared" si="4"/>
        <v>46.875</v>
      </c>
      <c r="V15" s="6" t="str">
        <f>A48</f>
        <v>Known for his striking speed and ability to deliver precise crosses into the box.</v>
      </c>
    </row>
    <row r="16" spans="1:22" x14ac:dyDescent="0.25">
      <c r="A16" s="8" t="str">
        <f>'All Players'!C101</f>
        <v>ST</v>
      </c>
      <c r="B16" s="8" t="str">
        <f>'All Players'!D101</f>
        <v>Imran</v>
      </c>
      <c r="C16" s="8" t="str">
        <f>'All Players'!E101</f>
        <v>Iqbal</v>
      </c>
      <c r="D16" s="8" t="str">
        <f>'All Players'!F101</f>
        <v>I. Iqbal</v>
      </c>
      <c r="E16" s="8" t="str">
        <f>'All Players'!G101</f>
        <v>Impulse</v>
      </c>
      <c r="F16" s="8">
        <f>'All Players'!H101</f>
        <v>90</v>
      </c>
      <c r="G16" s="8">
        <f>'All Players'!I101</f>
        <v>88</v>
      </c>
      <c r="H16" s="8">
        <f>'All Players'!J101</f>
        <v>74</v>
      </c>
      <c r="I16" s="8">
        <f>'All Players'!K101</f>
        <v>72</v>
      </c>
      <c r="J16" s="5">
        <f t="shared" si="2"/>
        <v>81</v>
      </c>
      <c r="K16" s="8">
        <f>'All Players'!M101</f>
        <v>49</v>
      </c>
      <c r="L16" s="8">
        <f>'All Players'!N101</f>
        <v>71</v>
      </c>
      <c r="M16" s="5">
        <f>O16</f>
        <v>82.5</v>
      </c>
      <c r="N16" s="5">
        <f t="shared" ref="N16:N17" si="7">O16*0.3</f>
        <v>24.75</v>
      </c>
      <c r="O16" s="11">
        <f>F16*Formuals!B11+G16*Formuals!C11+H16*Formuals!D11+I16*Formuals!E11</f>
        <v>82.5</v>
      </c>
      <c r="P16" s="10">
        <f t="shared" ref="P16:P17" si="8">((M16/SUM($M$7:$M$17)))*1.33</f>
        <v>0.20318221588515509</v>
      </c>
      <c r="Q16" s="10">
        <f t="shared" si="3"/>
        <v>1.75725</v>
      </c>
      <c r="R16" s="8" t="str">
        <f>'All Players'!T101</f>
        <v>Bangladesh</v>
      </c>
      <c r="S16" s="8">
        <f>'All Players'!U101</f>
        <v>30</v>
      </c>
      <c r="T16" s="8">
        <f>'All Players'!V101</f>
        <v>91</v>
      </c>
      <c r="U16" s="49">
        <f t="shared" si="4"/>
        <v>45.55</v>
      </c>
      <c r="V16" s="6" t="str">
        <f>A51</f>
        <v>His impulsive runs and dribbling skills make him unpredictable and a constant threat.</v>
      </c>
    </row>
    <row r="17" spans="1:22" x14ac:dyDescent="0.25">
      <c r="A17" s="8" t="str">
        <f>'All Players'!C102</f>
        <v>RW</v>
      </c>
      <c r="B17" s="8" t="str">
        <f>'All Players'!D102</f>
        <v>Rafiq</v>
      </c>
      <c r="C17" s="8" t="str">
        <f>'All Players'!E102</f>
        <v>Rahman</v>
      </c>
      <c r="D17" s="8" t="str">
        <f>'All Players'!F102</f>
        <v>R. Rahman</v>
      </c>
      <c r="E17" s="8" t="str">
        <f>'All Players'!G102</f>
        <v>Rapid</v>
      </c>
      <c r="F17" s="8">
        <f>'All Players'!H102</f>
        <v>83</v>
      </c>
      <c r="G17" s="8">
        <f>'All Players'!I102</f>
        <v>58</v>
      </c>
      <c r="H17" s="8">
        <f>'All Players'!J102</f>
        <v>77</v>
      </c>
      <c r="I17" s="8">
        <f>'All Players'!K102</f>
        <v>100</v>
      </c>
      <c r="J17" s="5">
        <f t="shared" si="2"/>
        <v>79.5</v>
      </c>
      <c r="K17" s="8">
        <f>'All Players'!M102</f>
        <v>52</v>
      </c>
      <c r="L17" s="8">
        <f>'All Players'!N102</f>
        <v>71</v>
      </c>
      <c r="M17" s="5">
        <f>O17</f>
        <v>86.6</v>
      </c>
      <c r="N17" s="5">
        <f t="shared" si="7"/>
        <v>25.979999999999997</v>
      </c>
      <c r="O17" s="11">
        <f>F17*Formuals!B12+G17*Formuals!C12+H17*Formuals!D12+I17*Formuals!E12</f>
        <v>86.6</v>
      </c>
      <c r="P17" s="10">
        <f t="shared" si="8"/>
        <v>0.21327975631096274</v>
      </c>
      <c r="Q17" s="10">
        <f t="shared" si="3"/>
        <v>1.8445799999999999</v>
      </c>
      <c r="R17" s="8" t="str">
        <f>'All Players'!T102</f>
        <v>Bangladesh</v>
      </c>
      <c r="S17" s="8">
        <f>'All Players'!U102</f>
        <v>19</v>
      </c>
      <c r="T17" s="8">
        <f>'All Players'!V102</f>
        <v>105</v>
      </c>
      <c r="U17" s="49">
        <f t="shared" si="4"/>
        <v>55.699999999999989</v>
      </c>
      <c r="V17" s="6" t="str">
        <f>A54</f>
        <v>His rapid movements and sharp finishing skills make him a fearsome forward.</v>
      </c>
    </row>
    <row r="18" spans="1:22" x14ac:dyDescent="0.25">
      <c r="F18" s="18">
        <f t="shared" ref="F18:G18" si="9">LARGE(F7:F17,1) - SMALL(F7:F17,1)</f>
        <v>38</v>
      </c>
      <c r="G18" s="18">
        <f t="shared" si="9"/>
        <v>33</v>
      </c>
      <c r="H18" s="18">
        <f>LARGE(H7:H17,1) - SMALL(H7:H17,1)</f>
        <v>46</v>
      </c>
      <c r="I18" s="18">
        <f>LARGE(I7:I17,1) - SMALL(I7:I17,1)</f>
        <v>39</v>
      </c>
      <c r="J18" s="19">
        <f t="shared" ref="J18:L18" si="10">LARGE(J7:J17,1) - SMALL(J7:J17,1)</f>
        <v>12.25</v>
      </c>
      <c r="K18" s="18">
        <f t="shared" si="10"/>
        <v>10</v>
      </c>
      <c r="L18" s="18">
        <f t="shared" si="10"/>
        <v>10</v>
      </c>
      <c r="O18" s="19">
        <f t="shared" ref="O18" si="11">LARGE(O7:O17,1) - SMALL(O7:O17,1)</f>
        <v>14.850000000000023</v>
      </c>
      <c r="P18" s="48">
        <f>SUM(P7:P17)</f>
        <v>1.0823254618934972</v>
      </c>
      <c r="S18">
        <f>AVERAGE(S7:S17)</f>
        <v>26.454545454545453</v>
      </c>
      <c r="T18">
        <f>AVERAGE(T7:T17)</f>
        <v>92.181818181818187</v>
      </c>
      <c r="U18" s="50">
        <f>SUM(U7:U17)</f>
        <v>503.23749999999995</v>
      </c>
    </row>
    <row r="19" spans="1:22" x14ac:dyDescent="0.25">
      <c r="B19" s="3" t="s">
        <v>1</v>
      </c>
      <c r="C19" s="3" t="s">
        <v>2</v>
      </c>
      <c r="D19" s="3" t="s">
        <v>3</v>
      </c>
    </row>
    <row r="20" spans="1:22" x14ac:dyDescent="0.25">
      <c r="A20" s="3" t="s">
        <v>4</v>
      </c>
      <c r="B20" s="2">
        <f>AVERAGE(O7:O12)*0.1+AVERAGE(O13:O17)*0.9</f>
        <v>82.463083333333344</v>
      </c>
      <c r="C20" s="2">
        <f>AVERAGE(O7:O12)*0.9+AVERAGE(O13:O17)*0.1</f>
        <v>79.847749999999991</v>
      </c>
      <c r="D20" s="2">
        <f>AVERAGE(K7:K17)*0.5+AVERAGE(L7:L17)*0.5</f>
        <v>59.590909090909093</v>
      </c>
    </row>
    <row r="22" spans="1:22" x14ac:dyDescent="0.25">
      <c r="A22" t="s">
        <v>114</v>
      </c>
    </row>
    <row r="24" spans="1:22" x14ac:dyDescent="0.25">
      <c r="A24" t="s">
        <v>93</v>
      </c>
    </row>
    <row r="25" spans="1:22" x14ac:dyDescent="0.25">
      <c r="A25" t="s">
        <v>104</v>
      </c>
    </row>
    <row r="27" spans="1:22" x14ac:dyDescent="0.25">
      <c r="A27" t="s">
        <v>94</v>
      </c>
    </row>
    <row r="28" spans="1:22" x14ac:dyDescent="0.25">
      <c r="A28" t="s">
        <v>113</v>
      </c>
    </row>
    <row r="30" spans="1:22" x14ac:dyDescent="0.25">
      <c r="A30" t="s">
        <v>95</v>
      </c>
    </row>
    <row r="31" spans="1:22" x14ac:dyDescent="0.25">
      <c r="A31" t="s">
        <v>105</v>
      </c>
    </row>
    <row r="33" spans="1:1" x14ac:dyDescent="0.25">
      <c r="A33" t="s">
        <v>96</v>
      </c>
    </row>
    <row r="34" spans="1:1" x14ac:dyDescent="0.25">
      <c r="A34" t="s">
        <v>106</v>
      </c>
    </row>
    <row r="36" spans="1:1" x14ac:dyDescent="0.25">
      <c r="A36" t="s">
        <v>97</v>
      </c>
    </row>
    <row r="37" spans="1:1" x14ac:dyDescent="0.25">
      <c r="A37" t="s">
        <v>107</v>
      </c>
    </row>
    <row r="39" spans="1:1" x14ac:dyDescent="0.25">
      <c r="A39" t="s">
        <v>98</v>
      </c>
    </row>
    <row r="40" spans="1:1" x14ac:dyDescent="0.25">
      <c r="A40" t="s">
        <v>111</v>
      </c>
    </row>
    <row r="42" spans="1:1" x14ac:dyDescent="0.25">
      <c r="A42" t="s">
        <v>99</v>
      </c>
    </row>
    <row r="43" spans="1:1" x14ac:dyDescent="0.25">
      <c r="A43" t="s">
        <v>112</v>
      </c>
    </row>
    <row r="45" spans="1:1" x14ac:dyDescent="0.25">
      <c r="A45" t="s">
        <v>100</v>
      </c>
    </row>
    <row r="46" spans="1:1" x14ac:dyDescent="0.25">
      <c r="A46" t="s">
        <v>108</v>
      </c>
    </row>
    <row r="48" spans="1:1" x14ac:dyDescent="0.25">
      <c r="A48" t="s">
        <v>101</v>
      </c>
    </row>
    <row r="49" spans="1:1" x14ac:dyDescent="0.25">
      <c r="A49" t="s">
        <v>109</v>
      </c>
    </row>
    <row r="51" spans="1:1" x14ac:dyDescent="0.25">
      <c r="A51" t="s">
        <v>102</v>
      </c>
    </row>
    <row r="52" spans="1:1" x14ac:dyDescent="0.25">
      <c r="A52" t="s">
        <v>110</v>
      </c>
    </row>
    <row r="54" spans="1:1" x14ac:dyDescent="0.25">
      <c r="A54" t="s">
        <v>103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46EAB-0293-4C34-875E-DD021AE5F4FA}">
  <sheetPr codeName="Sheet14">
    <tabColor theme="6"/>
  </sheetPr>
  <dimension ref="A1:V54"/>
  <sheetViews>
    <sheetView workbookViewId="0">
      <selection activeCell="U21" sqref="U21"/>
    </sheetView>
  </sheetViews>
  <sheetFormatPr defaultRowHeight="15" x14ac:dyDescent="0.25"/>
  <cols>
    <col min="1" max="1" width="8.28515625" bestFit="1" customWidth="1"/>
    <col min="2" max="2" width="10.5703125" bestFit="1" customWidth="1"/>
    <col min="3" max="3" width="10.42578125" bestFit="1" customWidth="1"/>
    <col min="4" max="4" width="12.28515625" bestFit="1" customWidth="1"/>
    <col min="5" max="5" width="11" bestFit="1" customWidth="1"/>
  </cols>
  <sheetData>
    <row r="1" spans="1:22" x14ac:dyDescent="0.25">
      <c r="A1" s="3" t="s">
        <v>19</v>
      </c>
      <c r="B1" s="6" t="s">
        <v>32</v>
      </c>
      <c r="K1">
        <f ca="1">RANDBETWEEN(K$4-5,K$4+5)</f>
        <v>34</v>
      </c>
      <c r="L1">
        <f ca="1">RANDBETWEEN(L$4-5,L$4+5)</f>
        <v>78</v>
      </c>
    </row>
    <row r="2" spans="1:22" x14ac:dyDescent="0.25">
      <c r="A2" s="3" t="s">
        <v>20</v>
      </c>
      <c r="B2" s="6" t="s">
        <v>137</v>
      </c>
    </row>
    <row r="3" spans="1:22" x14ac:dyDescent="0.25">
      <c r="A3" s="3" t="s">
        <v>138</v>
      </c>
      <c r="B3" s="6" t="str">
        <f>VLOOKUP(B1,STATS!L1:AA21,16,FALSE)</f>
        <v>Canada</v>
      </c>
    </row>
    <row r="4" spans="1:22" x14ac:dyDescent="0.25">
      <c r="A4" s="3" t="s">
        <v>22</v>
      </c>
      <c r="B4" s="1">
        <f>((B20+C20)/2)*((D20+50)/100)</f>
        <v>62.842846022727272</v>
      </c>
      <c r="F4">
        <f>VLOOKUP($B$1,STATS!$L$1:$Q$21,3,FALSE)</f>
        <v>60</v>
      </c>
      <c r="G4">
        <f>VLOOKUP($B$1,STATS!$L$1:$Q$21,4,FALSE)</f>
        <v>60</v>
      </c>
      <c r="H4">
        <f>VLOOKUP($B$1,STATS!$L$1:$Q$21,5,FALSE)</f>
        <v>95</v>
      </c>
      <c r="I4">
        <f>VLOOKUP($B$1,STATS!$L$1:$Q$21,6,FALSE)</f>
        <v>30</v>
      </c>
      <c r="J4">
        <f>AVERAGE(F4:I4)</f>
        <v>61.25</v>
      </c>
      <c r="K4">
        <v>30</v>
      </c>
      <c r="L4">
        <v>80</v>
      </c>
    </row>
    <row r="5" spans="1:22" x14ac:dyDescent="0.25">
      <c r="F5" s="12">
        <f t="shared" ref="F5:H5" si="0">AVERAGE(F7:F17)</f>
        <v>62.727272727272727</v>
      </c>
      <c r="G5" s="12">
        <f t="shared" si="0"/>
        <v>56.636363636363633</v>
      </c>
      <c r="H5" s="12">
        <f t="shared" si="0"/>
        <v>95.36363636363636</v>
      </c>
      <c r="I5" s="12">
        <f>AVERAGE(I7:I17)</f>
        <v>29.727272727272727</v>
      </c>
      <c r="J5" s="12">
        <f>AVERAGE(J7:J17)</f>
        <v>61.113636363636367</v>
      </c>
      <c r="K5" s="12">
        <f t="shared" ref="K5:M5" si="1">AVERAGE(K7:K17)</f>
        <v>30.272727272727273</v>
      </c>
      <c r="L5" s="12">
        <f t="shared" si="1"/>
        <v>79.63636363636364</v>
      </c>
      <c r="M5" s="12">
        <f t="shared" si="1"/>
        <v>33.862500000000004</v>
      </c>
      <c r="N5" s="12">
        <f>AVERAGE(N7:N17)</f>
        <v>46.728636363636362</v>
      </c>
      <c r="O5" s="12">
        <f>AVERAGE(O7:O17)</f>
        <v>60.761363636363633</v>
      </c>
    </row>
    <row r="6" spans="1:22" x14ac:dyDescent="0.25">
      <c r="A6" s="3" t="s">
        <v>7</v>
      </c>
      <c r="B6" s="3" t="s">
        <v>8</v>
      </c>
      <c r="C6" s="3" t="s">
        <v>9</v>
      </c>
      <c r="D6" s="3" t="s">
        <v>44</v>
      </c>
      <c r="E6" s="3" t="s">
        <v>50</v>
      </c>
      <c r="F6" s="3" t="s">
        <v>17</v>
      </c>
      <c r="G6" s="3" t="s">
        <v>14</v>
      </c>
      <c r="H6" s="3" t="s">
        <v>15</v>
      </c>
      <c r="I6" s="3" t="s">
        <v>16</v>
      </c>
      <c r="J6" s="3" t="s">
        <v>48</v>
      </c>
      <c r="K6" s="3" t="s">
        <v>3</v>
      </c>
      <c r="L6" s="3" t="s">
        <v>10</v>
      </c>
      <c r="M6" s="3" t="s">
        <v>1</v>
      </c>
      <c r="N6" s="3" t="s">
        <v>12</v>
      </c>
      <c r="O6" s="3" t="s">
        <v>4</v>
      </c>
      <c r="P6" s="3" t="s">
        <v>49</v>
      </c>
      <c r="Q6" s="3" t="s">
        <v>47</v>
      </c>
      <c r="R6" s="3" t="s">
        <v>138</v>
      </c>
      <c r="S6" s="3" t="s">
        <v>1354</v>
      </c>
      <c r="T6" s="3" t="s">
        <v>1355</v>
      </c>
      <c r="U6" s="3" t="s">
        <v>1356</v>
      </c>
      <c r="V6" s="3" t="s">
        <v>13</v>
      </c>
    </row>
    <row r="7" spans="1:22" x14ac:dyDescent="0.25">
      <c r="A7" s="8" t="str">
        <f>'All Players'!C103</f>
        <v>GK</v>
      </c>
      <c r="B7" s="8" t="str">
        <f>'All Players'!D103</f>
        <v>Logan</v>
      </c>
      <c r="C7" s="8" t="str">
        <f>'All Players'!E103</f>
        <v>McKenzie</v>
      </c>
      <c r="D7" s="8" t="str">
        <f>'All Players'!F103</f>
        <v>L. McKenzie</v>
      </c>
      <c r="E7" s="8" t="str">
        <f>'All Players'!G103</f>
        <v>Lumber</v>
      </c>
      <c r="F7" s="8">
        <f>'All Players'!H103</f>
        <v>58</v>
      </c>
      <c r="G7" s="8">
        <f>'All Players'!I103</f>
        <v>68</v>
      </c>
      <c r="H7" s="8">
        <f>'All Players'!J103</f>
        <v>93</v>
      </c>
      <c r="I7" s="8">
        <f>'All Players'!K103</f>
        <v>19</v>
      </c>
      <c r="J7" s="5">
        <f t="shared" ref="J7:J17" si="2">AVERAGE(F7:I7)</f>
        <v>59.5</v>
      </c>
      <c r="K7" s="8">
        <f>'All Players'!M103</f>
        <v>35</v>
      </c>
      <c r="L7" s="8">
        <f>'All Players'!N103</f>
        <v>76</v>
      </c>
      <c r="M7" s="4">
        <f>AVERAGE(F7:I7)*0</f>
        <v>0</v>
      </c>
      <c r="N7" s="5">
        <f>O7</f>
        <v>59.15</v>
      </c>
      <c r="O7" s="11">
        <f>F7*Formuals!B2+G7*Formuals!C2+H7*Formuals!D2+I7*Formuals!E2</f>
        <v>59.15</v>
      </c>
      <c r="P7" s="10">
        <f>((M7/SUM($M$7:$M$17)))</f>
        <v>0</v>
      </c>
      <c r="Q7" s="10">
        <f t="shared" ref="Q7:Q17" si="3">((M7/100)*(L7/100))*3</f>
        <v>0</v>
      </c>
      <c r="R7" s="8" t="str">
        <f>'All Players'!T103</f>
        <v>Canada</v>
      </c>
      <c r="S7" s="8">
        <f>'All Players'!U103</f>
        <v>23</v>
      </c>
      <c r="T7" s="8">
        <f>'All Players'!V103</f>
        <v>60</v>
      </c>
      <c r="U7" s="49">
        <f t="shared" ref="U7:U17" si="4">IF((O7*0.5)+((T7*0.5)-((S7-18)*0.1))-40&lt;0,"0",(O7*0.5)+((T7*0.5)-((S7-18)*0.1))-40)</f>
        <v>19.075000000000003</v>
      </c>
      <c r="V7" s="6" t="str">
        <f>A24</f>
        <v>Known for his solid and imposing stature, much like a lumberjack - firm and unyielding in goal.</v>
      </c>
    </row>
    <row r="8" spans="1:22" x14ac:dyDescent="0.25">
      <c r="A8" s="8" t="str">
        <f>'All Players'!C104</f>
        <v>LB</v>
      </c>
      <c r="B8" s="8" t="str">
        <f>'All Players'!D104</f>
        <v>Ethan</v>
      </c>
      <c r="C8" s="8" t="str">
        <f>'All Players'!E104</f>
        <v>Tremblay</v>
      </c>
      <c r="D8" s="8" t="str">
        <f>'All Players'!F104</f>
        <v>E. Tremblay</v>
      </c>
      <c r="E8" s="8" t="str">
        <f>'All Players'!G104</f>
        <v>Evergreen</v>
      </c>
      <c r="F8" s="8">
        <f>'All Players'!H104</f>
        <v>72</v>
      </c>
      <c r="G8" s="8">
        <f>'All Players'!I104</f>
        <v>53</v>
      </c>
      <c r="H8" s="8">
        <f>'All Players'!J104</f>
        <v>86</v>
      </c>
      <c r="I8" s="8">
        <f>'All Players'!K104</f>
        <v>39</v>
      </c>
      <c r="J8" s="5">
        <f t="shared" si="2"/>
        <v>62.5</v>
      </c>
      <c r="K8" s="8">
        <f>'All Players'!M104</f>
        <v>26</v>
      </c>
      <c r="L8" s="8">
        <f>'All Players'!N104</f>
        <v>80</v>
      </c>
      <c r="M8" s="5">
        <f>0.4*O8</f>
        <v>25.28</v>
      </c>
      <c r="N8" s="5">
        <f>0.9*O8</f>
        <v>56.88</v>
      </c>
      <c r="O8" s="11">
        <f>F8*Formuals!B3+G8*Formuals!C3+H8*Formuals!D3+I8*Formuals!E3</f>
        <v>63.2</v>
      </c>
      <c r="P8" s="10">
        <f t="shared" ref="P8:P10" si="5">((M8/SUM($M$7:$M$17)))*0.67</f>
        <v>4.5471593006476727E-2</v>
      </c>
      <c r="Q8" s="10">
        <f t="shared" si="3"/>
        <v>0.60672000000000015</v>
      </c>
      <c r="R8" s="8" t="str">
        <f>'All Players'!T104</f>
        <v>Canada</v>
      </c>
      <c r="S8" s="8">
        <f>'All Players'!U104</f>
        <v>28</v>
      </c>
      <c r="T8" s="8">
        <f>'All Players'!V104</f>
        <v>65</v>
      </c>
      <c r="U8" s="49">
        <f t="shared" si="4"/>
        <v>23.1</v>
      </c>
      <c r="V8" s="6" t="str">
        <f>A27</f>
        <v>His enduring energy and constant presence make him a reliable defender on the field.</v>
      </c>
    </row>
    <row r="9" spans="1:22" x14ac:dyDescent="0.25">
      <c r="A9" s="8" t="str">
        <f>'All Players'!C105</f>
        <v>CB</v>
      </c>
      <c r="B9" s="8" t="str">
        <f>'All Players'!D105</f>
        <v>Noah</v>
      </c>
      <c r="C9" s="8" t="str">
        <f>'All Players'!E105</f>
        <v>Nguyen</v>
      </c>
      <c r="D9" s="8" t="str">
        <f>'All Players'!F105</f>
        <v>N. Nguyen</v>
      </c>
      <c r="E9" s="8" t="str">
        <f>'All Players'!G105</f>
        <v>Northern</v>
      </c>
      <c r="F9" s="8">
        <f>'All Players'!H105</f>
        <v>52</v>
      </c>
      <c r="G9" s="8">
        <f>'All Players'!I105</f>
        <v>49</v>
      </c>
      <c r="H9" s="8">
        <f>'All Players'!J105</f>
        <v>100</v>
      </c>
      <c r="I9" s="8">
        <f>'All Players'!K105</f>
        <v>39</v>
      </c>
      <c r="J9" s="5">
        <f t="shared" si="2"/>
        <v>60</v>
      </c>
      <c r="K9" s="8">
        <f>'All Players'!M105</f>
        <v>32</v>
      </c>
      <c r="L9" s="8">
        <f>'All Players'!N105</f>
        <v>82</v>
      </c>
      <c r="M9" s="5">
        <f>O9*0.3</f>
        <v>23.159999999999997</v>
      </c>
      <c r="N9" s="5">
        <f>O9</f>
        <v>77.199999999999989</v>
      </c>
      <c r="O9" s="11">
        <f>F9*Formuals!B4+G9*Formuals!C4+H9*Formuals!D4+I9*Formuals!E4</f>
        <v>77.199999999999989</v>
      </c>
      <c r="P9" s="10">
        <f t="shared" si="5"/>
        <v>4.1658310681566488E-2</v>
      </c>
      <c r="Q9" s="10">
        <f t="shared" si="3"/>
        <v>0.56973599999999991</v>
      </c>
      <c r="R9" s="8" t="str">
        <f>'All Players'!T105</f>
        <v>Canada</v>
      </c>
      <c r="S9" s="8">
        <f>'All Players'!U105</f>
        <v>24</v>
      </c>
      <c r="T9" s="8">
        <f>'All Players'!V105</f>
        <v>86</v>
      </c>
      <c r="U9" s="49">
        <f t="shared" si="4"/>
        <v>41</v>
      </c>
      <c r="V9" s="6" t="str">
        <f>A30</f>
        <v>Strong and resilient, he embodies the spirit of the northern wilderness in his defensive play.</v>
      </c>
    </row>
    <row r="10" spans="1:22" x14ac:dyDescent="0.25">
      <c r="A10" s="8" t="str">
        <f>'All Players'!C106</f>
        <v>CB</v>
      </c>
      <c r="B10" s="8" t="str">
        <f>'All Players'!D106</f>
        <v>Liam</v>
      </c>
      <c r="C10" s="8" t="str">
        <f>'All Players'!E106</f>
        <v>Lafontaine</v>
      </c>
      <c r="D10" s="8" t="str">
        <f>'All Players'!F106</f>
        <v>L. Lafontaine</v>
      </c>
      <c r="E10" s="8" t="str">
        <f>'All Players'!G106</f>
        <v>Leaf</v>
      </c>
      <c r="F10" s="8">
        <f>'All Players'!H106</f>
        <v>55</v>
      </c>
      <c r="G10" s="8">
        <f>'All Players'!I106</f>
        <v>58</v>
      </c>
      <c r="H10" s="8">
        <f>'All Players'!J106</f>
        <v>100</v>
      </c>
      <c r="I10" s="8">
        <f>'All Players'!K106</f>
        <v>46</v>
      </c>
      <c r="J10" s="5">
        <f t="shared" si="2"/>
        <v>64.75</v>
      </c>
      <c r="K10" s="8">
        <f>'All Players'!M106</f>
        <v>32</v>
      </c>
      <c r="L10" s="8">
        <f>'All Players'!N106</f>
        <v>75</v>
      </c>
      <c r="M10" s="5">
        <f>O10*0.3</f>
        <v>23.992499999999996</v>
      </c>
      <c r="N10" s="5">
        <f>O10</f>
        <v>79.974999999999994</v>
      </c>
      <c r="O10" s="11">
        <f>F10*Formuals!B5+G10*Formuals!C5+H10*Formuals!D5+I10*Formuals!E5</f>
        <v>79.974999999999994</v>
      </c>
      <c r="P10" s="10">
        <f t="shared" si="5"/>
        <v>4.3155743481324858E-2</v>
      </c>
      <c r="Q10" s="10">
        <f t="shared" si="3"/>
        <v>0.53983124999999998</v>
      </c>
      <c r="R10" s="8" t="str">
        <f>'All Players'!T106</f>
        <v>Canada</v>
      </c>
      <c r="S10" s="8">
        <f>'All Players'!U106</f>
        <v>19</v>
      </c>
      <c r="T10" s="8">
        <f>'All Players'!V106</f>
        <v>96</v>
      </c>
      <c r="U10" s="49">
        <f t="shared" si="4"/>
        <v>47.887499999999989</v>
      </c>
      <c r="V10" s="6" t="str">
        <f>A33</f>
        <v>Much like the maple leaf, he is a symbol of strength and unity in the team's defense.</v>
      </c>
    </row>
    <row r="11" spans="1:22" x14ac:dyDescent="0.25">
      <c r="A11" s="8" t="str">
        <f>'All Players'!C107</f>
        <v>RB</v>
      </c>
      <c r="B11" s="8" t="str">
        <f>'All Players'!D107</f>
        <v>Owen</v>
      </c>
      <c r="C11" s="8" t="str">
        <f>'All Players'!E107</f>
        <v>Olivier</v>
      </c>
      <c r="D11" s="8" t="str">
        <f>'All Players'!F107</f>
        <v>O. Olivier</v>
      </c>
      <c r="E11" s="8" t="str">
        <f>'All Players'!G107</f>
        <v>Outdoors</v>
      </c>
      <c r="F11" s="8">
        <f>'All Players'!H107</f>
        <v>78</v>
      </c>
      <c r="G11" s="8">
        <f>'All Players'!I107</f>
        <v>66</v>
      </c>
      <c r="H11" s="8">
        <f>'All Players'!J107</f>
        <v>98</v>
      </c>
      <c r="I11" s="8">
        <f>'All Players'!K107</f>
        <v>35</v>
      </c>
      <c r="J11" s="5">
        <f t="shared" si="2"/>
        <v>69.25</v>
      </c>
      <c r="K11" s="8">
        <f>'All Players'!M107</f>
        <v>26</v>
      </c>
      <c r="L11" s="8">
        <f>'All Players'!N107</f>
        <v>82</v>
      </c>
      <c r="M11" s="5">
        <f>0.4*O11</f>
        <v>27.879999999999995</v>
      </c>
      <c r="N11" s="5">
        <f>0.9*O11</f>
        <v>62.72999999999999</v>
      </c>
      <c r="O11" s="11">
        <f>F11*Formuals!B6+G11*Formuals!C6+H11*Formuals!D6+I11*Formuals!E6</f>
        <v>69.699999999999989</v>
      </c>
      <c r="P11" s="10">
        <f>((M11/SUM($M$7:$M$17)))*0.67</f>
        <v>5.0148260008725104E-2</v>
      </c>
      <c r="Q11" s="10">
        <f t="shared" si="3"/>
        <v>0.68584799999999979</v>
      </c>
      <c r="R11" s="8" t="str">
        <f>'All Players'!T107</f>
        <v>Canada</v>
      </c>
      <c r="S11" s="8">
        <f>'All Players'!U107</f>
        <v>24</v>
      </c>
      <c r="T11" s="8">
        <f>'All Players'!V107</f>
        <v>74</v>
      </c>
      <c r="U11" s="49">
        <f t="shared" si="4"/>
        <v>31.25</v>
      </c>
      <c r="V11" s="6" t="str">
        <f>A36</f>
        <v>Known for his adventurous runs and love for the open play, he brings an 'outdoorsy' vigor to the game.</v>
      </c>
    </row>
    <row r="12" spans="1:22" x14ac:dyDescent="0.25">
      <c r="A12" s="8" t="str">
        <f>'All Players'!C108</f>
        <v>CDM</v>
      </c>
      <c r="B12" s="8" t="str">
        <f>'All Players'!D108</f>
        <v>Benjamin</v>
      </c>
      <c r="C12" s="8" t="str">
        <f>'All Players'!E108</f>
        <v>Bouchard</v>
      </c>
      <c r="D12" s="8" t="str">
        <f>'All Players'!F108</f>
        <v>B. Bouchard</v>
      </c>
      <c r="E12" s="8" t="str">
        <f>'All Players'!G108</f>
        <v>Boreal</v>
      </c>
      <c r="F12" s="8">
        <f>'All Players'!H108</f>
        <v>77</v>
      </c>
      <c r="G12" s="8">
        <f>'All Players'!I108</f>
        <v>48</v>
      </c>
      <c r="H12" s="8">
        <f>'All Players'!J108</f>
        <v>95</v>
      </c>
      <c r="I12" s="8">
        <f>'All Players'!K108</f>
        <v>30</v>
      </c>
      <c r="J12" s="5">
        <f t="shared" si="2"/>
        <v>62.5</v>
      </c>
      <c r="K12" s="8">
        <f>'All Players'!M108</f>
        <v>25</v>
      </c>
      <c r="L12" s="8">
        <f>'All Players'!N108</f>
        <v>84</v>
      </c>
      <c r="M12" s="5">
        <f>O12*0.6</f>
        <v>41.069999999999993</v>
      </c>
      <c r="N12" s="5">
        <f>O12*0.9</f>
        <v>61.60499999999999</v>
      </c>
      <c r="O12" s="11">
        <f>F12*Formuals!B7+G12*Formuals!C7+H12*Formuals!D7+I12*Formuals!E7</f>
        <v>68.449999999999989</v>
      </c>
      <c r="P12" s="10">
        <f t="shared" ref="P12:P14" si="6">((M12/SUM($M$7:$M$17)))</f>
        <v>0.11025873351454743</v>
      </c>
      <c r="Q12" s="10">
        <f t="shared" si="3"/>
        <v>1.034964</v>
      </c>
      <c r="R12" s="8" t="str">
        <f>'All Players'!T108</f>
        <v>Canada</v>
      </c>
      <c r="S12" s="8">
        <f>'All Players'!U108</f>
        <v>30</v>
      </c>
      <c r="T12" s="8">
        <f>'All Players'!V108</f>
        <v>71</v>
      </c>
      <c r="U12" s="49">
        <f t="shared" si="4"/>
        <v>28.524999999999991</v>
      </c>
      <c r="V12" s="6" t="str">
        <f>A39</f>
        <v>His play style mirrors the vastness and diversity of the boreal forests, covering a lot of ground and versatile in approach.</v>
      </c>
    </row>
    <row r="13" spans="1:22" x14ac:dyDescent="0.25">
      <c r="A13" s="8" t="str">
        <f>'All Players'!C109</f>
        <v>CM</v>
      </c>
      <c r="B13" s="8" t="str">
        <f>'All Players'!D109</f>
        <v>William</v>
      </c>
      <c r="C13" s="8" t="str">
        <f>'All Players'!E109</f>
        <v>Wong</v>
      </c>
      <c r="D13" s="8" t="str">
        <f>'All Players'!F109</f>
        <v>W. Wong</v>
      </c>
      <c r="E13" s="8" t="str">
        <f>'All Players'!G109</f>
        <v>Wilderness</v>
      </c>
      <c r="F13" s="8">
        <f>'All Players'!H109</f>
        <v>68</v>
      </c>
      <c r="G13" s="8">
        <f>'All Players'!I109</f>
        <v>51</v>
      </c>
      <c r="H13" s="8">
        <f>'All Players'!J109</f>
        <v>100</v>
      </c>
      <c r="I13" s="8">
        <f>'All Players'!K109</f>
        <v>23</v>
      </c>
      <c r="J13" s="5">
        <f t="shared" si="2"/>
        <v>60.5</v>
      </c>
      <c r="K13" s="8">
        <f>'All Players'!M109</f>
        <v>31</v>
      </c>
      <c r="L13" s="8">
        <f>'All Players'!N109</f>
        <v>76</v>
      </c>
      <c r="M13" s="5">
        <f>O13*0.75</f>
        <v>43.800000000000004</v>
      </c>
      <c r="N13" s="5">
        <f>O13*0.75</f>
        <v>43.800000000000004</v>
      </c>
      <c r="O13" s="11">
        <f>F13*Formuals!B8+G13*Formuals!C8+H13*Formuals!D8+I13*Formuals!E8</f>
        <v>58.400000000000006</v>
      </c>
      <c r="P13" s="10">
        <f t="shared" si="6"/>
        <v>0.11758783851807107</v>
      </c>
      <c r="Q13" s="10">
        <f t="shared" si="3"/>
        <v>0.99864000000000019</v>
      </c>
      <c r="R13" s="8" t="str">
        <f>'All Players'!T109</f>
        <v>Canada</v>
      </c>
      <c r="S13" s="8">
        <f>'All Players'!U109</f>
        <v>18</v>
      </c>
      <c r="T13" s="8">
        <f>'All Players'!V109</f>
        <v>83</v>
      </c>
      <c r="U13" s="49">
        <f t="shared" si="4"/>
        <v>30.700000000000003</v>
      </c>
      <c r="V13" s="6" t="str">
        <f>A42</f>
        <v>Thrives in the chaotic midfield 'wilderness', adept at navigating and controlling the play.</v>
      </c>
    </row>
    <row r="14" spans="1:22" x14ac:dyDescent="0.25">
      <c r="A14" s="8" t="str">
        <f>'All Players'!C110</f>
        <v>CAM</v>
      </c>
      <c r="B14" s="8" t="str">
        <f>'All Players'!D110</f>
        <v>Jacob</v>
      </c>
      <c r="C14" s="8" t="str">
        <f>'All Players'!E110</f>
        <v>Joly</v>
      </c>
      <c r="D14" s="8" t="str">
        <f>'All Players'!F110</f>
        <v>J. Joly</v>
      </c>
      <c r="E14" s="8" t="str">
        <f>'All Players'!G110</f>
        <v>Jasper</v>
      </c>
      <c r="F14" s="8">
        <f>'All Players'!H110</f>
        <v>38</v>
      </c>
      <c r="G14" s="8">
        <f>'All Players'!I110</f>
        <v>61</v>
      </c>
      <c r="H14" s="8">
        <f>'All Players'!J110</f>
        <v>97</v>
      </c>
      <c r="I14" s="8">
        <f>'All Players'!K110</f>
        <v>37</v>
      </c>
      <c r="J14" s="5">
        <f t="shared" si="2"/>
        <v>58.25</v>
      </c>
      <c r="K14" s="8">
        <f>'All Players'!M110</f>
        <v>32</v>
      </c>
      <c r="L14" s="8">
        <f>'All Players'!N110</f>
        <v>81</v>
      </c>
      <c r="M14" s="5">
        <f>O14*0.9</f>
        <v>44.955000000000005</v>
      </c>
      <c r="N14" s="5">
        <f>O14*0.6</f>
        <v>29.97</v>
      </c>
      <c r="O14" s="11">
        <f>F14*Formuals!B9+G14*Formuals!C9+H14*Formuals!D9+I14*Formuals!E9</f>
        <v>49.95</v>
      </c>
      <c r="P14" s="10">
        <f t="shared" si="6"/>
        <v>0.12068861371186952</v>
      </c>
      <c r="Q14" s="10">
        <f t="shared" si="3"/>
        <v>1.0924065000000001</v>
      </c>
      <c r="R14" s="8" t="str">
        <f>'All Players'!T110</f>
        <v>Canada</v>
      </c>
      <c r="S14" s="8">
        <f>'All Players'!U110</f>
        <v>25</v>
      </c>
      <c r="T14" s="8">
        <f>'All Players'!V110</f>
        <v>60</v>
      </c>
      <c r="U14" s="49">
        <f t="shared" si="4"/>
        <v>14.275000000000006</v>
      </c>
      <c r="V14" s="6" t="str">
        <f>A45</f>
        <v>Inspired by the beauty of Jasper National Park, his play is picturesque and creatively robust.</v>
      </c>
    </row>
    <row r="15" spans="1:22" x14ac:dyDescent="0.25">
      <c r="A15" s="8" t="str">
        <f>'All Players'!C111</f>
        <v>LW</v>
      </c>
      <c r="B15" s="8" t="str">
        <f>'All Players'!D111</f>
        <v>Ryan</v>
      </c>
      <c r="C15" s="8" t="str">
        <f>'All Players'!E111</f>
        <v>Rousseau</v>
      </c>
      <c r="D15" s="8" t="str">
        <f>'All Players'!F111</f>
        <v>R. Rousseau</v>
      </c>
      <c r="E15" s="8" t="str">
        <f>'All Players'!G111</f>
        <v>Rocky</v>
      </c>
      <c r="F15" s="8">
        <f>'All Players'!H111</f>
        <v>71</v>
      </c>
      <c r="G15" s="8">
        <f>'All Players'!I111</f>
        <v>53</v>
      </c>
      <c r="H15" s="8">
        <f>'All Players'!J111</f>
        <v>86</v>
      </c>
      <c r="I15" s="8">
        <f>'All Players'!K111</f>
        <v>33</v>
      </c>
      <c r="J15" s="5">
        <f t="shared" si="2"/>
        <v>60.75</v>
      </c>
      <c r="K15" s="8">
        <f>'All Players'!M111</f>
        <v>32</v>
      </c>
      <c r="L15" s="8">
        <f>'All Players'!N111</f>
        <v>76</v>
      </c>
      <c r="M15" s="5">
        <f>O15</f>
        <v>51.949999999999996</v>
      </c>
      <c r="N15" s="5">
        <f>O15*0.3</f>
        <v>15.584999999999997</v>
      </c>
      <c r="O15" s="11">
        <f>F15*Formuals!B10+G15*Formuals!C10+H15*Formuals!D10+I15*Formuals!E10</f>
        <v>51.949999999999996</v>
      </c>
      <c r="P15" s="10">
        <f>((M15/SUM($M$7:$M$17)))*1.33</f>
        <v>0.18549213060840966</v>
      </c>
      <c r="Q15" s="10">
        <f t="shared" si="3"/>
        <v>1.1844599999999998</v>
      </c>
      <c r="R15" s="8" t="str">
        <f>'All Players'!T111</f>
        <v>Canada</v>
      </c>
      <c r="S15" s="8">
        <f>'All Players'!U111</f>
        <v>27</v>
      </c>
      <c r="T15" s="8">
        <f>'All Players'!V111</f>
        <v>59</v>
      </c>
      <c r="U15" s="49">
        <f t="shared" si="4"/>
        <v>14.575000000000003</v>
      </c>
      <c r="V15" s="6" t="str">
        <f>A48</f>
        <v>His robust playing style is as formidable as the Rocky Mountains, strong and unyielding on the wing.</v>
      </c>
    </row>
    <row r="16" spans="1:22" x14ac:dyDescent="0.25">
      <c r="A16" s="8" t="str">
        <f>'All Players'!C112</f>
        <v>ST</v>
      </c>
      <c r="B16" s="8" t="str">
        <f>'All Players'!D112</f>
        <v>Nathan</v>
      </c>
      <c r="C16" s="8" t="str">
        <f>'All Players'!E112</f>
        <v>Nadeau</v>
      </c>
      <c r="D16" s="8" t="str">
        <f>'All Players'!F112</f>
        <v>N. Nadeau</v>
      </c>
      <c r="E16" s="8" t="str">
        <f>'All Players'!G112</f>
        <v>Nova</v>
      </c>
      <c r="F16" s="8">
        <f>'All Players'!H112</f>
        <v>58</v>
      </c>
      <c r="G16" s="8">
        <f>'All Players'!I112</f>
        <v>56</v>
      </c>
      <c r="H16" s="8">
        <f>'All Players'!J112</f>
        <v>94</v>
      </c>
      <c r="I16" s="8">
        <f>'All Players'!K112</f>
        <v>7</v>
      </c>
      <c r="J16" s="5">
        <f t="shared" si="2"/>
        <v>53.75</v>
      </c>
      <c r="K16" s="8">
        <f>'All Players'!M112</f>
        <v>29</v>
      </c>
      <c r="L16" s="8">
        <f>'All Players'!N112</f>
        <v>82</v>
      </c>
      <c r="M16" s="5">
        <f>O16</f>
        <v>45.8</v>
      </c>
      <c r="N16" s="5">
        <f t="shared" ref="N16:N17" si="7">O16*0.3</f>
        <v>13.739999999999998</v>
      </c>
      <c r="O16" s="11">
        <f>F16*Formuals!B11+G16*Formuals!C11+H16*Formuals!D11+I16*Formuals!E11</f>
        <v>45.8</v>
      </c>
      <c r="P16" s="10">
        <f t="shared" ref="P16:P17" si="8">((M16/SUM($M$7:$M$17)))*1.33</f>
        <v>0.16353300446323699</v>
      </c>
      <c r="Q16" s="10">
        <f t="shared" si="3"/>
        <v>1.1266799999999999</v>
      </c>
      <c r="R16" s="8" t="str">
        <f>'All Players'!T112</f>
        <v>Canada</v>
      </c>
      <c r="S16" s="8">
        <f>'All Players'!U112</f>
        <v>23</v>
      </c>
      <c r="T16" s="8">
        <f>'All Players'!V112</f>
        <v>49</v>
      </c>
      <c r="U16" s="49">
        <f t="shared" si="4"/>
        <v>6.8999999999999986</v>
      </c>
      <c r="V16" s="6" t="str">
        <f>A51</f>
        <v>Like a bright nova, he's a burst of energy and flair on the pitch, illuminating the team's attacks.</v>
      </c>
    </row>
    <row r="17" spans="1:22" x14ac:dyDescent="0.25">
      <c r="A17" s="8" t="str">
        <f>'All Players'!C113</f>
        <v>RW</v>
      </c>
      <c r="B17" s="8" t="str">
        <f>'All Players'!D113</f>
        <v>Matthew</v>
      </c>
      <c r="C17" s="8" t="str">
        <f>'All Players'!E113</f>
        <v>Moreau</v>
      </c>
      <c r="D17" s="8" t="str">
        <f>'All Players'!F113</f>
        <v>M. Moreau</v>
      </c>
      <c r="E17" s="8" t="str">
        <f>'All Players'!G113</f>
        <v>Moose</v>
      </c>
      <c r="F17" s="8">
        <f>'All Players'!H113</f>
        <v>63</v>
      </c>
      <c r="G17" s="8">
        <f>'All Players'!I113</f>
        <v>60</v>
      </c>
      <c r="H17" s="8">
        <f>'All Players'!J113</f>
        <v>100</v>
      </c>
      <c r="I17" s="8">
        <f>'All Players'!K113</f>
        <v>19</v>
      </c>
      <c r="J17" s="5">
        <f t="shared" si="2"/>
        <v>60.5</v>
      </c>
      <c r="K17" s="8">
        <f>'All Players'!M113</f>
        <v>33</v>
      </c>
      <c r="L17" s="8">
        <f>'All Players'!N113</f>
        <v>82</v>
      </c>
      <c r="M17" s="5">
        <f>O17</f>
        <v>44.599999999999994</v>
      </c>
      <c r="N17" s="5">
        <f t="shared" si="7"/>
        <v>13.379999999999997</v>
      </c>
      <c r="O17" s="11">
        <f>F17*Formuals!B12+G17*Formuals!C12+H17*Formuals!D12+I17*Formuals!E12</f>
        <v>44.599999999999994</v>
      </c>
      <c r="P17" s="10">
        <f t="shared" si="8"/>
        <v>0.1592482969227155</v>
      </c>
      <c r="Q17" s="10">
        <f t="shared" si="3"/>
        <v>1.0971599999999997</v>
      </c>
      <c r="R17" s="8" t="str">
        <f>'All Players'!T113</f>
        <v>Canada</v>
      </c>
      <c r="S17" s="8">
        <f>'All Players'!U113</f>
        <v>32</v>
      </c>
      <c r="T17" s="8">
        <f>'All Players'!V113</f>
        <v>45</v>
      </c>
      <c r="U17" s="49">
        <f t="shared" si="4"/>
        <v>3.3999999999999986</v>
      </c>
      <c r="V17" s="6" t="str">
        <f>A54</f>
        <v>With the strength and presence of a moose, he's a powerful force upfront and a key target for scoring.</v>
      </c>
    </row>
    <row r="18" spans="1:22" x14ac:dyDescent="0.25">
      <c r="F18" s="18">
        <f t="shared" ref="F18:G18" si="9">LARGE(F7:F17,1) - SMALL(F7:F17,1)</f>
        <v>40</v>
      </c>
      <c r="G18" s="18">
        <f t="shared" si="9"/>
        <v>20</v>
      </c>
      <c r="H18" s="18">
        <f>LARGE(H7:H17,1) - SMALL(H7:H17,1)</f>
        <v>14</v>
      </c>
      <c r="I18" s="18">
        <f>LARGE(I7:I17,1) - SMALL(I7:I17,1)</f>
        <v>39</v>
      </c>
      <c r="J18" s="19">
        <f t="shared" ref="J18:L18" si="10">LARGE(J7:J17,1) - SMALL(J7:J17,1)</f>
        <v>15.5</v>
      </c>
      <c r="K18" s="18">
        <f t="shared" si="10"/>
        <v>10</v>
      </c>
      <c r="L18" s="18">
        <f t="shared" si="10"/>
        <v>9</v>
      </c>
      <c r="O18" s="19">
        <f t="shared" ref="O18" si="11">LARGE(O7:O17,1) - SMALL(O7:O17,1)</f>
        <v>35.375</v>
      </c>
      <c r="P18" s="48">
        <f>SUM(P7:P17)</f>
        <v>1.0372425249169435</v>
      </c>
      <c r="S18">
        <f>AVERAGE(S7:S17)</f>
        <v>24.818181818181817</v>
      </c>
      <c r="T18">
        <f>AVERAGE(T7:T17)</f>
        <v>68</v>
      </c>
      <c r="U18" s="50">
        <f>SUM(U7:U17)</f>
        <v>260.68749999999994</v>
      </c>
    </row>
    <row r="19" spans="1:22" x14ac:dyDescent="0.25">
      <c r="B19" s="3" t="s">
        <v>1</v>
      </c>
      <c r="C19" s="3" t="s">
        <v>2</v>
      </c>
      <c r="D19" s="3" t="s">
        <v>3</v>
      </c>
    </row>
    <row r="20" spans="1:22" x14ac:dyDescent="0.25">
      <c r="A20" s="3" t="s">
        <v>4</v>
      </c>
      <c r="B20" s="2">
        <f>AVERAGE(O7:O12)*0.1+AVERAGE(O13:O17)*0.9</f>
        <v>52.087250000000004</v>
      </c>
      <c r="C20" s="2">
        <f>AVERAGE(O7:O12)*0.9+AVERAGE(O13:O17)*0.1</f>
        <v>67.66525</v>
      </c>
      <c r="D20" s="2">
        <f>AVERAGE(K7:K17)*0.5+AVERAGE(L7:L17)*0.5</f>
        <v>54.954545454545453</v>
      </c>
    </row>
    <row r="22" spans="1:22" x14ac:dyDescent="0.25">
      <c r="A22" t="s">
        <v>126</v>
      </c>
    </row>
    <row r="24" spans="1:22" x14ac:dyDescent="0.25">
      <c r="A24" t="s">
        <v>115</v>
      </c>
    </row>
    <row r="25" spans="1:22" x14ac:dyDescent="0.25">
      <c r="A25" t="s">
        <v>127</v>
      </c>
    </row>
    <row r="27" spans="1:22" x14ac:dyDescent="0.25">
      <c r="A27" t="s">
        <v>116</v>
      </c>
    </row>
    <row r="28" spans="1:22" x14ac:dyDescent="0.25">
      <c r="A28" t="s">
        <v>128</v>
      </c>
    </row>
    <row r="30" spans="1:22" x14ac:dyDescent="0.25">
      <c r="A30" t="s">
        <v>117</v>
      </c>
    </row>
    <row r="31" spans="1:22" x14ac:dyDescent="0.25">
      <c r="A31" t="s">
        <v>129</v>
      </c>
    </row>
    <row r="33" spans="1:1" x14ac:dyDescent="0.25">
      <c r="A33" t="s">
        <v>118</v>
      </c>
    </row>
    <row r="34" spans="1:1" x14ac:dyDescent="0.25">
      <c r="A34" t="s">
        <v>130</v>
      </c>
    </row>
    <row r="36" spans="1:1" x14ac:dyDescent="0.25">
      <c r="A36" t="s">
        <v>119</v>
      </c>
    </row>
    <row r="37" spans="1:1" x14ac:dyDescent="0.25">
      <c r="A37" t="s">
        <v>131</v>
      </c>
    </row>
    <row r="39" spans="1:1" x14ac:dyDescent="0.25">
      <c r="A39" t="s">
        <v>120</v>
      </c>
    </row>
    <row r="40" spans="1:1" x14ac:dyDescent="0.25">
      <c r="A40" t="s">
        <v>132</v>
      </c>
    </row>
    <row r="42" spans="1:1" x14ac:dyDescent="0.25">
      <c r="A42" t="s">
        <v>121</v>
      </c>
    </row>
    <row r="43" spans="1:1" x14ac:dyDescent="0.25">
      <c r="A43" t="s">
        <v>133</v>
      </c>
    </row>
    <row r="45" spans="1:1" x14ac:dyDescent="0.25">
      <c r="A45" t="s">
        <v>122</v>
      </c>
    </row>
    <row r="46" spans="1:1" x14ac:dyDescent="0.25">
      <c r="A46" t="s">
        <v>134</v>
      </c>
    </row>
    <row r="48" spans="1:1" x14ac:dyDescent="0.25">
      <c r="A48" t="s">
        <v>123</v>
      </c>
    </row>
    <row r="49" spans="1:1" x14ac:dyDescent="0.25">
      <c r="A49" t="s">
        <v>135</v>
      </c>
    </row>
    <row r="51" spans="1:1" x14ac:dyDescent="0.25">
      <c r="A51" t="s">
        <v>124</v>
      </c>
    </row>
    <row r="52" spans="1:1" x14ac:dyDescent="0.25">
      <c r="A52" t="s">
        <v>136</v>
      </c>
    </row>
    <row r="54" spans="1:1" x14ac:dyDescent="0.25">
      <c r="A54" t="s">
        <v>125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2E314-016F-4DD2-BD53-90FA9379F897}">
  <sheetPr codeName="Sheet15">
    <tabColor theme="6"/>
  </sheetPr>
  <dimension ref="A1:V54"/>
  <sheetViews>
    <sheetView workbookViewId="0">
      <selection activeCell="T21" sqref="T21"/>
    </sheetView>
  </sheetViews>
  <sheetFormatPr defaultRowHeight="15" x14ac:dyDescent="0.25"/>
  <cols>
    <col min="2" max="2" width="10.5703125" bestFit="1" customWidth="1"/>
    <col min="3" max="3" width="10.28515625" bestFit="1" customWidth="1"/>
    <col min="4" max="4" width="12.28515625" bestFit="1" customWidth="1"/>
    <col min="5" max="5" width="9.28515625" bestFit="1" customWidth="1"/>
  </cols>
  <sheetData>
    <row r="1" spans="1:22" x14ac:dyDescent="0.25">
      <c r="A1" s="3" t="s">
        <v>19</v>
      </c>
      <c r="B1" s="6" t="s">
        <v>33</v>
      </c>
      <c r="K1">
        <f ca="1">RANDBETWEEN(K$4-5,K$4+5)</f>
        <v>82</v>
      </c>
      <c r="L1">
        <f ca="1">RANDBETWEEN(L$4-5,L$4+5)</f>
        <v>77</v>
      </c>
    </row>
    <row r="2" spans="1:22" x14ac:dyDescent="0.25">
      <c r="A2" s="3" t="s">
        <v>20</v>
      </c>
      <c r="B2" s="6" t="s">
        <v>181</v>
      </c>
    </row>
    <row r="3" spans="1:22" x14ac:dyDescent="0.25">
      <c r="A3" s="3" t="s">
        <v>138</v>
      </c>
      <c r="B3" s="6" t="str">
        <f>VLOOKUP(B1,STATS!L1:AA21,16,FALSE)</f>
        <v>Columbia</v>
      </c>
    </row>
    <row r="4" spans="1:22" x14ac:dyDescent="0.25">
      <c r="A4" s="3" t="s">
        <v>22</v>
      </c>
      <c r="B4" s="1">
        <f>((B20+C20)/2)*((D20+50)/100)</f>
        <v>89.104708333333321</v>
      </c>
      <c r="F4">
        <f>VLOOKUP($B$1,STATS!$L$1:$Q$21,3,FALSE)</f>
        <v>100</v>
      </c>
      <c r="G4">
        <f>VLOOKUP($B$1,STATS!$L$1:$Q$21,4,FALSE)</f>
        <v>80</v>
      </c>
      <c r="H4">
        <f>VLOOKUP($B$1,STATS!$L$1:$Q$21,5,FALSE)</f>
        <v>10</v>
      </c>
      <c r="I4">
        <f>VLOOKUP($B$1,STATS!$L$1:$Q$21,6,FALSE)</f>
        <v>90</v>
      </c>
      <c r="J4">
        <f>AVERAGE(F4:I4)</f>
        <v>70</v>
      </c>
      <c r="K4">
        <v>85</v>
      </c>
      <c r="L4">
        <v>75</v>
      </c>
    </row>
    <row r="5" spans="1:22" x14ac:dyDescent="0.25">
      <c r="F5" s="12">
        <f t="shared" ref="F5:H5" si="0">AVERAGE(F7:F17)</f>
        <v>93.36363636363636</v>
      </c>
      <c r="G5" s="12">
        <f t="shared" si="0"/>
        <v>78</v>
      </c>
      <c r="H5" s="12">
        <f t="shared" si="0"/>
        <v>10.454545454545455</v>
      </c>
      <c r="I5" s="12">
        <f>AVERAGE(I7:I17)</f>
        <v>88.454545454545453</v>
      </c>
      <c r="J5" s="12">
        <f>AVERAGE(J7:J17)</f>
        <v>67.568181818181813</v>
      </c>
      <c r="K5" s="12">
        <f t="shared" ref="K5:M5" si="1">AVERAGE(K7:K17)</f>
        <v>83.090909090909093</v>
      </c>
      <c r="L5" s="12">
        <f t="shared" si="1"/>
        <v>76.909090909090907</v>
      </c>
      <c r="M5" s="12">
        <f t="shared" si="1"/>
        <v>44.524090909090908</v>
      </c>
      <c r="N5" s="12">
        <f>AVERAGE(N7:N17)</f>
        <v>45.382045454545441</v>
      </c>
      <c r="O5" s="12">
        <f>AVERAGE(O7:O17)</f>
        <v>67.429545454545462</v>
      </c>
    </row>
    <row r="6" spans="1:22" x14ac:dyDescent="0.25">
      <c r="A6" s="3" t="s">
        <v>7</v>
      </c>
      <c r="B6" s="3" t="s">
        <v>8</v>
      </c>
      <c r="C6" s="3" t="s">
        <v>9</v>
      </c>
      <c r="D6" s="3" t="s">
        <v>44</v>
      </c>
      <c r="E6" s="3" t="s">
        <v>50</v>
      </c>
      <c r="F6" s="3" t="s">
        <v>17</v>
      </c>
      <c r="G6" s="3" t="s">
        <v>14</v>
      </c>
      <c r="H6" s="3" t="s">
        <v>15</v>
      </c>
      <c r="I6" s="3" t="s">
        <v>16</v>
      </c>
      <c r="J6" s="3" t="s">
        <v>48</v>
      </c>
      <c r="K6" s="3" t="s">
        <v>3</v>
      </c>
      <c r="L6" s="3" t="s">
        <v>10</v>
      </c>
      <c r="M6" s="3" t="s">
        <v>1</v>
      </c>
      <c r="N6" s="3" t="s">
        <v>12</v>
      </c>
      <c r="O6" s="3" t="s">
        <v>4</v>
      </c>
      <c r="P6" s="3" t="s">
        <v>49</v>
      </c>
      <c r="Q6" s="3" t="s">
        <v>47</v>
      </c>
      <c r="R6" s="3" t="s">
        <v>138</v>
      </c>
      <c r="S6" s="3" t="s">
        <v>1354</v>
      </c>
      <c r="T6" s="3" t="s">
        <v>1355</v>
      </c>
      <c r="U6" s="3" t="s">
        <v>1356</v>
      </c>
      <c r="V6" s="3" t="s">
        <v>13</v>
      </c>
    </row>
    <row r="7" spans="1:22" x14ac:dyDescent="0.25">
      <c r="A7" s="8" t="str">
        <f>'All Players'!C114</f>
        <v>GK</v>
      </c>
      <c r="B7" s="8" t="str">
        <f>'All Players'!D114</f>
        <v>Santiago</v>
      </c>
      <c r="C7" s="8" t="str">
        <f>'All Players'!E114</f>
        <v>Sánchez</v>
      </c>
      <c r="D7" s="8" t="str">
        <f>'All Players'!F114</f>
        <v>S. Sánchez</v>
      </c>
      <c r="E7" s="8" t="str">
        <f>'All Players'!G114</f>
        <v>Swoop</v>
      </c>
      <c r="F7" s="8">
        <f>'All Players'!H114</f>
        <v>77</v>
      </c>
      <c r="G7" s="8">
        <f>'All Players'!I114</f>
        <v>58</v>
      </c>
      <c r="H7" s="8">
        <f>'All Players'!J114</f>
        <v>9</v>
      </c>
      <c r="I7" s="8">
        <f>'All Players'!K114</f>
        <v>91</v>
      </c>
      <c r="J7" s="5">
        <f t="shared" ref="J7:J17" si="2">AVERAGE(F7:I7)</f>
        <v>58.75</v>
      </c>
      <c r="K7" s="8">
        <f>'All Players'!M114</f>
        <v>82</v>
      </c>
      <c r="L7" s="8">
        <f>'All Players'!N114</f>
        <v>80</v>
      </c>
      <c r="M7" s="4">
        <f>AVERAGE(F7:I7)*0</f>
        <v>0</v>
      </c>
      <c r="N7" s="5">
        <f>O7</f>
        <v>65.649999999999991</v>
      </c>
      <c r="O7" s="11">
        <f>F7*Formuals!B2+G7*Formuals!C2+H7*Formuals!D2+I7*Formuals!E2</f>
        <v>65.649999999999991</v>
      </c>
      <c r="P7" s="10">
        <f>((M7/SUM($M$7:$M$17)))</f>
        <v>0</v>
      </c>
      <c r="Q7" s="10">
        <f t="shared" ref="Q7:Q17" si="3">((M7/100)*(L7/100))*3</f>
        <v>0</v>
      </c>
      <c r="R7" s="8" t="str">
        <f>'All Players'!T114</f>
        <v>Columbia</v>
      </c>
      <c r="S7" s="8">
        <f>'All Players'!U114</f>
        <v>32</v>
      </c>
      <c r="T7" s="8">
        <f>'All Players'!V114</f>
        <v>69</v>
      </c>
      <c r="U7" s="49">
        <f t="shared" ref="U7:U17" si="4">IF((O7*0.5)+((T7*0.5)-((S7-18)*0.1))-40&lt;0,"0",(O7*0.5)+((T7*0.5)-((S7-18)*0.1))-40)</f>
        <v>25.924999999999997</v>
      </c>
      <c r="V7" s="6" t="str">
        <f>A24</f>
        <v>Renowned for his agile 'swoops' to save goals, much like a hawk diving for its prey.</v>
      </c>
    </row>
    <row r="8" spans="1:22" x14ac:dyDescent="0.25">
      <c r="A8" s="8" t="str">
        <f>'All Players'!C115</f>
        <v>LB</v>
      </c>
      <c r="B8" s="8" t="str">
        <f>'All Players'!D115</f>
        <v>Mateo</v>
      </c>
      <c r="C8" s="8" t="str">
        <f>'All Players'!E115</f>
        <v>Martínez</v>
      </c>
      <c r="D8" s="8" t="str">
        <f>'All Players'!F115</f>
        <v>M. Martínez</v>
      </c>
      <c r="E8" s="8" t="str">
        <f>'All Players'!G115</f>
        <v>Mirada</v>
      </c>
      <c r="F8" s="8">
        <f>'All Players'!H115</f>
        <v>100</v>
      </c>
      <c r="G8" s="8">
        <f>'All Players'!I115</f>
        <v>78</v>
      </c>
      <c r="H8" s="8">
        <f>'All Players'!J115</f>
        <v>15</v>
      </c>
      <c r="I8" s="8">
        <f>'All Players'!K115</f>
        <v>97</v>
      </c>
      <c r="J8" s="5">
        <f t="shared" si="2"/>
        <v>72.5</v>
      </c>
      <c r="K8" s="8">
        <f>'All Players'!M115</f>
        <v>81</v>
      </c>
      <c r="L8" s="8">
        <f>'All Players'!N115</f>
        <v>73</v>
      </c>
      <c r="M8" s="5">
        <f>0.4*O8</f>
        <v>25.980000000000004</v>
      </c>
      <c r="N8" s="5">
        <f>0.9*O8</f>
        <v>58.455000000000005</v>
      </c>
      <c r="O8" s="11">
        <f>F8*Formuals!B3+G8*Formuals!C3+H8*Formuals!D3+I8*Formuals!E3</f>
        <v>64.95</v>
      </c>
      <c r="P8" s="10">
        <f t="shared" ref="P8:P10" si="5">((M8/SUM($M$7:$M$17)))*0.67</f>
        <v>3.5540718507855819E-2</v>
      </c>
      <c r="Q8" s="10">
        <f t="shared" si="3"/>
        <v>0.56896200000000008</v>
      </c>
      <c r="R8" s="8" t="str">
        <f>'All Players'!T115</f>
        <v>Columbia</v>
      </c>
      <c r="S8" s="8">
        <f>'All Players'!U115</f>
        <v>21</v>
      </c>
      <c r="T8" s="8">
        <f>'All Players'!V115</f>
        <v>80</v>
      </c>
      <c r="U8" s="49">
        <f t="shared" si="4"/>
        <v>32.175000000000011</v>
      </c>
      <c r="V8" s="6" t="str">
        <f>A27</f>
        <v>His sharp, hawk-like gaze helps him anticipate and intercept opposition moves effectively.</v>
      </c>
    </row>
    <row r="9" spans="1:22" x14ac:dyDescent="0.25">
      <c r="A9" s="8" t="str">
        <f>'All Players'!C116</f>
        <v>CB</v>
      </c>
      <c r="B9" s="8" t="str">
        <f>'All Players'!D116</f>
        <v>Gabriel</v>
      </c>
      <c r="C9" s="8" t="str">
        <f>'All Players'!E116</f>
        <v>Gutiérrez</v>
      </c>
      <c r="D9" s="8" t="str">
        <f>'All Players'!F116</f>
        <v>G. Gutiérrez</v>
      </c>
      <c r="E9" s="8" t="str">
        <f>'All Players'!G116</f>
        <v>Guardián</v>
      </c>
      <c r="F9" s="8">
        <f>'All Players'!H116</f>
        <v>100</v>
      </c>
      <c r="G9" s="8">
        <f>'All Players'!I116</f>
        <v>90</v>
      </c>
      <c r="H9" s="8">
        <f>'All Players'!J116</f>
        <v>2</v>
      </c>
      <c r="I9" s="8">
        <f>'All Players'!K116</f>
        <v>78</v>
      </c>
      <c r="J9" s="5">
        <f t="shared" si="2"/>
        <v>67.5</v>
      </c>
      <c r="K9" s="8">
        <f>'All Players'!M116</f>
        <v>81</v>
      </c>
      <c r="L9" s="8">
        <f>'All Players'!N116</f>
        <v>77</v>
      </c>
      <c r="M9" s="5">
        <f>O9*0.3</f>
        <v>11.654999999999998</v>
      </c>
      <c r="N9" s="5">
        <f>O9</f>
        <v>38.849999999999994</v>
      </c>
      <c r="O9" s="11">
        <f>F9*Formuals!B4+G9*Formuals!C4+H9*Formuals!D4+I9*Formuals!E4</f>
        <v>38.849999999999994</v>
      </c>
      <c r="P9" s="10">
        <f t="shared" si="5"/>
        <v>1.5944075219748242E-2</v>
      </c>
      <c r="Q9" s="10">
        <f t="shared" si="3"/>
        <v>0.26923049999999993</v>
      </c>
      <c r="R9" s="8" t="str">
        <f>'All Players'!T116</f>
        <v>Columbia</v>
      </c>
      <c r="S9" s="8">
        <f>'All Players'!U116</f>
        <v>32</v>
      </c>
      <c r="T9" s="8">
        <f>'All Players'!V116</f>
        <v>43</v>
      </c>
      <c r="U9" s="49" t="str">
        <f t="shared" si="4"/>
        <v>0</v>
      </c>
      <c r="V9" s="6" t="str">
        <f>A30</f>
        <v>A true guardian in defense, his presence is commanding and his tackles precise.</v>
      </c>
    </row>
    <row r="10" spans="1:22" x14ac:dyDescent="0.25">
      <c r="A10" s="8" t="str">
        <f>'All Players'!C117</f>
        <v>CB</v>
      </c>
      <c r="B10" s="8" t="str">
        <f>'All Players'!D117</f>
        <v>Nicolás</v>
      </c>
      <c r="C10" s="8" t="str">
        <f>'All Players'!E117</f>
        <v>Navarro</v>
      </c>
      <c r="D10" s="8" t="str">
        <f>'All Players'!F117</f>
        <v>N. Navarro</v>
      </c>
      <c r="E10" s="8" t="str">
        <f>'All Players'!G117</f>
        <v>Nido</v>
      </c>
      <c r="F10" s="8">
        <f>'All Players'!H117</f>
        <v>89</v>
      </c>
      <c r="G10" s="8">
        <f>'All Players'!I117</f>
        <v>79</v>
      </c>
      <c r="H10" s="8">
        <f>'All Players'!J117</f>
        <v>16</v>
      </c>
      <c r="I10" s="8">
        <f>'All Players'!K117</f>
        <v>91</v>
      </c>
      <c r="J10" s="5">
        <f t="shared" si="2"/>
        <v>68.75</v>
      </c>
      <c r="K10" s="8">
        <f>'All Players'!M117</f>
        <v>80</v>
      </c>
      <c r="L10" s="8">
        <f>'All Players'!N117</f>
        <v>74</v>
      </c>
      <c r="M10" s="5">
        <f>O10*0.3</f>
        <v>13.747499999999999</v>
      </c>
      <c r="N10" s="5">
        <f>O10</f>
        <v>45.824999999999996</v>
      </c>
      <c r="O10" s="11">
        <f>F10*Formuals!B5+G10*Formuals!C5+H10*Formuals!D5+I10*Formuals!E5</f>
        <v>45.824999999999996</v>
      </c>
      <c r="P10" s="10">
        <f t="shared" si="5"/>
        <v>1.8806621542984899E-2</v>
      </c>
      <c r="Q10" s="10">
        <f t="shared" si="3"/>
        <v>0.30519449999999998</v>
      </c>
      <c r="R10" s="8" t="str">
        <f>'All Players'!T117</f>
        <v>Columbia</v>
      </c>
      <c r="S10" s="8">
        <f>'All Players'!U117</f>
        <v>28</v>
      </c>
      <c r="T10" s="8">
        <f>'All Players'!V117</f>
        <v>53</v>
      </c>
      <c r="U10" s="49">
        <f t="shared" si="4"/>
        <v>8.4124999999999943</v>
      </c>
      <c r="V10" s="6" t="str">
        <f>A33</f>
        <v>Solid and reliable, he forms the 'nest' of the team's defense, always there to protect.</v>
      </c>
    </row>
    <row r="11" spans="1:22" x14ac:dyDescent="0.25">
      <c r="A11" s="8" t="str">
        <f>'All Players'!C118</f>
        <v>RB</v>
      </c>
      <c r="B11" s="8" t="str">
        <f>'All Players'!D118</f>
        <v>Alejandro</v>
      </c>
      <c r="C11" s="8" t="str">
        <f>'All Players'!E118</f>
        <v>Álvarez</v>
      </c>
      <c r="D11" s="8" t="str">
        <f>'All Players'!F118</f>
        <v>A. Álvarez</v>
      </c>
      <c r="E11" s="8" t="str">
        <f>'All Players'!G118</f>
        <v>Aguileño</v>
      </c>
      <c r="F11" s="8">
        <f>'All Players'!H118</f>
        <v>100</v>
      </c>
      <c r="G11" s="8">
        <f>'All Players'!I118</f>
        <v>73</v>
      </c>
      <c r="H11" s="8">
        <f>'All Players'!J118</f>
        <v>9</v>
      </c>
      <c r="I11" s="8">
        <f>'All Players'!K118</f>
        <v>90</v>
      </c>
      <c r="J11" s="5">
        <f t="shared" si="2"/>
        <v>68</v>
      </c>
      <c r="K11" s="8">
        <f>'All Players'!M118</f>
        <v>89</v>
      </c>
      <c r="L11" s="8">
        <f>'All Players'!N118</f>
        <v>79</v>
      </c>
      <c r="M11" s="5">
        <f>0.4*O11</f>
        <v>23.900000000000002</v>
      </c>
      <c r="N11" s="5">
        <f>0.9*O11</f>
        <v>53.774999999999999</v>
      </c>
      <c r="O11" s="11">
        <f>F11*Formuals!B6+G11*Formuals!C6+H11*Formuals!D6+I11*Formuals!E6</f>
        <v>59.75</v>
      </c>
      <c r="P11" s="10">
        <f>((M11/SUM($M$7:$M$17)))*0.67</f>
        <v>3.2695272222392373E-2</v>
      </c>
      <c r="Q11" s="10">
        <f t="shared" si="3"/>
        <v>0.5664300000000001</v>
      </c>
      <c r="R11" s="8" t="str">
        <f>'All Players'!T118</f>
        <v>Columbia</v>
      </c>
      <c r="S11" s="8">
        <f>'All Players'!U118</f>
        <v>35</v>
      </c>
      <c r="T11" s="8">
        <f>'All Players'!V118</f>
        <v>60</v>
      </c>
      <c r="U11" s="49">
        <f t="shared" si="4"/>
        <v>18.174999999999997</v>
      </c>
      <c r="V11" s="6" t="str">
        <f>A36</f>
        <v>Agile and quick, he covers his territory on the field with the grace of an eagle.</v>
      </c>
    </row>
    <row r="12" spans="1:22" x14ac:dyDescent="0.25">
      <c r="A12" s="8" t="str">
        <f>'All Players'!C119</f>
        <v>CDM</v>
      </c>
      <c r="B12" s="8" t="str">
        <f>'All Players'!D119</f>
        <v>Felipe</v>
      </c>
      <c r="C12" s="8" t="str">
        <f>'All Players'!E119</f>
        <v>Fernández</v>
      </c>
      <c r="D12" s="8" t="str">
        <f>'All Players'!F119</f>
        <v>F. Fernández</v>
      </c>
      <c r="E12" s="8" t="str">
        <f>'All Players'!G119</f>
        <v>Faucon</v>
      </c>
      <c r="F12" s="8">
        <f>'All Players'!H119</f>
        <v>89</v>
      </c>
      <c r="G12" s="8">
        <f>'All Players'!I119</f>
        <v>100</v>
      </c>
      <c r="H12" s="8">
        <f>'All Players'!J119</f>
        <v>19</v>
      </c>
      <c r="I12" s="8">
        <f>'All Players'!K119</f>
        <v>79</v>
      </c>
      <c r="J12" s="5">
        <f t="shared" si="2"/>
        <v>71.75</v>
      </c>
      <c r="K12" s="8">
        <f>'All Players'!M119</f>
        <v>85</v>
      </c>
      <c r="L12" s="8">
        <f>'All Players'!N119</f>
        <v>79</v>
      </c>
      <c r="M12" s="5">
        <f>O12*0.6</f>
        <v>37.68</v>
      </c>
      <c r="N12" s="5">
        <f>O12*0.9</f>
        <v>56.52</v>
      </c>
      <c r="O12" s="11">
        <f>F12*Formuals!B7+G12*Formuals!C7+H12*Formuals!D7+I12*Formuals!E7</f>
        <v>62.800000000000004</v>
      </c>
      <c r="P12" s="10">
        <f t="shared" ref="P12:P14" si="6">((M12/SUM($M$7:$M$17)))</f>
        <v>7.6934856512817368E-2</v>
      </c>
      <c r="Q12" s="10">
        <f t="shared" si="3"/>
        <v>0.89301600000000014</v>
      </c>
      <c r="R12" s="8" t="str">
        <f>'All Players'!T119</f>
        <v>Columbia</v>
      </c>
      <c r="S12" s="8">
        <f>'All Players'!U119</f>
        <v>34</v>
      </c>
      <c r="T12" s="8">
        <f>'All Players'!V119</f>
        <v>64</v>
      </c>
      <c r="U12" s="49">
        <f t="shared" si="4"/>
        <v>21.799999999999997</v>
      </c>
      <c r="V12" s="6" t="str">
        <f>A39</f>
        <v>His play is like that of a falcon - sharp, focused, and decisive in midfield battles.</v>
      </c>
    </row>
    <row r="13" spans="1:22" x14ac:dyDescent="0.25">
      <c r="A13" s="8" t="str">
        <f>'All Players'!C120</f>
        <v>CM</v>
      </c>
      <c r="B13" s="8" t="str">
        <f>'All Players'!D120</f>
        <v>Diego</v>
      </c>
      <c r="C13" s="8" t="str">
        <f>'All Players'!E120</f>
        <v>Díaz</v>
      </c>
      <c r="D13" s="8" t="str">
        <f>'All Players'!F120</f>
        <v>D. Díaz</v>
      </c>
      <c r="E13" s="8" t="str">
        <f>'All Players'!G120</f>
        <v>Dinámico</v>
      </c>
      <c r="F13" s="8">
        <f>'All Players'!H120</f>
        <v>89</v>
      </c>
      <c r="G13" s="8">
        <f>'All Players'!I120</f>
        <v>77</v>
      </c>
      <c r="H13" s="8">
        <f>'All Players'!J120</f>
        <v>19</v>
      </c>
      <c r="I13" s="8">
        <f>'All Players'!K120</f>
        <v>98</v>
      </c>
      <c r="J13" s="5">
        <f t="shared" si="2"/>
        <v>70.75</v>
      </c>
      <c r="K13" s="8">
        <f>'All Players'!M120</f>
        <v>82</v>
      </c>
      <c r="L13" s="8">
        <f>'All Players'!N120</f>
        <v>79</v>
      </c>
      <c r="M13" s="5">
        <f>O13*0.75</f>
        <v>55.837500000000006</v>
      </c>
      <c r="N13" s="5">
        <f>O13*0.75</f>
        <v>55.837500000000006</v>
      </c>
      <c r="O13" s="11">
        <f>F13*Formuals!B8+G13*Formuals!C8+H13*Formuals!D8+I13*Formuals!E8</f>
        <v>74.45</v>
      </c>
      <c r="P13" s="10">
        <f t="shared" si="6"/>
        <v>0.11400875930293101</v>
      </c>
      <c r="Q13" s="10">
        <f t="shared" si="3"/>
        <v>1.3233487500000003</v>
      </c>
      <c r="R13" s="8" t="str">
        <f>'All Players'!T120</f>
        <v>Columbia</v>
      </c>
      <c r="S13" s="8">
        <f>'All Players'!U120</f>
        <v>26</v>
      </c>
      <c r="T13" s="8">
        <f>'All Players'!V120</f>
        <v>82</v>
      </c>
      <c r="U13" s="49">
        <f t="shared" si="4"/>
        <v>37.425000000000011</v>
      </c>
      <c r="V13" s="6" t="str">
        <f>A42</f>
        <v>Known for his dynamic play, constantly creating opportunities and driving the team forward.</v>
      </c>
    </row>
    <row r="14" spans="1:22" x14ac:dyDescent="0.25">
      <c r="A14" s="8" t="str">
        <f>'All Players'!C121</f>
        <v>CAM</v>
      </c>
      <c r="B14" s="8" t="str">
        <f>'All Players'!D121</f>
        <v>Carlos</v>
      </c>
      <c r="C14" s="8" t="str">
        <f>'All Players'!E121</f>
        <v>Castro</v>
      </c>
      <c r="D14" s="8" t="str">
        <f>'All Players'!F121</f>
        <v>C. Castro</v>
      </c>
      <c r="E14" s="8" t="str">
        <f>'All Players'!G121</f>
        <v>Cazador</v>
      </c>
      <c r="F14" s="8">
        <f>'All Players'!H121</f>
        <v>100</v>
      </c>
      <c r="G14" s="8">
        <f>'All Players'!I121</f>
        <v>77</v>
      </c>
      <c r="H14" s="8">
        <f>'All Players'!J121</f>
        <v>5</v>
      </c>
      <c r="I14" s="8">
        <f>'All Players'!K121</f>
        <v>94</v>
      </c>
      <c r="J14" s="5">
        <f t="shared" si="2"/>
        <v>69</v>
      </c>
      <c r="K14" s="8">
        <f>'All Players'!M121</f>
        <v>80</v>
      </c>
      <c r="L14" s="8">
        <f>'All Players'!N121</f>
        <v>79</v>
      </c>
      <c r="M14" s="5">
        <f>O14*0.9</f>
        <v>76.364999999999995</v>
      </c>
      <c r="N14" s="5">
        <f>O14*0.6</f>
        <v>50.91</v>
      </c>
      <c r="O14" s="11">
        <f>F14*Formuals!B9+G14*Formuals!C9+H14*Formuals!D9+I14*Formuals!E9</f>
        <v>84.85</v>
      </c>
      <c r="P14" s="10">
        <f t="shared" si="6"/>
        <v>0.15592171755842088</v>
      </c>
      <c r="Q14" s="10">
        <f t="shared" si="3"/>
        <v>1.8098505</v>
      </c>
      <c r="R14" s="8" t="str">
        <f>'All Players'!T121</f>
        <v>Columbia</v>
      </c>
      <c r="S14" s="8">
        <f>'All Players'!U121</f>
        <v>29</v>
      </c>
      <c r="T14" s="8">
        <f>'All Players'!V121</f>
        <v>93</v>
      </c>
      <c r="U14" s="49">
        <f t="shared" si="4"/>
        <v>47.824999999999989</v>
      </c>
      <c r="V14" s="6" t="str">
        <f>A45</f>
        <v>A 'hunter' in the field, always seeking out chances to set up or score goals.</v>
      </c>
    </row>
    <row r="15" spans="1:22" x14ac:dyDescent="0.25">
      <c r="A15" s="8" t="str">
        <f>'All Players'!C122</f>
        <v>LW</v>
      </c>
      <c r="B15" s="8" t="str">
        <f>'All Players'!D122</f>
        <v>Javier</v>
      </c>
      <c r="C15" s="8" t="str">
        <f>'All Players'!E122</f>
        <v>Vargas</v>
      </c>
      <c r="D15" s="8" t="str">
        <f>'All Players'!F122</f>
        <v>J. Vargas</v>
      </c>
      <c r="E15" s="8" t="str">
        <f>'All Players'!G122</f>
        <v>Vuelo</v>
      </c>
      <c r="F15" s="8">
        <f>'All Players'!H122</f>
        <v>83</v>
      </c>
      <c r="G15" s="8">
        <f>'All Players'!I122</f>
        <v>73</v>
      </c>
      <c r="H15" s="8">
        <f>'All Players'!J122</f>
        <v>3</v>
      </c>
      <c r="I15" s="8">
        <f>'All Players'!K122</f>
        <v>82</v>
      </c>
      <c r="J15" s="5">
        <f t="shared" si="2"/>
        <v>60.25</v>
      </c>
      <c r="K15" s="8">
        <f>'All Players'!M122</f>
        <v>86</v>
      </c>
      <c r="L15" s="8">
        <f>'All Players'!N122</f>
        <v>77</v>
      </c>
      <c r="M15" s="5">
        <f>O15</f>
        <v>77.05</v>
      </c>
      <c r="N15" s="5">
        <f>O15*0.3</f>
        <v>23.114999999999998</v>
      </c>
      <c r="O15" s="11">
        <f>F15*Formuals!B10+G15*Formuals!C10+H15*Formuals!D10+I15*Formuals!E10</f>
        <v>77.05</v>
      </c>
      <c r="P15" s="10">
        <f>((M15/SUM($M$7:$M$17)))*1.33</f>
        <v>0.20923606219309263</v>
      </c>
      <c r="Q15" s="10">
        <f t="shared" si="3"/>
        <v>1.779855</v>
      </c>
      <c r="R15" s="8" t="str">
        <f>'All Players'!T122</f>
        <v>Columbia</v>
      </c>
      <c r="S15" s="8">
        <f>'All Players'!U122</f>
        <v>21</v>
      </c>
      <c r="T15" s="8">
        <f>'All Players'!V122</f>
        <v>84</v>
      </c>
      <c r="U15" s="49">
        <f t="shared" si="4"/>
        <v>40.224999999999994</v>
      </c>
      <c r="V15" s="6" t="str">
        <f>A48</f>
        <v>His runs down the wing are like a swift flight, often catching defenses off guard.</v>
      </c>
    </row>
    <row r="16" spans="1:22" x14ac:dyDescent="0.25">
      <c r="A16" s="8" t="str">
        <f>'All Players'!C123</f>
        <v>ST</v>
      </c>
      <c r="B16" s="8" t="str">
        <f>'All Players'!D123</f>
        <v>Luis</v>
      </c>
      <c r="C16" s="8" t="str">
        <f>'All Players'!E123</f>
        <v>López</v>
      </c>
      <c r="D16" s="8" t="str">
        <f>'All Players'!F123</f>
        <v>L. López</v>
      </c>
      <c r="E16" s="8" t="str">
        <f>'All Players'!G123</f>
        <v>Lince</v>
      </c>
      <c r="F16" s="8">
        <f>'All Players'!H123</f>
        <v>100</v>
      </c>
      <c r="G16" s="8">
        <f>'All Players'!I123</f>
        <v>77</v>
      </c>
      <c r="H16" s="8">
        <f>'All Players'!J123</f>
        <v>0</v>
      </c>
      <c r="I16" s="8">
        <f>'All Players'!K123</f>
        <v>79</v>
      </c>
      <c r="J16" s="5">
        <f t="shared" si="2"/>
        <v>64</v>
      </c>
      <c r="K16" s="8">
        <f>'All Players'!M123</f>
        <v>85</v>
      </c>
      <c r="L16" s="8">
        <f>'All Players'!N123</f>
        <v>77</v>
      </c>
      <c r="M16" s="5">
        <f>O16</f>
        <v>77.95</v>
      </c>
      <c r="N16" s="5">
        <f t="shared" ref="N16:N17" si="7">O16*0.3</f>
        <v>23.385000000000002</v>
      </c>
      <c r="O16" s="11">
        <f>F16*Formuals!B11+G16*Formuals!C11+H16*Formuals!D11+I16*Formuals!E11</f>
        <v>77.95</v>
      </c>
      <c r="P16" s="10">
        <f t="shared" ref="P16:P17" si="8">((M16/SUM($M$7:$M$17)))*1.33</f>
        <v>0.21168009147244091</v>
      </c>
      <c r="Q16" s="10">
        <f t="shared" si="3"/>
        <v>1.8006450000000003</v>
      </c>
      <c r="R16" s="8" t="str">
        <f>'All Players'!T123</f>
        <v>Columbia</v>
      </c>
      <c r="S16" s="8">
        <f>'All Players'!U123</f>
        <v>34</v>
      </c>
      <c r="T16" s="8">
        <f>'All Players'!V123</f>
        <v>79</v>
      </c>
      <c r="U16" s="49">
        <f t="shared" si="4"/>
        <v>36.875</v>
      </c>
      <c r="V16" s="6" t="str">
        <f>A51</f>
        <v>Quick and stealthy like a lynx, his movements on the field are both fluid and unpredictable.</v>
      </c>
    </row>
    <row r="17" spans="1:22" x14ac:dyDescent="0.25">
      <c r="A17" s="8" t="str">
        <f>'All Players'!C124</f>
        <v>RW</v>
      </c>
      <c r="B17" s="8" t="str">
        <f>'All Players'!D124</f>
        <v>Andrés</v>
      </c>
      <c r="C17" s="8" t="str">
        <f>'All Players'!E124</f>
        <v>Arroyo</v>
      </c>
      <c r="D17" s="8" t="str">
        <f>'All Players'!F124</f>
        <v>A. Arroyo</v>
      </c>
      <c r="E17" s="8" t="str">
        <f>'All Players'!G124</f>
        <v>Aire</v>
      </c>
      <c r="F17" s="8">
        <f>'All Players'!H124</f>
        <v>100</v>
      </c>
      <c r="G17" s="8">
        <f>'All Players'!I124</f>
        <v>76</v>
      </c>
      <c r="H17" s="8">
        <f>'All Players'!J124</f>
        <v>18</v>
      </c>
      <c r="I17" s="8">
        <f>'All Players'!K124</f>
        <v>94</v>
      </c>
      <c r="J17" s="5">
        <f t="shared" si="2"/>
        <v>72</v>
      </c>
      <c r="K17" s="8">
        <f>'All Players'!M124</f>
        <v>83</v>
      </c>
      <c r="L17" s="8">
        <f>'All Players'!N124</f>
        <v>72</v>
      </c>
      <c r="M17" s="5">
        <f>O17</f>
        <v>89.6</v>
      </c>
      <c r="N17" s="5">
        <f t="shared" si="7"/>
        <v>26.88</v>
      </c>
      <c r="O17" s="11">
        <f>F17*Formuals!B12+G17*Formuals!C12+H17*Formuals!D12+I17*Formuals!E12</f>
        <v>89.6</v>
      </c>
      <c r="P17" s="10">
        <f t="shared" si="8"/>
        <v>0.24331669269956002</v>
      </c>
      <c r="Q17" s="10">
        <f t="shared" si="3"/>
        <v>1.9353599999999997</v>
      </c>
      <c r="R17" s="8" t="str">
        <f>'All Players'!T124</f>
        <v>Columbia</v>
      </c>
      <c r="S17" s="8">
        <f>'All Players'!U124</f>
        <v>28</v>
      </c>
      <c r="T17" s="8">
        <f>'All Players'!V124</f>
        <v>99</v>
      </c>
      <c r="U17" s="49">
        <f t="shared" si="4"/>
        <v>53.3</v>
      </c>
      <c r="V17" s="6" t="str">
        <f>A54</f>
        <v>His ability to find space and move through defenses is as if he's gliding on air, always ready to strike.</v>
      </c>
    </row>
    <row r="18" spans="1:22" x14ac:dyDescent="0.25">
      <c r="F18" s="18">
        <f t="shared" ref="F18:G18" si="9">LARGE(F7:F17,1) - SMALL(F7:F17,1)</f>
        <v>23</v>
      </c>
      <c r="G18" s="18">
        <f t="shared" si="9"/>
        <v>42</v>
      </c>
      <c r="H18" s="18">
        <f>LARGE(H7:H17,1) - SMALL(H7:H17,1)</f>
        <v>19</v>
      </c>
      <c r="I18" s="18">
        <f>LARGE(I7:I17,1) - SMALL(I7:I17,1)</f>
        <v>20</v>
      </c>
      <c r="J18" s="19">
        <f t="shared" ref="J18:L18" si="10">LARGE(J7:J17,1) - SMALL(J7:J17,1)</f>
        <v>13.75</v>
      </c>
      <c r="K18" s="18">
        <f t="shared" si="10"/>
        <v>9</v>
      </c>
      <c r="L18" s="18">
        <f t="shared" si="10"/>
        <v>8</v>
      </c>
      <c r="O18" s="19">
        <f t="shared" ref="O18" si="11">LARGE(O7:O17,1) - SMALL(O7:O17,1)</f>
        <v>50.75</v>
      </c>
      <c r="P18" s="48">
        <f>SUM(P7:P17)</f>
        <v>1.1140848672322443</v>
      </c>
      <c r="S18">
        <f>AVERAGE(S7:S17)</f>
        <v>29.09090909090909</v>
      </c>
      <c r="T18">
        <f>AVERAGE(T7:T17)</f>
        <v>73.272727272727266</v>
      </c>
      <c r="U18" s="50">
        <f>SUM(U7:U17)</f>
        <v>322.13749999999999</v>
      </c>
    </row>
    <row r="19" spans="1:22" x14ac:dyDescent="0.25">
      <c r="B19" s="3" t="s">
        <v>1</v>
      </c>
      <c r="C19" s="3" t="s">
        <v>2</v>
      </c>
      <c r="D19" s="3" t="s">
        <v>3</v>
      </c>
    </row>
    <row r="20" spans="1:22" x14ac:dyDescent="0.25">
      <c r="A20" s="3" t="s">
        <v>4</v>
      </c>
      <c r="B20" s="2">
        <f>AVERAGE(O7:O12)*0.1+AVERAGE(O13:O17)*0.9</f>
        <v>78.33241666666666</v>
      </c>
      <c r="C20" s="2">
        <f>AVERAGE(O7:O12)*0.9+AVERAGE(O13:O17)*0.1</f>
        <v>58.751750000000001</v>
      </c>
      <c r="D20" s="2">
        <f>AVERAGE(K7:K17)*0.5+AVERAGE(L7:L17)*0.5</f>
        <v>80</v>
      </c>
    </row>
    <row r="22" spans="1:22" x14ac:dyDescent="0.25">
      <c r="A22" t="s">
        <v>170</v>
      </c>
    </row>
    <row r="24" spans="1:22" x14ac:dyDescent="0.25">
      <c r="A24" t="s">
        <v>159</v>
      </c>
    </row>
    <row r="25" spans="1:22" x14ac:dyDescent="0.25">
      <c r="A25" t="s">
        <v>171</v>
      </c>
    </row>
    <row r="27" spans="1:22" x14ac:dyDescent="0.25">
      <c r="A27" t="s">
        <v>160</v>
      </c>
    </row>
    <row r="28" spans="1:22" x14ac:dyDescent="0.25">
      <c r="A28" t="s">
        <v>172</v>
      </c>
    </row>
    <row r="30" spans="1:22" x14ac:dyDescent="0.25">
      <c r="A30" t="s">
        <v>161</v>
      </c>
    </row>
    <row r="31" spans="1:22" x14ac:dyDescent="0.25">
      <c r="A31" t="s">
        <v>173</v>
      </c>
    </row>
    <row r="33" spans="1:1" x14ac:dyDescent="0.25">
      <c r="A33" t="s">
        <v>162</v>
      </c>
    </row>
    <row r="34" spans="1:1" x14ac:dyDescent="0.25">
      <c r="A34" t="s">
        <v>174</v>
      </c>
    </row>
    <row r="36" spans="1:1" x14ac:dyDescent="0.25">
      <c r="A36" t="s">
        <v>163</v>
      </c>
    </row>
    <row r="37" spans="1:1" x14ac:dyDescent="0.25">
      <c r="A37" t="s">
        <v>175</v>
      </c>
    </row>
    <row r="39" spans="1:1" x14ac:dyDescent="0.25">
      <c r="A39" t="s">
        <v>164</v>
      </c>
    </row>
    <row r="40" spans="1:1" x14ac:dyDescent="0.25">
      <c r="A40" t="s">
        <v>176</v>
      </c>
    </row>
    <row r="42" spans="1:1" x14ac:dyDescent="0.25">
      <c r="A42" t="s">
        <v>165</v>
      </c>
    </row>
    <row r="43" spans="1:1" x14ac:dyDescent="0.25">
      <c r="A43" t="s">
        <v>177</v>
      </c>
    </row>
    <row r="45" spans="1:1" x14ac:dyDescent="0.25">
      <c r="A45" t="s">
        <v>166</v>
      </c>
    </row>
    <row r="46" spans="1:1" x14ac:dyDescent="0.25">
      <c r="A46" t="s">
        <v>178</v>
      </c>
    </row>
    <row r="48" spans="1:1" x14ac:dyDescent="0.25">
      <c r="A48" t="s">
        <v>167</v>
      </c>
    </row>
    <row r="49" spans="1:1" x14ac:dyDescent="0.25">
      <c r="A49" t="s">
        <v>179</v>
      </c>
    </row>
    <row r="51" spans="1:1" x14ac:dyDescent="0.25">
      <c r="A51" t="s">
        <v>168</v>
      </c>
    </row>
    <row r="52" spans="1:1" x14ac:dyDescent="0.25">
      <c r="A52" t="s">
        <v>180</v>
      </c>
    </row>
    <row r="54" spans="1:1" x14ac:dyDescent="0.25">
      <c r="A54" t="s">
        <v>169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11F8E-14AB-4CAD-BB40-BD6EBD7ABC96}">
  <sheetPr codeName="Sheet16">
    <tabColor theme="6"/>
  </sheetPr>
  <dimension ref="A1:V54"/>
  <sheetViews>
    <sheetView workbookViewId="0">
      <selection activeCell="T22" sqref="T22"/>
    </sheetView>
  </sheetViews>
  <sheetFormatPr defaultRowHeight="15" x14ac:dyDescent="0.25"/>
  <cols>
    <col min="2" max="2" width="10.5703125" bestFit="1" customWidth="1"/>
    <col min="3" max="3" width="10.140625" bestFit="1" customWidth="1"/>
    <col min="4" max="4" width="11.85546875" bestFit="1" customWidth="1"/>
    <col min="5" max="5" width="10.7109375" bestFit="1" customWidth="1"/>
  </cols>
  <sheetData>
    <row r="1" spans="1:22" x14ac:dyDescent="0.25">
      <c r="A1" s="3" t="s">
        <v>19</v>
      </c>
      <c r="B1" s="6" t="s">
        <v>34</v>
      </c>
      <c r="K1">
        <f ca="1">RANDBETWEEN(K$4-5,K$4+5)</f>
        <v>80</v>
      </c>
      <c r="L1">
        <f ca="1">RANDBETWEEN(L$4-5,L$4+5)</f>
        <v>29</v>
      </c>
    </row>
    <row r="2" spans="1:22" x14ac:dyDescent="0.25">
      <c r="A2" s="3" t="s">
        <v>20</v>
      </c>
      <c r="B2" s="6" t="s">
        <v>182</v>
      </c>
    </row>
    <row r="3" spans="1:22" x14ac:dyDescent="0.25">
      <c r="A3" s="3" t="s">
        <v>138</v>
      </c>
      <c r="B3" s="6" t="str">
        <f>VLOOKUP(B1,STATS!L1:AA21,16,FALSE)</f>
        <v>Burma</v>
      </c>
    </row>
    <row r="4" spans="1:22" x14ac:dyDescent="0.25">
      <c r="A4" s="3" t="s">
        <v>22</v>
      </c>
      <c r="B4" s="1">
        <f>((B20+C20)/2)*((D20+50)/100)</f>
        <v>59.12074810606061</v>
      </c>
      <c r="F4">
        <f>VLOOKUP($B$1,STATS!$L$1:$Q$21,3,FALSE)</f>
        <v>65</v>
      </c>
      <c r="G4">
        <f>VLOOKUP($B$1,STATS!$L$1:$Q$21,4,FALSE)</f>
        <v>45</v>
      </c>
      <c r="H4">
        <f>VLOOKUP($B$1,STATS!$L$1:$Q$21,5,FALSE)</f>
        <v>55</v>
      </c>
      <c r="I4">
        <f>VLOOKUP($B$1,STATS!$L$1:$Q$21,6,FALSE)</f>
        <v>60</v>
      </c>
      <c r="J4">
        <f>AVERAGE(F4:I4)</f>
        <v>56.25</v>
      </c>
      <c r="K4">
        <v>85</v>
      </c>
      <c r="L4">
        <v>30</v>
      </c>
    </row>
    <row r="5" spans="1:22" x14ac:dyDescent="0.25">
      <c r="F5" s="12">
        <f t="shared" ref="F5:H5" si="0">AVERAGE(F7:F17)</f>
        <v>62.727272727272727</v>
      </c>
      <c r="G5" s="12">
        <f t="shared" si="0"/>
        <v>42.81818181818182</v>
      </c>
      <c r="H5" s="12">
        <f t="shared" si="0"/>
        <v>50.81818181818182</v>
      </c>
      <c r="I5" s="12">
        <f>AVERAGE(I7:I17)</f>
        <v>61.090909090909093</v>
      </c>
      <c r="J5" s="12">
        <f>AVERAGE(J7:J17)</f>
        <v>54.363636363636367</v>
      </c>
      <c r="K5" s="12">
        <f t="shared" ref="K5:M5" si="1">AVERAGE(K7:K17)</f>
        <v>84.909090909090907</v>
      </c>
      <c r="L5" s="12">
        <f t="shared" si="1"/>
        <v>28.727272727272727</v>
      </c>
      <c r="M5" s="12">
        <f t="shared" si="1"/>
        <v>34.033409090909089</v>
      </c>
      <c r="N5" s="12">
        <f>AVERAGE(N7:N17)</f>
        <v>39.027272727272724</v>
      </c>
      <c r="O5" s="12">
        <f>AVERAGE(O7:O17)</f>
        <v>55.115909090909092</v>
      </c>
    </row>
    <row r="6" spans="1:22" x14ac:dyDescent="0.25">
      <c r="A6" s="3" t="s">
        <v>7</v>
      </c>
      <c r="B6" s="3" t="s">
        <v>8</v>
      </c>
      <c r="C6" s="3" t="s">
        <v>9</v>
      </c>
      <c r="D6" s="3" t="s">
        <v>44</v>
      </c>
      <c r="E6" s="3" t="s">
        <v>50</v>
      </c>
      <c r="F6" s="3" t="s">
        <v>17</v>
      </c>
      <c r="G6" s="3" t="s">
        <v>14</v>
      </c>
      <c r="H6" s="3" t="s">
        <v>15</v>
      </c>
      <c r="I6" s="3" t="s">
        <v>16</v>
      </c>
      <c r="J6" s="3" t="s">
        <v>48</v>
      </c>
      <c r="K6" s="3" t="s">
        <v>3</v>
      </c>
      <c r="L6" s="3" t="s">
        <v>10</v>
      </c>
      <c r="M6" s="3" t="s">
        <v>1</v>
      </c>
      <c r="N6" s="3" t="s">
        <v>12</v>
      </c>
      <c r="O6" s="3" t="s">
        <v>4</v>
      </c>
      <c r="P6" s="3" t="s">
        <v>49</v>
      </c>
      <c r="Q6" s="3" t="s">
        <v>47</v>
      </c>
      <c r="R6" s="3" t="s">
        <v>138</v>
      </c>
      <c r="S6" s="3" t="s">
        <v>1354</v>
      </c>
      <c r="T6" s="3" t="s">
        <v>1355</v>
      </c>
      <c r="U6" s="3" t="s">
        <v>1356</v>
      </c>
      <c r="V6" s="3" t="s">
        <v>13</v>
      </c>
    </row>
    <row r="7" spans="1:22" x14ac:dyDescent="0.25">
      <c r="A7" s="8" t="str">
        <f>'All Players'!C125</f>
        <v>GK</v>
      </c>
      <c r="B7" s="8" t="str">
        <f>'All Players'!D125</f>
        <v>Min</v>
      </c>
      <c r="C7" s="8" t="str">
        <f>'All Players'!E125</f>
        <v>Kyaw</v>
      </c>
      <c r="D7" s="8" t="str">
        <f>'All Players'!F125</f>
        <v>M. Kyaw</v>
      </c>
      <c r="E7" s="8" t="str">
        <f>'All Players'!G125</f>
        <v>Constrictor</v>
      </c>
      <c r="F7" s="8">
        <f>'All Players'!H125</f>
        <v>60</v>
      </c>
      <c r="G7" s="8">
        <f>'All Players'!I125</f>
        <v>43</v>
      </c>
      <c r="H7" s="8">
        <f>'All Players'!J125</f>
        <v>55</v>
      </c>
      <c r="I7" s="8">
        <f>'All Players'!K125</f>
        <v>61</v>
      </c>
      <c r="J7" s="5">
        <f t="shared" ref="J7:J17" si="2">AVERAGE(F7:I7)</f>
        <v>54.75</v>
      </c>
      <c r="K7" s="8">
        <f>'All Players'!M125</f>
        <v>83</v>
      </c>
      <c r="L7" s="8">
        <f>'All Players'!N125</f>
        <v>26</v>
      </c>
      <c r="M7" s="4">
        <f>AVERAGE(F7:I7)*0</f>
        <v>0</v>
      </c>
      <c r="N7" s="5">
        <f>O7</f>
        <v>53.699999999999996</v>
      </c>
      <c r="O7" s="11">
        <f>F7*Formuals!B2+G7*Formuals!C2+H7*Formuals!D2+I7*Formuals!E2</f>
        <v>53.699999999999996</v>
      </c>
      <c r="P7" s="10">
        <f>((M7/SUM($M$7:$M$17)))</f>
        <v>0</v>
      </c>
      <c r="Q7" s="10">
        <f t="shared" ref="Q7:Q17" si="3">((M7/100)*(L7/100))*3</f>
        <v>0</v>
      </c>
      <c r="R7" s="8" t="str">
        <f>'All Players'!T125</f>
        <v>Burma</v>
      </c>
      <c r="S7" s="8">
        <f>'All Players'!U125</f>
        <v>34</v>
      </c>
      <c r="T7" s="8">
        <f>'All Players'!V125</f>
        <v>54</v>
      </c>
      <c r="U7" s="49">
        <f t="shared" ref="U7:U17" si="4">IF((O7*0.5)+((T7*0.5)-((S7-18)*0.1))-40&lt;0,"0",(O7*0.5)+((T7*0.5)-((S7-18)*0.1))-40)</f>
        <v>12.25</v>
      </c>
      <c r="V7" s="6" t="str">
        <f>A24</f>
        <v>Known for his ability to constrict the goal area, making it tough for opponents to score.</v>
      </c>
    </row>
    <row r="8" spans="1:22" x14ac:dyDescent="0.25">
      <c r="A8" s="8" t="str">
        <f>'All Players'!C126</f>
        <v>LB</v>
      </c>
      <c r="B8" s="8" t="str">
        <f>'All Players'!D126</f>
        <v>Aung</v>
      </c>
      <c r="C8" s="8" t="str">
        <f>'All Players'!E126</f>
        <v>Htet</v>
      </c>
      <c r="D8" s="8" t="str">
        <f>'All Players'!F126</f>
        <v>A. Htet</v>
      </c>
      <c r="E8" s="8" t="str">
        <f>'All Players'!G126</f>
        <v>Anaconda</v>
      </c>
      <c r="F8" s="8">
        <f>'All Players'!H126</f>
        <v>76</v>
      </c>
      <c r="G8" s="8">
        <f>'All Players'!I126</f>
        <v>43</v>
      </c>
      <c r="H8" s="8">
        <f>'All Players'!J126</f>
        <v>44</v>
      </c>
      <c r="I8" s="8">
        <f>'All Players'!K126</f>
        <v>62</v>
      </c>
      <c r="J8" s="5">
        <f t="shared" si="2"/>
        <v>56.25</v>
      </c>
      <c r="K8" s="8">
        <f>'All Players'!M126</f>
        <v>84</v>
      </c>
      <c r="L8" s="8">
        <f>'All Players'!N126</f>
        <v>32</v>
      </c>
      <c r="M8" s="5">
        <f>0.4*O8</f>
        <v>21.6</v>
      </c>
      <c r="N8" s="5">
        <f>0.9*O8</f>
        <v>48.6</v>
      </c>
      <c r="O8" s="11">
        <f>F8*Formuals!B3+G8*Formuals!C3+H8*Formuals!D3+I8*Formuals!E3</f>
        <v>54</v>
      </c>
      <c r="P8" s="10">
        <f t="shared" ref="P8:P10" si="5">((M8/SUM($M$7:$M$17)))*0.67</f>
        <v>3.8657201813725818E-2</v>
      </c>
      <c r="Q8" s="10">
        <f t="shared" si="3"/>
        <v>0.20736000000000004</v>
      </c>
      <c r="R8" s="8" t="str">
        <f>'All Players'!T126</f>
        <v>Burma</v>
      </c>
      <c r="S8" s="8">
        <f>'All Players'!U126</f>
        <v>25</v>
      </c>
      <c r="T8" s="8">
        <f>'All Players'!V126</f>
        <v>70</v>
      </c>
      <c r="U8" s="49">
        <f t="shared" si="4"/>
        <v>21.299999999999997</v>
      </c>
      <c r="V8" s="6" t="str">
        <f>A27</f>
        <v>His playing style is like an anaconda, powerful and overwhelming in defense.</v>
      </c>
    </row>
    <row r="9" spans="1:22" x14ac:dyDescent="0.25">
      <c r="A9" s="8" t="str">
        <f>'All Players'!C127</f>
        <v>CB</v>
      </c>
      <c r="B9" s="8" t="str">
        <f>'All Players'!D127</f>
        <v>Thet</v>
      </c>
      <c r="C9" s="8" t="str">
        <f>'All Players'!E127</f>
        <v>Soe</v>
      </c>
      <c r="D9" s="8" t="str">
        <f>'All Players'!F127</f>
        <v>T. Soe</v>
      </c>
      <c r="E9" s="8" t="str">
        <f>'All Players'!G127</f>
        <v>Python</v>
      </c>
      <c r="F9" s="8">
        <f>'All Players'!H127</f>
        <v>52</v>
      </c>
      <c r="G9" s="8">
        <f>'All Players'!I127</f>
        <v>45</v>
      </c>
      <c r="H9" s="8">
        <f>'All Players'!J127</f>
        <v>51</v>
      </c>
      <c r="I9" s="8">
        <f>'All Players'!K127</f>
        <v>65</v>
      </c>
      <c r="J9" s="5">
        <f t="shared" si="2"/>
        <v>53.25</v>
      </c>
      <c r="K9" s="8">
        <f>'All Players'!M127</f>
        <v>90</v>
      </c>
      <c r="L9" s="8">
        <f>'All Players'!N127</f>
        <v>28</v>
      </c>
      <c r="M9" s="5">
        <f>O9*0.3</f>
        <v>15.6975</v>
      </c>
      <c r="N9" s="5">
        <f>O9</f>
        <v>52.325000000000003</v>
      </c>
      <c r="O9" s="11">
        <f>F9*Formuals!B4+G9*Formuals!C4+H9*Formuals!D4+I9*Formuals!E4</f>
        <v>52.325000000000003</v>
      </c>
      <c r="P9" s="10">
        <f t="shared" si="5"/>
        <v>2.8093584512544491E-2</v>
      </c>
      <c r="Q9" s="10">
        <f t="shared" si="3"/>
        <v>0.131859</v>
      </c>
      <c r="R9" s="8" t="str">
        <f>'All Players'!T127</f>
        <v>Burma</v>
      </c>
      <c r="S9" s="8">
        <f>'All Players'!U127</f>
        <v>24</v>
      </c>
      <c r="T9" s="8">
        <f>'All Players'!V127</f>
        <v>74</v>
      </c>
      <c r="U9" s="49">
        <f t="shared" si="4"/>
        <v>22.5625</v>
      </c>
      <c r="V9" s="6" t="str">
        <f>A30</f>
        <v>Dominant in defense, his tackles and interceptions are as precise as a python's strike.</v>
      </c>
    </row>
    <row r="10" spans="1:22" x14ac:dyDescent="0.25">
      <c r="A10" s="8" t="str">
        <f>'All Players'!C128</f>
        <v>CB</v>
      </c>
      <c r="B10" s="8" t="str">
        <f>'All Players'!D128</f>
        <v>Zaw</v>
      </c>
      <c r="C10" s="8" t="str">
        <f>'All Players'!E128</f>
        <v>Maung</v>
      </c>
      <c r="D10" s="8" t="str">
        <f>'All Players'!F128</f>
        <v>Z. Maung</v>
      </c>
      <c r="E10" s="8" t="str">
        <f>'All Players'!G128</f>
        <v>Viper</v>
      </c>
      <c r="F10" s="8">
        <f>'All Players'!H128</f>
        <v>57</v>
      </c>
      <c r="G10" s="8">
        <f>'All Players'!I128</f>
        <v>25</v>
      </c>
      <c r="H10" s="8">
        <f>'All Players'!J128</f>
        <v>65</v>
      </c>
      <c r="I10" s="8">
        <f>'All Players'!K128</f>
        <v>56</v>
      </c>
      <c r="J10" s="5">
        <f t="shared" si="2"/>
        <v>50.75</v>
      </c>
      <c r="K10" s="8">
        <f>'All Players'!M128</f>
        <v>89</v>
      </c>
      <c r="L10" s="8">
        <f>'All Players'!N128</f>
        <v>28</v>
      </c>
      <c r="M10" s="5">
        <f>O10*0.3</f>
        <v>16.994999999999997</v>
      </c>
      <c r="N10" s="5">
        <f>O10</f>
        <v>56.65</v>
      </c>
      <c r="O10" s="11">
        <f>F10*Formuals!B5+G10*Formuals!C5+H10*Formuals!D5+I10*Formuals!E5</f>
        <v>56.65</v>
      </c>
      <c r="P10" s="10">
        <f t="shared" si="5"/>
        <v>3.0415701149271768E-2</v>
      </c>
      <c r="Q10" s="10">
        <f t="shared" si="3"/>
        <v>0.142758</v>
      </c>
      <c r="R10" s="8" t="str">
        <f>'All Players'!T128</f>
        <v>Burma</v>
      </c>
      <c r="S10" s="8">
        <f>'All Players'!U128</f>
        <v>22</v>
      </c>
      <c r="T10" s="8">
        <f>'All Players'!V128</f>
        <v>63</v>
      </c>
      <c r="U10" s="49">
        <f t="shared" si="4"/>
        <v>19.424999999999997</v>
      </c>
      <c r="V10" s="6" t="str">
        <f>A33</f>
        <v>Quick and decisive, he's a viper in intercepting and clearing the ball from danger.</v>
      </c>
    </row>
    <row r="11" spans="1:22" x14ac:dyDescent="0.25">
      <c r="A11" s="8" t="str">
        <f>'All Players'!C129</f>
        <v>RB</v>
      </c>
      <c r="B11" s="8" t="str">
        <f>'All Players'!D129</f>
        <v>Nay</v>
      </c>
      <c r="C11" s="8" t="str">
        <f>'All Players'!E129</f>
        <v>Aung</v>
      </c>
      <c r="D11" s="8" t="str">
        <f>'All Players'!F129</f>
        <v>N. Aung</v>
      </c>
      <c r="E11" s="8" t="str">
        <f>'All Players'!G129</f>
        <v>Naga</v>
      </c>
      <c r="F11" s="8">
        <f>'All Players'!H129</f>
        <v>63</v>
      </c>
      <c r="G11" s="8">
        <f>'All Players'!I129</f>
        <v>36</v>
      </c>
      <c r="H11" s="8">
        <f>'All Players'!J129</f>
        <v>57</v>
      </c>
      <c r="I11" s="8">
        <f>'All Players'!K129</f>
        <v>55</v>
      </c>
      <c r="J11" s="5">
        <f t="shared" si="2"/>
        <v>52.75</v>
      </c>
      <c r="K11" s="8">
        <f>'All Players'!M129</f>
        <v>81</v>
      </c>
      <c r="L11" s="8">
        <f>'All Players'!N129</f>
        <v>29</v>
      </c>
      <c r="M11" s="5">
        <f>0.4*O11</f>
        <v>21.24</v>
      </c>
      <c r="N11" s="5">
        <f>0.9*O11</f>
        <v>47.79</v>
      </c>
      <c r="O11" s="11">
        <f>F11*Formuals!B6+G11*Formuals!C6+H11*Formuals!D6+I11*Formuals!E6</f>
        <v>53.099999999999994</v>
      </c>
      <c r="P11" s="10">
        <f>((M11/SUM($M$7:$M$17)))*0.67</f>
        <v>3.8012915116830387E-2</v>
      </c>
      <c r="Q11" s="10">
        <f t="shared" si="3"/>
        <v>0.18478799999999998</v>
      </c>
      <c r="R11" s="8" t="str">
        <f>'All Players'!T129</f>
        <v>Burma</v>
      </c>
      <c r="S11" s="8">
        <f>'All Players'!U129</f>
        <v>27</v>
      </c>
      <c r="T11" s="8">
        <f>'All Players'!V129</f>
        <v>69</v>
      </c>
      <c r="U11" s="49">
        <f t="shared" si="4"/>
        <v>20.149999999999999</v>
      </c>
      <c r="V11" s="6" t="str">
        <f>A36</f>
        <v>His fluid movements and quick pace on the flank are reminiscent of the mythical Naga.</v>
      </c>
    </row>
    <row r="12" spans="1:22" x14ac:dyDescent="0.25">
      <c r="A12" s="8" t="str">
        <f>'All Players'!C130</f>
        <v>CDM</v>
      </c>
      <c r="B12" s="8" t="str">
        <f>'All Players'!D130</f>
        <v>Kyaw</v>
      </c>
      <c r="C12" s="8" t="str">
        <f>'All Players'!E130</f>
        <v>Hein</v>
      </c>
      <c r="D12" s="8" t="str">
        <f>'All Players'!F130</f>
        <v>K. Hein</v>
      </c>
      <c r="E12" s="8" t="str">
        <f>'All Players'!G130</f>
        <v>Krait</v>
      </c>
      <c r="F12" s="8">
        <f>'All Players'!H130</f>
        <v>68</v>
      </c>
      <c r="G12" s="8">
        <f>'All Players'!I130</f>
        <v>44</v>
      </c>
      <c r="H12" s="8">
        <f>'All Players'!J130</f>
        <v>40</v>
      </c>
      <c r="I12" s="8">
        <f>'All Players'!K130</f>
        <v>51</v>
      </c>
      <c r="J12" s="5">
        <f t="shared" si="2"/>
        <v>50.75</v>
      </c>
      <c r="K12" s="8">
        <f>'All Players'!M130</f>
        <v>84</v>
      </c>
      <c r="L12" s="8">
        <f>'All Players'!N130</f>
        <v>32</v>
      </c>
      <c r="M12" s="5">
        <f>O12*0.6</f>
        <v>28.229999999999997</v>
      </c>
      <c r="N12" s="5">
        <f>O12*0.9</f>
        <v>42.344999999999999</v>
      </c>
      <c r="O12" s="11">
        <f>F12*Formuals!B7+G12*Formuals!C7+H12*Formuals!D7+I12*Formuals!E7</f>
        <v>47.05</v>
      </c>
      <c r="P12" s="10">
        <f t="shared" ref="P12:P14" si="6">((M12/SUM($M$7:$M$17)))</f>
        <v>7.5407186788383068E-2</v>
      </c>
      <c r="Q12" s="10">
        <f t="shared" si="3"/>
        <v>0.27100800000000003</v>
      </c>
      <c r="R12" s="8" t="str">
        <f>'All Players'!T130</f>
        <v>Burma</v>
      </c>
      <c r="S12" s="8">
        <f>'All Players'!U130</f>
        <v>32</v>
      </c>
      <c r="T12" s="8">
        <f>'All Players'!V130</f>
        <v>53</v>
      </c>
      <c r="U12" s="49">
        <f t="shared" si="4"/>
        <v>8.625</v>
      </c>
      <c r="V12" s="6" t="str">
        <f>A39</f>
        <v>Known for his venomous tackles and solid control in the midfield.</v>
      </c>
    </row>
    <row r="13" spans="1:22" x14ac:dyDescent="0.25">
      <c r="A13" s="8" t="str">
        <f>'All Players'!C131</f>
        <v>CM</v>
      </c>
      <c r="B13" s="8" t="str">
        <f>'All Players'!D131</f>
        <v>Htin</v>
      </c>
      <c r="C13" s="8" t="str">
        <f>'All Players'!E131</f>
        <v>Win</v>
      </c>
      <c r="D13" s="8" t="str">
        <f>'All Players'!F131</f>
        <v>H. Win</v>
      </c>
      <c r="E13" s="8" t="str">
        <f>'All Players'!G131</f>
        <v>Cobra</v>
      </c>
      <c r="F13" s="8">
        <f>'All Players'!H131</f>
        <v>75</v>
      </c>
      <c r="G13" s="8">
        <f>'All Players'!I131</f>
        <v>36</v>
      </c>
      <c r="H13" s="8">
        <f>'All Players'!J131</f>
        <v>52</v>
      </c>
      <c r="I13" s="8">
        <f>'All Players'!K131</f>
        <v>59</v>
      </c>
      <c r="J13" s="5">
        <f t="shared" si="2"/>
        <v>55.5</v>
      </c>
      <c r="K13" s="8">
        <f>'All Players'!M131</f>
        <v>80</v>
      </c>
      <c r="L13" s="8">
        <f>'All Players'!N131</f>
        <v>32</v>
      </c>
      <c r="M13" s="5">
        <f>O13*0.75</f>
        <v>38.700000000000003</v>
      </c>
      <c r="N13" s="5">
        <f>O13*0.75</f>
        <v>38.700000000000003</v>
      </c>
      <c r="O13" s="11">
        <f>F13*Formuals!B8+G13*Formuals!C8+H13*Formuals!D8+I13*Formuals!E8</f>
        <v>51.6</v>
      </c>
      <c r="P13" s="10">
        <f t="shared" si="6"/>
        <v>0.1033743580839683</v>
      </c>
      <c r="Q13" s="10">
        <f t="shared" si="3"/>
        <v>0.37152000000000002</v>
      </c>
      <c r="R13" s="8" t="str">
        <f>'All Players'!T131</f>
        <v>Burma</v>
      </c>
      <c r="S13" s="8">
        <f>'All Players'!U131</f>
        <v>30</v>
      </c>
      <c r="T13" s="8">
        <f>'All Players'!V131</f>
        <v>55</v>
      </c>
      <c r="U13" s="49">
        <f t="shared" si="4"/>
        <v>12.100000000000001</v>
      </c>
      <c r="V13" s="6" t="str">
        <f>A42</f>
        <v>His sharp passes and strikes are as threatening as a cobra's bite.</v>
      </c>
    </row>
    <row r="14" spans="1:22" x14ac:dyDescent="0.25">
      <c r="A14" s="8" t="str">
        <f>'All Players'!C132</f>
        <v>CAM</v>
      </c>
      <c r="B14" s="8" t="str">
        <f>'All Players'!D132</f>
        <v>Soe</v>
      </c>
      <c r="C14" s="8" t="str">
        <f>'All Players'!E132</f>
        <v>Thu</v>
      </c>
      <c r="D14" s="8" t="str">
        <f>'All Players'!F132</f>
        <v>S. Thu</v>
      </c>
      <c r="E14" s="8" t="str">
        <f>'All Players'!G132</f>
        <v>Serpent</v>
      </c>
      <c r="F14" s="8">
        <f>'All Players'!H132</f>
        <v>58</v>
      </c>
      <c r="G14" s="8">
        <f>'All Players'!I132</f>
        <v>61</v>
      </c>
      <c r="H14" s="8">
        <f>'All Players'!J132</f>
        <v>43</v>
      </c>
      <c r="I14" s="8">
        <f>'All Players'!K132</f>
        <v>63</v>
      </c>
      <c r="J14" s="5">
        <f t="shared" si="2"/>
        <v>56.25</v>
      </c>
      <c r="K14" s="8">
        <f>'All Players'!M132</f>
        <v>86</v>
      </c>
      <c r="L14" s="8">
        <f>'All Players'!N132</f>
        <v>25</v>
      </c>
      <c r="M14" s="5">
        <f>O14*0.9</f>
        <v>53.505000000000003</v>
      </c>
      <c r="N14" s="5">
        <f>O14*0.6</f>
        <v>35.67</v>
      </c>
      <c r="O14" s="11">
        <f>F14*Formuals!B9+G14*Formuals!C9+H14*Formuals!D9+I14*Formuals!E9</f>
        <v>59.45</v>
      </c>
      <c r="P14" s="10">
        <f t="shared" si="6"/>
        <v>0.14292106018818407</v>
      </c>
      <c r="Q14" s="10">
        <f t="shared" si="3"/>
        <v>0.40128750000000002</v>
      </c>
      <c r="R14" s="8" t="str">
        <f>'All Players'!T132</f>
        <v>Burma</v>
      </c>
      <c r="S14" s="8">
        <f>'All Players'!U132</f>
        <v>24</v>
      </c>
      <c r="T14" s="8">
        <f>'All Players'!V132</f>
        <v>67</v>
      </c>
      <c r="U14" s="49">
        <f t="shared" si="4"/>
        <v>22.625</v>
      </c>
      <c r="V14" s="6" t="str">
        <f>A45</f>
        <v>With his sly movements and cunning play, he's like a serpent in the heart of the field.</v>
      </c>
    </row>
    <row r="15" spans="1:22" x14ac:dyDescent="0.25">
      <c r="A15" s="8" t="str">
        <f>'All Players'!C133</f>
        <v>LW</v>
      </c>
      <c r="B15" s="8" t="str">
        <f>'All Players'!D133</f>
        <v>Than</v>
      </c>
      <c r="C15" s="8" t="str">
        <f>'All Players'!E133</f>
        <v>Zaw</v>
      </c>
      <c r="D15" s="8" t="str">
        <f>'All Players'!F133</f>
        <v>T. Zaw</v>
      </c>
      <c r="E15" s="8" t="str">
        <f>'All Players'!G133</f>
        <v>Taipan</v>
      </c>
      <c r="F15" s="8">
        <f>'All Players'!H133</f>
        <v>56</v>
      </c>
      <c r="G15" s="8">
        <f>'All Players'!I133</f>
        <v>48</v>
      </c>
      <c r="H15" s="8">
        <f>'All Players'!J133</f>
        <v>61</v>
      </c>
      <c r="I15" s="8">
        <f>'All Players'!K133</f>
        <v>56</v>
      </c>
      <c r="J15" s="5">
        <f t="shared" si="2"/>
        <v>55.25</v>
      </c>
      <c r="K15" s="8">
        <f>'All Players'!M133</f>
        <v>88</v>
      </c>
      <c r="L15" s="8">
        <f>'All Players'!N133</f>
        <v>30</v>
      </c>
      <c r="M15" s="5">
        <f>O15</f>
        <v>55.05</v>
      </c>
      <c r="N15" s="5">
        <f>O15*0.3</f>
        <v>16.514999999999997</v>
      </c>
      <c r="O15" s="11">
        <f>F15*Formuals!B10+G15*Formuals!C10+H15*Formuals!D10+I15*Formuals!E10</f>
        <v>55.05</v>
      </c>
      <c r="P15" s="10">
        <f>((M15/SUM($M$7:$M$17)))*1.33</f>
        <v>0.1955738679238983</v>
      </c>
      <c r="Q15" s="10">
        <f t="shared" si="3"/>
        <v>0.49544999999999995</v>
      </c>
      <c r="R15" s="8" t="str">
        <f>'All Players'!T133</f>
        <v>Burma</v>
      </c>
      <c r="S15" s="8">
        <f>'All Players'!U133</f>
        <v>26</v>
      </c>
      <c r="T15" s="8">
        <f>'All Players'!V133</f>
        <v>69</v>
      </c>
      <c r="U15" s="49">
        <f t="shared" si="4"/>
        <v>21.225000000000001</v>
      </c>
      <c r="V15" s="6" t="str">
        <f>A48</f>
        <v>His quick, darting runs and crosses are as deadly as a taipan's strike.</v>
      </c>
    </row>
    <row r="16" spans="1:22" x14ac:dyDescent="0.25">
      <c r="A16" s="8" t="str">
        <f>'All Players'!C134</f>
        <v>ST</v>
      </c>
      <c r="B16" s="8" t="str">
        <f>'All Players'!D134</f>
        <v>Hlaing</v>
      </c>
      <c r="C16" s="8" t="str">
        <f>'All Players'!E134</f>
        <v>Oo</v>
      </c>
      <c r="D16" s="8" t="str">
        <f>'All Players'!F134</f>
        <v>H. Oo</v>
      </c>
      <c r="E16" s="8" t="str">
        <f>'All Players'!G134</f>
        <v>Mamba</v>
      </c>
      <c r="F16" s="8">
        <f>'All Players'!H134</f>
        <v>62</v>
      </c>
      <c r="G16" s="8">
        <f>'All Players'!I134</f>
        <v>51</v>
      </c>
      <c r="H16" s="8">
        <f>'All Players'!J134</f>
        <v>52</v>
      </c>
      <c r="I16" s="8">
        <f>'All Players'!K134</f>
        <v>73</v>
      </c>
      <c r="J16" s="5">
        <f t="shared" si="2"/>
        <v>59.5</v>
      </c>
      <c r="K16" s="8">
        <f>'All Players'!M134</f>
        <v>88</v>
      </c>
      <c r="L16" s="8">
        <f>'All Players'!N134</f>
        <v>28</v>
      </c>
      <c r="M16" s="5">
        <f>O16</f>
        <v>61.550000000000004</v>
      </c>
      <c r="N16" s="5">
        <f t="shared" ref="N16:N17" si="7">O16*0.3</f>
        <v>18.465</v>
      </c>
      <c r="O16" s="11">
        <f>F16*Formuals!B11+G16*Formuals!C11+H16*Formuals!D11+I16*Formuals!E11</f>
        <v>61.550000000000004</v>
      </c>
      <c r="P16" s="10">
        <f t="shared" ref="P16:P17" si="8">((M16/SUM($M$7:$M$17)))*1.33</f>
        <v>0.21866615024007161</v>
      </c>
      <c r="Q16" s="10">
        <f t="shared" si="3"/>
        <v>0.51702000000000004</v>
      </c>
      <c r="R16" s="8" t="str">
        <f>'All Players'!T134</f>
        <v>Burma</v>
      </c>
      <c r="S16" s="8">
        <f>'All Players'!U134</f>
        <v>29</v>
      </c>
      <c r="T16" s="8">
        <f>'All Players'!V134</f>
        <v>62</v>
      </c>
      <c r="U16" s="49">
        <f t="shared" si="4"/>
        <v>20.674999999999997</v>
      </c>
      <c r="V16" s="6" t="str">
        <f>A51</f>
        <v>Known for his rapid pace and lethal finishing, much like the swift mamba.</v>
      </c>
    </row>
    <row r="17" spans="1:22" x14ac:dyDescent="0.25">
      <c r="A17" s="8" t="str">
        <f>'All Players'!C135</f>
        <v>RW</v>
      </c>
      <c r="B17" s="8" t="str">
        <f>'All Players'!D135</f>
        <v>Wai</v>
      </c>
      <c r="C17" s="8" t="str">
        <f>'All Players'!E135</f>
        <v>Aye</v>
      </c>
      <c r="D17" s="8" t="str">
        <f>'All Players'!F135</f>
        <v>W. Aye</v>
      </c>
      <c r="E17" s="8" t="str">
        <f>'All Players'!G135</f>
        <v>Whip</v>
      </c>
      <c r="F17" s="8">
        <f>'All Players'!H135</f>
        <v>63</v>
      </c>
      <c r="G17" s="8">
        <f>'All Players'!I135</f>
        <v>39</v>
      </c>
      <c r="H17" s="8">
        <f>'All Players'!J135</f>
        <v>39</v>
      </c>
      <c r="I17" s="8">
        <f>'All Players'!K135</f>
        <v>71</v>
      </c>
      <c r="J17" s="5">
        <f t="shared" si="2"/>
        <v>53</v>
      </c>
      <c r="K17" s="8">
        <f>'All Players'!M135</f>
        <v>81</v>
      </c>
      <c r="L17" s="8">
        <f>'All Players'!N135</f>
        <v>26</v>
      </c>
      <c r="M17" s="5">
        <f>O17</f>
        <v>61.8</v>
      </c>
      <c r="N17" s="5">
        <f t="shared" si="7"/>
        <v>18.54</v>
      </c>
      <c r="O17" s="11">
        <f>F17*Formuals!B12+G17*Formuals!C12+H17*Formuals!D12+I17*Formuals!E12</f>
        <v>61.8</v>
      </c>
      <c r="P17" s="10">
        <f t="shared" si="8"/>
        <v>0.21955431494453981</v>
      </c>
      <c r="Q17" s="10">
        <f t="shared" si="3"/>
        <v>0.48204000000000002</v>
      </c>
      <c r="R17" s="8" t="str">
        <f>'All Players'!T135</f>
        <v>Burma</v>
      </c>
      <c r="S17" s="8">
        <f>'All Players'!U135</f>
        <v>24</v>
      </c>
      <c r="T17" s="8">
        <f>'All Players'!V135</f>
        <v>63</v>
      </c>
      <c r="U17" s="49">
        <f t="shared" si="4"/>
        <v>21.799999999999997</v>
      </c>
      <c r="V17" s="6" t="str">
        <f>A54</f>
        <v>His striking ability is as fast and impactful as a whip, always a threat in front of goal.</v>
      </c>
    </row>
    <row r="18" spans="1:22" x14ac:dyDescent="0.25">
      <c r="F18" s="18">
        <f t="shared" ref="F18:G18" si="9">LARGE(F7:F17,1) - SMALL(F7:F17,1)</f>
        <v>24</v>
      </c>
      <c r="G18" s="18">
        <f t="shared" si="9"/>
        <v>36</v>
      </c>
      <c r="H18" s="18">
        <f>LARGE(H7:H17,1) - SMALL(H7:H17,1)</f>
        <v>26</v>
      </c>
      <c r="I18" s="18">
        <f>LARGE(I7:I17,1) - SMALL(I7:I17,1)</f>
        <v>22</v>
      </c>
      <c r="J18" s="19">
        <f t="shared" ref="J18:L18" si="10">LARGE(J7:J17,1) - SMALL(J7:J17,1)</f>
        <v>8.75</v>
      </c>
      <c r="K18" s="18">
        <f t="shared" si="10"/>
        <v>10</v>
      </c>
      <c r="L18" s="18">
        <f t="shared" si="10"/>
        <v>7</v>
      </c>
      <c r="O18" s="19">
        <f t="shared" ref="O18" si="11">LARGE(O7:O17,1) - SMALL(O7:O17,1)</f>
        <v>14.75</v>
      </c>
      <c r="P18" s="48">
        <f>SUM(P7:P17)</f>
        <v>1.0906763407614175</v>
      </c>
      <c r="S18">
        <f>AVERAGE(S7:S17)</f>
        <v>27</v>
      </c>
      <c r="T18">
        <f>AVERAGE(T7:T17)</f>
        <v>63.545454545454547</v>
      </c>
      <c r="U18" s="50">
        <f>SUM(U7:U17)</f>
        <v>202.73750000000001</v>
      </c>
    </row>
    <row r="19" spans="1:22" x14ac:dyDescent="0.25">
      <c r="B19" s="3" t="s">
        <v>1</v>
      </c>
      <c r="C19" s="3" t="s">
        <v>2</v>
      </c>
      <c r="D19" s="3" t="s">
        <v>3</v>
      </c>
    </row>
    <row r="20" spans="1:22" x14ac:dyDescent="0.25">
      <c r="A20" s="3" t="s">
        <v>4</v>
      </c>
      <c r="B20" s="2">
        <f>AVERAGE(O7:O12)*0.1+AVERAGE(O13:O17)*0.9</f>
        <v>57.381416666666674</v>
      </c>
      <c r="C20" s="2">
        <f>AVERAGE(O7:O12)*0.9+AVERAGE(O13:O17)*0.1</f>
        <v>53.312750000000001</v>
      </c>
      <c r="D20" s="2">
        <f>AVERAGE(K7:K17)*0.5+AVERAGE(L7:L17)*0.5</f>
        <v>56.818181818181813</v>
      </c>
    </row>
    <row r="22" spans="1:22" x14ac:dyDescent="0.25">
      <c r="A22" t="s">
        <v>194</v>
      </c>
    </row>
    <row r="24" spans="1:22" x14ac:dyDescent="0.25">
      <c r="A24" t="s">
        <v>183</v>
      </c>
    </row>
    <row r="25" spans="1:22" x14ac:dyDescent="0.25">
      <c r="A25" t="s">
        <v>195</v>
      </c>
    </row>
    <row r="27" spans="1:22" x14ac:dyDescent="0.25">
      <c r="A27" t="s">
        <v>184</v>
      </c>
    </row>
    <row r="28" spans="1:22" x14ac:dyDescent="0.25">
      <c r="A28" t="s">
        <v>196</v>
      </c>
    </row>
    <row r="30" spans="1:22" x14ac:dyDescent="0.25">
      <c r="A30" t="s">
        <v>185</v>
      </c>
    </row>
    <row r="31" spans="1:22" x14ac:dyDescent="0.25">
      <c r="A31" t="s">
        <v>197</v>
      </c>
    </row>
    <row r="33" spans="1:1" x14ac:dyDescent="0.25">
      <c r="A33" t="s">
        <v>186</v>
      </c>
    </row>
    <row r="34" spans="1:1" x14ac:dyDescent="0.25">
      <c r="A34" t="s">
        <v>198</v>
      </c>
    </row>
    <row r="36" spans="1:1" x14ac:dyDescent="0.25">
      <c r="A36" t="s">
        <v>187</v>
      </c>
    </row>
    <row r="37" spans="1:1" x14ac:dyDescent="0.25">
      <c r="A37" t="s">
        <v>199</v>
      </c>
    </row>
    <row r="39" spans="1:1" x14ac:dyDescent="0.25">
      <c r="A39" t="s">
        <v>188</v>
      </c>
    </row>
    <row r="40" spans="1:1" x14ac:dyDescent="0.25">
      <c r="A40" t="s">
        <v>200</v>
      </c>
    </row>
    <row r="42" spans="1:1" x14ac:dyDescent="0.25">
      <c r="A42" t="s">
        <v>189</v>
      </c>
    </row>
    <row r="43" spans="1:1" x14ac:dyDescent="0.25">
      <c r="A43" t="s">
        <v>201</v>
      </c>
    </row>
    <row r="45" spans="1:1" x14ac:dyDescent="0.25">
      <c r="A45" t="s">
        <v>190</v>
      </c>
    </row>
    <row r="46" spans="1:1" x14ac:dyDescent="0.25">
      <c r="A46" t="s">
        <v>202</v>
      </c>
    </row>
    <row r="48" spans="1:1" x14ac:dyDescent="0.25">
      <c r="A48" t="s">
        <v>191</v>
      </c>
    </row>
    <row r="49" spans="1:1" x14ac:dyDescent="0.25">
      <c r="A49" t="s">
        <v>203</v>
      </c>
    </row>
    <row r="51" spans="1:1" x14ac:dyDescent="0.25">
      <c r="A51" t="s">
        <v>192</v>
      </c>
    </row>
    <row r="52" spans="1:1" x14ac:dyDescent="0.25">
      <c r="A52" t="s">
        <v>204</v>
      </c>
    </row>
    <row r="54" spans="1:1" x14ac:dyDescent="0.25">
      <c r="A54" t="s">
        <v>193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B76A1-56B3-4BA6-8AFD-918543FACAD1}">
  <sheetPr codeName="Sheet17">
    <tabColor theme="6"/>
  </sheetPr>
  <dimension ref="A1:V54"/>
  <sheetViews>
    <sheetView workbookViewId="0">
      <selection activeCell="M7" sqref="M7"/>
    </sheetView>
  </sheetViews>
  <sheetFormatPr defaultRowHeight="15" x14ac:dyDescent="0.25"/>
  <cols>
    <col min="1" max="1" width="8.28515625" bestFit="1" customWidth="1"/>
    <col min="2" max="2" width="10.5703125" bestFit="1" customWidth="1"/>
    <col min="3" max="3" width="10.140625" bestFit="1" customWidth="1"/>
    <col min="4" max="4" width="11.85546875" bestFit="1" customWidth="1"/>
    <col min="5" max="5" width="13.42578125" bestFit="1" customWidth="1"/>
  </cols>
  <sheetData>
    <row r="1" spans="1:22" x14ac:dyDescent="0.25">
      <c r="A1" s="3" t="s">
        <v>19</v>
      </c>
      <c r="B1" s="6" t="s">
        <v>35</v>
      </c>
      <c r="K1">
        <f ca="1">RANDBETWEEN(K$4-5,K$4+5)</f>
        <v>81</v>
      </c>
      <c r="L1">
        <f ca="1">RANDBETWEEN(L$4-5,L$4+5)</f>
        <v>92</v>
      </c>
    </row>
    <row r="2" spans="1:22" x14ac:dyDescent="0.25">
      <c r="A2" s="3" t="s">
        <v>20</v>
      </c>
      <c r="B2" s="6" t="s">
        <v>227</v>
      </c>
    </row>
    <row r="3" spans="1:22" x14ac:dyDescent="0.25">
      <c r="A3" s="3" t="s">
        <v>138</v>
      </c>
      <c r="B3" s="6" t="str">
        <f>VLOOKUP(B1,STATS!L1:AA21,16,FALSE)</f>
        <v>Indonesia</v>
      </c>
    </row>
    <row r="4" spans="1:22" x14ac:dyDescent="0.25">
      <c r="A4" s="3" t="s">
        <v>22</v>
      </c>
      <c r="B4" s="1">
        <f>((B20+C20)/2)*((D20+50)/100)</f>
        <v>85.795277651515164</v>
      </c>
      <c r="F4">
        <f>VLOOKUP($B$1,STATS!$L$1:$Q$21,3,FALSE)</f>
        <v>60</v>
      </c>
      <c r="G4">
        <f>VLOOKUP($B$1,STATS!$L$1:$Q$21,4,FALSE)</f>
        <v>100</v>
      </c>
      <c r="H4">
        <f>VLOOKUP($B$1,STATS!$L$1:$Q$21,5,FALSE)</f>
        <v>20</v>
      </c>
      <c r="I4">
        <f>VLOOKUP($B$1,STATS!$L$1:$Q$21,6,FALSE)</f>
        <v>70</v>
      </c>
      <c r="J4">
        <f>AVERAGE(F4:I4)</f>
        <v>62.5</v>
      </c>
      <c r="K4">
        <v>80</v>
      </c>
      <c r="L4">
        <v>95</v>
      </c>
    </row>
    <row r="5" spans="1:22" x14ac:dyDescent="0.25">
      <c r="F5" s="12">
        <f t="shared" ref="F5:H5" si="0">AVERAGE(F7:F17)</f>
        <v>60.272727272727273</v>
      </c>
      <c r="G5" s="12">
        <f t="shared" si="0"/>
        <v>97.272727272727266</v>
      </c>
      <c r="H5" s="12">
        <f t="shared" si="0"/>
        <v>23.272727272727273</v>
      </c>
      <c r="I5" s="12">
        <f>AVERAGE(I7:I17)</f>
        <v>67.545454545454547</v>
      </c>
      <c r="J5" s="12">
        <f>AVERAGE(J7:J17)</f>
        <v>62.090909090909093</v>
      </c>
      <c r="K5" s="12">
        <f t="shared" ref="K5:M5" si="1">AVERAGE(K7:K17)</f>
        <v>80.272727272727266</v>
      </c>
      <c r="L5" s="12">
        <f t="shared" si="1"/>
        <v>95.090909090909093</v>
      </c>
      <c r="M5" s="12">
        <f t="shared" si="1"/>
        <v>39.100227272727274</v>
      </c>
      <c r="N5" s="12">
        <f>AVERAGE(N7:N17)</f>
        <v>43.013863636363631</v>
      </c>
      <c r="O5" s="12">
        <f>AVERAGE(O7:O17)</f>
        <v>61.609090909090916</v>
      </c>
    </row>
    <row r="6" spans="1:22" x14ac:dyDescent="0.25">
      <c r="A6" s="3" t="s">
        <v>7</v>
      </c>
      <c r="B6" s="3" t="s">
        <v>8</v>
      </c>
      <c r="C6" s="3" t="s">
        <v>9</v>
      </c>
      <c r="D6" s="3" t="s">
        <v>44</v>
      </c>
      <c r="E6" s="3" t="s">
        <v>50</v>
      </c>
      <c r="F6" s="3" t="s">
        <v>17</v>
      </c>
      <c r="G6" s="3" t="s">
        <v>14</v>
      </c>
      <c r="H6" s="3" t="s">
        <v>15</v>
      </c>
      <c r="I6" s="3" t="s">
        <v>16</v>
      </c>
      <c r="J6" s="3" t="s">
        <v>48</v>
      </c>
      <c r="K6" s="3" t="s">
        <v>3</v>
      </c>
      <c r="L6" s="3" t="s">
        <v>10</v>
      </c>
      <c r="M6" s="3" t="s">
        <v>1</v>
      </c>
      <c r="N6" s="3" t="s">
        <v>12</v>
      </c>
      <c r="O6" s="3" t="s">
        <v>4</v>
      </c>
      <c r="P6" s="3" t="s">
        <v>49</v>
      </c>
      <c r="Q6" s="3" t="s">
        <v>47</v>
      </c>
      <c r="R6" s="3" t="s">
        <v>138</v>
      </c>
      <c r="S6" s="3" t="s">
        <v>1354</v>
      </c>
      <c r="T6" s="3" t="s">
        <v>1355</v>
      </c>
      <c r="U6" s="3" t="s">
        <v>1356</v>
      </c>
      <c r="V6" s="3" t="s">
        <v>13</v>
      </c>
    </row>
    <row r="7" spans="1:22" x14ac:dyDescent="0.25">
      <c r="A7" s="8" t="str">
        <f>'All Players'!C136</f>
        <v>GK</v>
      </c>
      <c r="B7" s="8" t="str">
        <f>'All Players'!D136</f>
        <v>Bagus</v>
      </c>
      <c r="C7" s="8" t="str">
        <f>'All Players'!E136</f>
        <v>Bintang</v>
      </c>
      <c r="D7" s="8" t="str">
        <f>'All Players'!F136</f>
        <v>B. Bintang</v>
      </c>
      <c r="E7" s="8" t="str">
        <f>'All Players'!G136</f>
        <v>Bali</v>
      </c>
      <c r="F7" s="8">
        <f>'All Players'!H136</f>
        <v>60</v>
      </c>
      <c r="G7" s="8">
        <f>'All Players'!I136</f>
        <v>96</v>
      </c>
      <c r="H7" s="8">
        <f>'All Players'!J136</f>
        <v>43</v>
      </c>
      <c r="I7" s="8">
        <f>'All Players'!K136</f>
        <v>51</v>
      </c>
      <c r="J7" s="5">
        <f t="shared" ref="J7:J17" si="2">AVERAGE(F7:I7)</f>
        <v>62.5</v>
      </c>
      <c r="K7" s="8">
        <f>'All Players'!M136</f>
        <v>77</v>
      </c>
      <c r="L7" s="8">
        <f>'All Players'!N136</f>
        <v>95</v>
      </c>
      <c r="M7" s="4">
        <f>AVERAGE(F7:I7)*0</f>
        <v>0</v>
      </c>
      <c r="N7" s="5">
        <f>O7</f>
        <v>69.55</v>
      </c>
      <c r="O7" s="11">
        <f>F7*Formuals!B2+G7*Formuals!C2+H7*Formuals!D2+I7*Formuals!E2</f>
        <v>69.55</v>
      </c>
      <c r="P7" s="10">
        <f>((M7/SUM($M$7:$M$17)))</f>
        <v>0</v>
      </c>
      <c r="Q7" s="10">
        <f t="shared" ref="Q7:Q17" si="3">((M7/100)*(L7/100))*3</f>
        <v>0</v>
      </c>
      <c r="R7" s="8" t="str">
        <f>'All Players'!T136</f>
        <v>Indonesia</v>
      </c>
      <c r="S7" s="8">
        <f>'All Players'!U136</f>
        <v>21</v>
      </c>
      <c r="T7" s="8">
        <f>'All Players'!V136</f>
        <v>93</v>
      </c>
      <c r="U7" s="49">
        <f t="shared" ref="U7:U17" si="4">IF((O7*0.5)+((T7*0.5)-((S7-18)*0.1))-40&lt;0,"0",(O7*0.5)+((T7*0.5)-((S7-18)*0.1))-40)</f>
        <v>40.974999999999994</v>
      </c>
      <c r="V7" s="6" t="str">
        <f>A24</f>
        <v>Known for his agility and graceful dives, much like a dolphin leaping in Bali's waters.</v>
      </c>
    </row>
    <row r="8" spans="1:22" x14ac:dyDescent="0.25">
      <c r="A8" s="8" t="str">
        <f>'All Players'!C137</f>
        <v>LB</v>
      </c>
      <c r="B8" s="8" t="str">
        <f>'All Players'!D137</f>
        <v>Irfan</v>
      </c>
      <c r="C8" s="8" t="str">
        <f>'All Players'!E137</f>
        <v>Iskandar</v>
      </c>
      <c r="D8" s="8" t="str">
        <f>'All Players'!F137</f>
        <v>I. Iskandar</v>
      </c>
      <c r="E8" s="8" t="str">
        <f>'All Players'!G137</f>
        <v>Island</v>
      </c>
      <c r="F8" s="8">
        <f>'All Players'!H137</f>
        <v>78</v>
      </c>
      <c r="G8" s="8">
        <f>'All Players'!I137</f>
        <v>100</v>
      </c>
      <c r="H8" s="8">
        <f>'All Players'!J137</f>
        <v>34</v>
      </c>
      <c r="I8" s="8">
        <f>'All Players'!K137</f>
        <v>87</v>
      </c>
      <c r="J8" s="5">
        <f t="shared" si="2"/>
        <v>74.75</v>
      </c>
      <c r="K8" s="8">
        <f>'All Players'!M137</f>
        <v>84</v>
      </c>
      <c r="L8" s="8">
        <f>'All Players'!N137</f>
        <v>95</v>
      </c>
      <c r="M8" s="5">
        <f>0.4*O8</f>
        <v>27.879999999999995</v>
      </c>
      <c r="N8" s="5">
        <f>0.9*O8</f>
        <v>62.72999999999999</v>
      </c>
      <c r="O8" s="11">
        <f>F8*Formuals!B3+G8*Formuals!C3+H8*Formuals!D3+I8*Formuals!E3</f>
        <v>69.699999999999989</v>
      </c>
      <c r="P8" s="10">
        <f t="shared" ref="P8:P10" si="5">((M8/SUM($M$7:$M$17)))*0.67</f>
        <v>4.3430577594875633E-2</v>
      </c>
      <c r="Q8" s="10">
        <f t="shared" si="3"/>
        <v>0.79457999999999984</v>
      </c>
      <c r="R8" s="8" t="str">
        <f>'All Players'!T137</f>
        <v>Indonesia</v>
      </c>
      <c r="S8" s="8">
        <f>'All Players'!U137</f>
        <v>19</v>
      </c>
      <c r="T8" s="8">
        <f>'All Players'!V137</f>
        <v>87</v>
      </c>
      <c r="U8" s="49">
        <f t="shared" si="4"/>
        <v>38.25</v>
      </c>
      <c r="V8" s="6" t="str">
        <f>A27</f>
        <v>His ability to navigate the field is as skillful as navigating through Indonesia's myriad islands.</v>
      </c>
    </row>
    <row r="9" spans="1:22" x14ac:dyDescent="0.25">
      <c r="A9" s="8" t="str">
        <f>'All Players'!C138</f>
        <v>CB</v>
      </c>
      <c r="B9" s="8" t="str">
        <f>'All Players'!D138</f>
        <v>Arya</v>
      </c>
      <c r="C9" s="8" t="str">
        <f>'All Players'!E138</f>
        <v>Aditya</v>
      </c>
      <c r="D9" s="8" t="str">
        <f>'All Players'!F138</f>
        <v>A. Aditya</v>
      </c>
      <c r="E9" s="8" t="str">
        <f>'All Players'!G138</f>
        <v>Arjuna</v>
      </c>
      <c r="F9" s="8">
        <f>'All Players'!H138</f>
        <v>43</v>
      </c>
      <c r="G9" s="8">
        <f>'All Players'!I138</f>
        <v>83</v>
      </c>
      <c r="H9" s="8">
        <f>'All Players'!J138</f>
        <v>14</v>
      </c>
      <c r="I9" s="8">
        <f>'All Players'!K138</f>
        <v>77</v>
      </c>
      <c r="J9" s="5">
        <f t="shared" si="2"/>
        <v>54.25</v>
      </c>
      <c r="K9" s="8">
        <f>'All Players'!M138</f>
        <v>78</v>
      </c>
      <c r="L9" s="8">
        <f>'All Players'!N138</f>
        <v>91</v>
      </c>
      <c r="M9" s="5">
        <f>O9*0.3</f>
        <v>11.227499999999999</v>
      </c>
      <c r="N9" s="5">
        <f>O9</f>
        <v>37.424999999999997</v>
      </c>
      <c r="O9" s="11">
        <f>F9*Formuals!B4+G9*Formuals!C4+H9*Formuals!D4+I9*Formuals!E4</f>
        <v>37.424999999999997</v>
      </c>
      <c r="P9" s="10">
        <f t="shared" si="5"/>
        <v>1.7489842537534658E-2</v>
      </c>
      <c r="Q9" s="10">
        <f t="shared" si="3"/>
        <v>0.30651074999999994</v>
      </c>
      <c r="R9" s="8" t="str">
        <f>'All Players'!T138</f>
        <v>Indonesia</v>
      </c>
      <c r="S9" s="8">
        <f>'All Players'!U138</f>
        <v>29</v>
      </c>
      <c r="T9" s="8">
        <f>'All Players'!V138</f>
        <v>44</v>
      </c>
      <c r="U9" s="49" t="str">
        <f t="shared" si="4"/>
        <v>0</v>
      </c>
      <c r="V9" s="6" t="str">
        <f>A30</f>
        <v>Strong and wise in defense, he embodies the spirit of the legendary Arjuna.</v>
      </c>
    </row>
    <row r="10" spans="1:22" x14ac:dyDescent="0.25">
      <c r="A10" s="8" t="str">
        <f>'All Players'!C139</f>
        <v>CB</v>
      </c>
      <c r="B10" s="8" t="str">
        <f>'All Players'!D139</f>
        <v>Rizki</v>
      </c>
      <c r="C10" s="8" t="str">
        <f>'All Players'!E139</f>
        <v>Raharjo</v>
      </c>
      <c r="D10" s="8" t="str">
        <f>'All Players'!F139</f>
        <v>R. Raharjo</v>
      </c>
      <c r="E10" s="8" t="str">
        <f>'All Players'!G139</f>
        <v>Ripple</v>
      </c>
      <c r="F10" s="8">
        <f>'All Players'!H139</f>
        <v>49</v>
      </c>
      <c r="G10" s="8">
        <f>'All Players'!I139</f>
        <v>100</v>
      </c>
      <c r="H10" s="8">
        <f>'All Players'!J139</f>
        <v>18</v>
      </c>
      <c r="I10" s="8">
        <f>'All Players'!K139</f>
        <v>69</v>
      </c>
      <c r="J10" s="5">
        <f t="shared" si="2"/>
        <v>59</v>
      </c>
      <c r="K10" s="8">
        <f>'All Players'!M139</f>
        <v>84</v>
      </c>
      <c r="L10" s="8">
        <f>'All Players'!N139</f>
        <v>100</v>
      </c>
      <c r="M10" s="5">
        <f>O10*0.3</f>
        <v>12.547500000000001</v>
      </c>
      <c r="N10" s="5">
        <f>O10</f>
        <v>41.825000000000003</v>
      </c>
      <c r="O10" s="11">
        <f>F10*Formuals!B5+G10*Formuals!C5+H10*Formuals!D5+I10*Formuals!E5</f>
        <v>41.825000000000003</v>
      </c>
      <c r="P10" s="10">
        <f t="shared" si="5"/>
        <v>1.9546096570003665E-2</v>
      </c>
      <c r="Q10" s="10">
        <f t="shared" si="3"/>
        <v>0.37642500000000001</v>
      </c>
      <c r="R10" s="8" t="str">
        <f>'All Players'!T139</f>
        <v>Indonesia</v>
      </c>
      <c r="S10" s="8">
        <f>'All Players'!U139</f>
        <v>34</v>
      </c>
      <c r="T10" s="8">
        <f>'All Players'!V139</f>
        <v>43</v>
      </c>
      <c r="U10" s="49">
        <f t="shared" si="4"/>
        <v>0.8125</v>
      </c>
      <c r="V10" s="6" t="str">
        <f>A33</f>
        <v>His play style creates ripples in the defense, disrupting opposition attacks effectively.</v>
      </c>
    </row>
    <row r="11" spans="1:22" x14ac:dyDescent="0.25">
      <c r="A11" s="8" t="str">
        <f>'All Players'!C140</f>
        <v>RB</v>
      </c>
      <c r="B11" s="8" t="str">
        <f>'All Players'!D140</f>
        <v>Dewa</v>
      </c>
      <c r="C11" s="8" t="str">
        <f>'All Players'!E140</f>
        <v>Dharma</v>
      </c>
      <c r="D11" s="8" t="str">
        <f>'All Players'!F140</f>
        <v>D. Dharma</v>
      </c>
      <c r="E11" s="8" t="str">
        <f>'All Players'!G140</f>
        <v>Dive</v>
      </c>
      <c r="F11" s="8">
        <f>'All Players'!H140</f>
        <v>62</v>
      </c>
      <c r="G11" s="8">
        <f>'All Players'!I140</f>
        <v>100</v>
      </c>
      <c r="H11" s="8">
        <f>'All Players'!J140</f>
        <v>2</v>
      </c>
      <c r="I11" s="8">
        <f>'All Players'!K140</f>
        <v>73</v>
      </c>
      <c r="J11" s="5">
        <f t="shared" si="2"/>
        <v>59.25</v>
      </c>
      <c r="K11" s="8">
        <f>'All Players'!M140</f>
        <v>83</v>
      </c>
      <c r="L11" s="8">
        <f>'All Players'!N140</f>
        <v>96</v>
      </c>
      <c r="M11" s="5">
        <f>0.4*O11</f>
        <v>20.759999999999998</v>
      </c>
      <c r="N11" s="5">
        <f>0.9*O11</f>
        <v>46.709999999999994</v>
      </c>
      <c r="O11" s="11">
        <f>F11*Formuals!B6+G11*Formuals!C6+H11*Formuals!D6+I11*Formuals!E6</f>
        <v>51.899999999999991</v>
      </c>
      <c r="P11" s="10">
        <f>((M11/SUM($M$7:$M$17)))*0.67</f>
        <v>3.2339267965194339E-2</v>
      </c>
      <c r="Q11" s="10">
        <f t="shared" si="3"/>
        <v>0.59788799999999998</v>
      </c>
      <c r="R11" s="8" t="str">
        <f>'All Players'!T140</f>
        <v>Indonesia</v>
      </c>
      <c r="S11" s="8">
        <f>'All Players'!U140</f>
        <v>24</v>
      </c>
      <c r="T11" s="8">
        <f>'All Players'!V140</f>
        <v>73</v>
      </c>
      <c r="U11" s="49">
        <f t="shared" si="4"/>
        <v>21.849999999999994</v>
      </c>
      <c r="V11" s="6" t="str">
        <f>A36</f>
        <v>Quick and fluid in his movements, his diving tackles are both effective and elegant.</v>
      </c>
    </row>
    <row r="12" spans="1:22" x14ac:dyDescent="0.25">
      <c r="A12" s="8" t="str">
        <f>'All Players'!C141</f>
        <v>CDM</v>
      </c>
      <c r="B12" s="8" t="str">
        <f>'All Players'!D141</f>
        <v>Bima</v>
      </c>
      <c r="C12" s="8" t="str">
        <f>'All Players'!E141</f>
        <v>Baskara</v>
      </c>
      <c r="D12" s="8" t="str">
        <f>'All Players'!F141</f>
        <v>B. Baskara</v>
      </c>
      <c r="E12" s="8" t="str">
        <f>'All Players'!G141</f>
        <v>Bay</v>
      </c>
      <c r="F12" s="8">
        <f>'All Players'!H141</f>
        <v>48</v>
      </c>
      <c r="G12" s="8">
        <f>'All Players'!I141</f>
        <v>100</v>
      </c>
      <c r="H12" s="8">
        <f>'All Players'!J141</f>
        <v>22</v>
      </c>
      <c r="I12" s="8">
        <f>'All Players'!K141</f>
        <v>73</v>
      </c>
      <c r="J12" s="5">
        <f t="shared" si="2"/>
        <v>60.75</v>
      </c>
      <c r="K12" s="8">
        <f>'All Players'!M141</f>
        <v>80</v>
      </c>
      <c r="L12" s="8">
        <f>'All Players'!N141</f>
        <v>97</v>
      </c>
      <c r="M12" s="5">
        <f>O12*0.6</f>
        <v>34.17</v>
      </c>
      <c r="N12" s="5">
        <f>O12*0.9</f>
        <v>51.255000000000003</v>
      </c>
      <c r="O12" s="11">
        <f>F12*Formuals!B7+G12*Formuals!C7+H12*Formuals!D7+I12*Formuals!E7</f>
        <v>56.95</v>
      </c>
      <c r="P12" s="10">
        <f t="shared" ref="P12:P14" si="6">((M12/SUM($M$7:$M$17)))</f>
        <v>7.9446178527211531E-2</v>
      </c>
      <c r="Q12" s="10">
        <f t="shared" si="3"/>
        <v>0.99434699999999998</v>
      </c>
      <c r="R12" s="8" t="str">
        <f>'All Players'!T141</f>
        <v>Indonesia</v>
      </c>
      <c r="S12" s="8">
        <f>'All Players'!U141</f>
        <v>18</v>
      </c>
      <c r="T12" s="8">
        <f>'All Players'!V141</f>
        <v>72</v>
      </c>
      <c r="U12" s="49">
        <f t="shared" si="4"/>
        <v>24.474999999999994</v>
      </c>
      <c r="V12" s="6" t="str">
        <f>A39</f>
        <v>Controls the midfield like the calm waters of a bay, steady and unyielding.</v>
      </c>
    </row>
    <row r="13" spans="1:22" x14ac:dyDescent="0.25">
      <c r="A13" s="8" t="str">
        <f>'All Players'!C142</f>
        <v>CM</v>
      </c>
      <c r="B13" s="8" t="str">
        <f>'All Players'!D142</f>
        <v>Andi</v>
      </c>
      <c r="C13" s="8" t="str">
        <f>'All Players'!E142</f>
        <v>Alam</v>
      </c>
      <c r="D13" s="8" t="str">
        <f>'All Players'!F142</f>
        <v>A. Alam</v>
      </c>
      <c r="E13" s="8" t="str">
        <f>'All Players'!G142</f>
        <v>Aceh</v>
      </c>
      <c r="F13" s="8">
        <f>'All Players'!H142</f>
        <v>64</v>
      </c>
      <c r="G13" s="8">
        <f>'All Players'!I142</f>
        <v>93</v>
      </c>
      <c r="H13" s="8">
        <f>'All Players'!J142</f>
        <v>28</v>
      </c>
      <c r="I13" s="8">
        <f>'All Players'!K142</f>
        <v>74</v>
      </c>
      <c r="J13" s="5">
        <f t="shared" si="2"/>
        <v>64.75</v>
      </c>
      <c r="K13" s="8">
        <f>'All Players'!M142</f>
        <v>75</v>
      </c>
      <c r="L13" s="8">
        <f>'All Players'!N142</f>
        <v>92</v>
      </c>
      <c r="M13" s="5">
        <f>O13*0.75</f>
        <v>54.862500000000004</v>
      </c>
      <c r="N13" s="5">
        <f>O13*0.75</f>
        <v>54.862500000000004</v>
      </c>
      <c r="O13" s="11">
        <f>F13*Formuals!B8+G13*Formuals!C8+H13*Formuals!D8+I13*Formuals!E8</f>
        <v>73.150000000000006</v>
      </c>
      <c r="P13" s="10">
        <f t="shared" si="6"/>
        <v>0.1275568033201388</v>
      </c>
      <c r="Q13" s="10">
        <f t="shared" si="3"/>
        <v>1.514205</v>
      </c>
      <c r="R13" s="8" t="str">
        <f>'All Players'!T142</f>
        <v>Indonesia</v>
      </c>
      <c r="S13" s="8">
        <f>'All Players'!U142</f>
        <v>32</v>
      </c>
      <c r="T13" s="8">
        <f>'All Players'!V142</f>
        <v>78</v>
      </c>
      <c r="U13" s="49">
        <f t="shared" si="4"/>
        <v>34.175000000000011</v>
      </c>
      <c r="V13" s="6" t="str">
        <f>A42</f>
        <v>His skills are as diverse as the cultural heritage of Aceh, bringing creativity and flair to the midfield.</v>
      </c>
    </row>
    <row r="14" spans="1:22" x14ac:dyDescent="0.25">
      <c r="A14" s="8" t="str">
        <f>'All Players'!C143</f>
        <v>CAM</v>
      </c>
      <c r="B14" s="8" t="str">
        <f>'All Players'!D143</f>
        <v>Yudha</v>
      </c>
      <c r="C14" s="8" t="str">
        <f>'All Players'!E143</f>
        <v>Yulianto</v>
      </c>
      <c r="D14" s="8" t="str">
        <f>'All Players'!F143</f>
        <v>Y. Yulianto</v>
      </c>
      <c r="E14" s="8" t="str">
        <f>'All Players'!G143</f>
        <v>Yogyakarta</v>
      </c>
      <c r="F14" s="8">
        <f>'All Players'!H143</f>
        <v>94</v>
      </c>
      <c r="G14" s="8">
        <f>'All Players'!I143</f>
        <v>100</v>
      </c>
      <c r="H14" s="8">
        <f>'All Players'!J143</f>
        <v>31</v>
      </c>
      <c r="I14" s="8">
        <f>'All Players'!K143</f>
        <v>55</v>
      </c>
      <c r="J14" s="5">
        <f t="shared" si="2"/>
        <v>70</v>
      </c>
      <c r="K14" s="8">
        <f>'All Players'!M143</f>
        <v>84</v>
      </c>
      <c r="L14" s="8">
        <f>'All Players'!N143</f>
        <v>96</v>
      </c>
      <c r="M14" s="5">
        <f>O14*0.9</f>
        <v>76.905000000000001</v>
      </c>
      <c r="N14" s="5">
        <f>O14*0.6</f>
        <v>51.27</v>
      </c>
      <c r="O14" s="11">
        <f>F14*Formuals!B9+G14*Formuals!C9+H14*Formuals!D9+I14*Formuals!E9</f>
        <v>85.45</v>
      </c>
      <c r="P14" s="10">
        <f t="shared" si="6"/>
        <v>0.17880621479763545</v>
      </c>
      <c r="Q14" s="10">
        <f t="shared" si="3"/>
        <v>2.2148639999999999</v>
      </c>
      <c r="R14" s="8" t="str">
        <f>'All Players'!T143</f>
        <v>Indonesia</v>
      </c>
      <c r="S14" s="8">
        <f>'All Players'!U143</f>
        <v>28</v>
      </c>
      <c r="T14" s="8">
        <f>'All Players'!V143</f>
        <v>99</v>
      </c>
      <c r="U14" s="49">
        <f t="shared" si="4"/>
        <v>51.224999999999994</v>
      </c>
      <c r="V14" s="6" t="str">
        <f>A45</f>
        <v>Creative and artistic in his play, much like the cultural richness of Yogyakarta.</v>
      </c>
    </row>
    <row r="15" spans="1:22" x14ac:dyDescent="0.25">
      <c r="A15" s="8" t="str">
        <f>'All Players'!C144</f>
        <v>LW</v>
      </c>
      <c r="B15" s="8" t="str">
        <f>'All Players'!D144</f>
        <v>Putra</v>
      </c>
      <c r="C15" s="8" t="str">
        <f>'All Players'!E144</f>
        <v>Pratama</v>
      </c>
      <c r="D15" s="8" t="str">
        <f>'All Players'!F144</f>
        <v>P. Pratama</v>
      </c>
      <c r="E15" s="8" t="str">
        <f>'All Players'!G144</f>
        <v>Papua</v>
      </c>
      <c r="F15" s="8">
        <f>'All Players'!H144</f>
        <v>41</v>
      </c>
      <c r="G15" s="8">
        <f>'All Players'!I144</f>
        <v>98</v>
      </c>
      <c r="H15" s="8">
        <f>'All Players'!J144</f>
        <v>29</v>
      </c>
      <c r="I15" s="8">
        <f>'All Players'!K144</f>
        <v>57</v>
      </c>
      <c r="J15" s="5">
        <f t="shared" si="2"/>
        <v>56.25</v>
      </c>
      <c r="K15" s="8">
        <f>'All Players'!M144</f>
        <v>82</v>
      </c>
      <c r="L15" s="8">
        <f>'All Players'!N144</f>
        <v>98</v>
      </c>
      <c r="M15" s="5">
        <f>O15</f>
        <v>56.15</v>
      </c>
      <c r="N15" s="5">
        <f>O15*0.3</f>
        <v>16.844999999999999</v>
      </c>
      <c r="O15" s="11">
        <f>F15*Formuals!B10+G15*Formuals!C10+H15*Formuals!D10+I15*Formuals!E10</f>
        <v>56.15</v>
      </c>
      <c r="P15" s="10">
        <f>((M15/SUM($M$7:$M$17)))*1.33</f>
        <v>0.1736318668224435</v>
      </c>
      <c r="Q15" s="10">
        <f t="shared" si="3"/>
        <v>1.6508100000000001</v>
      </c>
      <c r="R15" s="8" t="str">
        <f>'All Players'!T144</f>
        <v>Indonesia</v>
      </c>
      <c r="S15" s="8">
        <f>'All Players'!U144</f>
        <v>19</v>
      </c>
      <c r="T15" s="8">
        <f>'All Players'!V144</f>
        <v>74</v>
      </c>
      <c r="U15" s="49">
        <f t="shared" si="4"/>
        <v>24.974999999999994</v>
      </c>
      <c r="V15" s="6" t="str">
        <f>A48</f>
        <v>Quick and adventurous on the wing, his play mirrors the untamed beauty of Papua.</v>
      </c>
    </row>
    <row r="16" spans="1:22" x14ac:dyDescent="0.25">
      <c r="A16" s="8" t="str">
        <f>'All Players'!C145</f>
        <v>ST</v>
      </c>
      <c r="B16" s="8" t="str">
        <f>'All Players'!D145</f>
        <v>Agus</v>
      </c>
      <c r="C16" s="8" t="str">
        <f>'All Players'!E145</f>
        <v>Arifianto</v>
      </c>
      <c r="D16" s="8" t="str">
        <f>'All Players'!F145</f>
        <v>A. Arifianto</v>
      </c>
      <c r="E16" s="8" t="str">
        <f>'All Players'!G145</f>
        <v>Aqua</v>
      </c>
      <c r="F16" s="8">
        <f>'All Players'!H145</f>
        <v>64</v>
      </c>
      <c r="G16" s="8">
        <f>'All Players'!I145</f>
        <v>100</v>
      </c>
      <c r="H16" s="8">
        <f>'All Players'!J145</f>
        <v>10</v>
      </c>
      <c r="I16" s="8">
        <f>'All Players'!K145</f>
        <v>48</v>
      </c>
      <c r="J16" s="5">
        <f t="shared" si="2"/>
        <v>55.5</v>
      </c>
      <c r="K16" s="8">
        <f>'All Players'!M145</f>
        <v>76</v>
      </c>
      <c r="L16" s="8">
        <f>'All Players'!N145</f>
        <v>93</v>
      </c>
      <c r="M16" s="5">
        <f>O16</f>
        <v>62.8</v>
      </c>
      <c r="N16" s="5">
        <f t="shared" ref="N16:N17" si="7">O16*0.3</f>
        <v>18.84</v>
      </c>
      <c r="O16" s="11">
        <f>F16*Formuals!B11+G16*Formuals!C11+H16*Formuals!D11+I16*Formuals!E11</f>
        <v>62.8</v>
      </c>
      <c r="P16" s="10">
        <f t="shared" ref="P16:P17" si="8">((M16/SUM($M$7:$M$17)))*1.33</f>
        <v>0.19419556966072041</v>
      </c>
      <c r="Q16" s="10">
        <f t="shared" si="3"/>
        <v>1.7521200000000001</v>
      </c>
      <c r="R16" s="8" t="str">
        <f>'All Players'!T145</f>
        <v>Indonesia</v>
      </c>
      <c r="S16" s="8">
        <f>'All Players'!U145</f>
        <v>30</v>
      </c>
      <c r="T16" s="8">
        <f>'All Players'!V145</f>
        <v>70</v>
      </c>
      <c r="U16" s="49">
        <f t="shared" si="4"/>
        <v>25.199999999999989</v>
      </c>
      <c r="V16" s="6" t="str">
        <f>A51</f>
        <v>Smooth and fluid in his dribbling, he moves like water, unpredictable and graceful.</v>
      </c>
    </row>
    <row r="17" spans="1:22" x14ac:dyDescent="0.25">
      <c r="A17" s="8" t="str">
        <f>'All Players'!C146</f>
        <v>RW</v>
      </c>
      <c r="B17" s="8" t="str">
        <f>'All Players'!D146</f>
        <v>Indra</v>
      </c>
      <c r="C17" s="8" t="str">
        <f>'All Players'!E146</f>
        <v>Irawan</v>
      </c>
      <c r="D17" s="8" t="str">
        <f>'All Players'!F146</f>
        <v>I. Irawan</v>
      </c>
      <c r="E17" s="8" t="str">
        <f>'All Players'!G146</f>
        <v>Island Hopper</v>
      </c>
      <c r="F17" s="8">
        <f>'All Players'!H146</f>
        <v>60</v>
      </c>
      <c r="G17" s="8">
        <f>'All Players'!I146</f>
        <v>100</v>
      </c>
      <c r="H17" s="8">
        <f>'All Players'!J146</f>
        <v>25</v>
      </c>
      <c r="I17" s="8">
        <f>'All Players'!K146</f>
        <v>79</v>
      </c>
      <c r="J17" s="5">
        <f t="shared" si="2"/>
        <v>66</v>
      </c>
      <c r="K17" s="8">
        <f>'All Players'!M146</f>
        <v>80</v>
      </c>
      <c r="L17" s="8">
        <f>'All Players'!N146</f>
        <v>93</v>
      </c>
      <c r="M17" s="5">
        <f>O17</f>
        <v>72.800000000000011</v>
      </c>
      <c r="N17" s="5">
        <f t="shared" si="7"/>
        <v>21.840000000000003</v>
      </c>
      <c r="O17" s="11">
        <f>F17*Formuals!B12+G17*Formuals!C12+H17*Formuals!D12+I17*Formuals!E12</f>
        <v>72.800000000000011</v>
      </c>
      <c r="P17" s="10">
        <f t="shared" si="8"/>
        <v>0.22511843107166318</v>
      </c>
      <c r="Q17" s="10">
        <f t="shared" si="3"/>
        <v>2.0311200000000005</v>
      </c>
      <c r="R17" s="8" t="str">
        <f>'All Players'!T146</f>
        <v>Indonesia</v>
      </c>
      <c r="S17" s="8">
        <f>'All Players'!U146</f>
        <v>24</v>
      </c>
      <c r="T17" s="8">
        <f>'All Players'!V146</f>
        <v>86</v>
      </c>
      <c r="U17" s="49">
        <f t="shared" si="4"/>
        <v>38.800000000000011</v>
      </c>
      <c r="V17" s="6" t="str">
        <f>A54</f>
        <v>His ability to hop between defensive lines and find scoring opportunities is unmatched.</v>
      </c>
    </row>
    <row r="18" spans="1:22" x14ac:dyDescent="0.25">
      <c r="F18" s="18">
        <f t="shared" ref="F18:G18" si="9">LARGE(F7:F17,1) - SMALL(F7:F17,1)</f>
        <v>53</v>
      </c>
      <c r="G18" s="18">
        <f t="shared" si="9"/>
        <v>17</v>
      </c>
      <c r="H18" s="18">
        <f>LARGE(H7:H17,1) - SMALL(H7:H17,1)</f>
        <v>41</v>
      </c>
      <c r="I18" s="18">
        <f>LARGE(I7:I17,1) - SMALL(I7:I17,1)</f>
        <v>39</v>
      </c>
      <c r="J18" s="19">
        <f t="shared" ref="J18:L18" si="10">LARGE(J7:J17,1) - SMALL(J7:J17,1)</f>
        <v>20.5</v>
      </c>
      <c r="K18" s="18">
        <f t="shared" si="10"/>
        <v>9</v>
      </c>
      <c r="L18" s="18">
        <f t="shared" si="10"/>
        <v>9</v>
      </c>
      <c r="O18" s="19">
        <f t="shared" ref="O18" si="11">LARGE(O7:O17,1) - SMALL(O7:O17,1)</f>
        <v>48.025000000000006</v>
      </c>
      <c r="P18" s="48">
        <f>SUM(P7:P17)</f>
        <v>1.0915608488674211</v>
      </c>
      <c r="S18">
        <f>AVERAGE(S7:S17)</f>
        <v>25.272727272727273</v>
      </c>
      <c r="T18">
        <f>AVERAGE(T7:T17)</f>
        <v>74.454545454545453</v>
      </c>
      <c r="U18" s="50">
        <f>SUM(U7:U17)</f>
        <v>300.73750000000001</v>
      </c>
    </row>
    <row r="19" spans="1:22" x14ac:dyDescent="0.25">
      <c r="B19" s="3" t="s">
        <v>1</v>
      </c>
      <c r="C19" s="3" t="s">
        <v>2</v>
      </c>
      <c r="D19" s="3" t="s">
        <v>3</v>
      </c>
    </row>
    <row r="20" spans="1:22" x14ac:dyDescent="0.25">
      <c r="A20" s="3" t="s">
        <v>4</v>
      </c>
      <c r="B20" s="2">
        <f>AVERAGE(O7:O12)*0.1+AVERAGE(O13:O17)*0.9</f>
        <v>68.518833333333347</v>
      </c>
      <c r="C20" s="2">
        <f>AVERAGE(O7:O12)*0.9+AVERAGE(O13:O17)*0.1</f>
        <v>56.109499999999997</v>
      </c>
      <c r="D20" s="2">
        <f>AVERAGE(K7:K17)*0.5+AVERAGE(L7:L17)*0.5</f>
        <v>87.681818181818187</v>
      </c>
    </row>
    <row r="22" spans="1:22" ht="17.25" x14ac:dyDescent="0.25">
      <c r="A22" s="13" t="s">
        <v>205</v>
      </c>
    </row>
    <row r="23" spans="1:22" ht="17.25" x14ac:dyDescent="0.25">
      <c r="A23" s="14"/>
    </row>
    <row r="24" spans="1:22" ht="17.25" x14ac:dyDescent="0.25">
      <c r="A24" s="15" t="s">
        <v>206</v>
      </c>
    </row>
    <row r="25" spans="1:22" ht="17.25" x14ac:dyDescent="0.25">
      <c r="A25" s="13" t="s">
        <v>207</v>
      </c>
    </row>
    <row r="26" spans="1:22" ht="17.25" x14ac:dyDescent="0.25">
      <c r="A26" s="14"/>
    </row>
    <row r="27" spans="1:22" ht="17.25" x14ac:dyDescent="0.25">
      <c r="A27" s="15" t="s">
        <v>208</v>
      </c>
    </row>
    <row r="28" spans="1:22" ht="17.25" x14ac:dyDescent="0.25">
      <c r="A28" s="13" t="s">
        <v>209</v>
      </c>
    </row>
    <row r="29" spans="1:22" ht="17.25" x14ac:dyDescent="0.25">
      <c r="A29" s="14"/>
    </row>
    <row r="30" spans="1:22" ht="17.25" x14ac:dyDescent="0.25">
      <c r="A30" s="15" t="s">
        <v>210</v>
      </c>
    </row>
    <row r="31" spans="1:22" ht="17.25" x14ac:dyDescent="0.25">
      <c r="A31" s="13" t="s">
        <v>211</v>
      </c>
    </row>
    <row r="32" spans="1:22" ht="17.25" x14ac:dyDescent="0.25">
      <c r="A32" s="14"/>
    </row>
    <row r="33" spans="1:1" ht="17.25" x14ac:dyDescent="0.25">
      <c r="A33" s="15" t="s">
        <v>212</v>
      </c>
    </row>
    <row r="34" spans="1:1" ht="17.25" x14ac:dyDescent="0.25">
      <c r="A34" s="13" t="s">
        <v>213</v>
      </c>
    </row>
    <row r="35" spans="1:1" ht="17.25" x14ac:dyDescent="0.25">
      <c r="A35" s="14"/>
    </row>
    <row r="36" spans="1:1" ht="17.25" x14ac:dyDescent="0.25">
      <c r="A36" s="15" t="s">
        <v>214</v>
      </c>
    </row>
    <row r="37" spans="1:1" ht="17.25" x14ac:dyDescent="0.25">
      <c r="A37" s="13" t="s">
        <v>215</v>
      </c>
    </row>
    <row r="38" spans="1:1" ht="17.25" x14ac:dyDescent="0.25">
      <c r="A38" s="14"/>
    </row>
    <row r="39" spans="1:1" ht="17.25" x14ac:dyDescent="0.25">
      <c r="A39" s="15" t="s">
        <v>216</v>
      </c>
    </row>
    <row r="40" spans="1:1" ht="17.25" x14ac:dyDescent="0.25">
      <c r="A40" s="13" t="s">
        <v>217</v>
      </c>
    </row>
    <row r="41" spans="1:1" ht="17.25" x14ac:dyDescent="0.25">
      <c r="A41" s="14"/>
    </row>
    <row r="42" spans="1:1" ht="17.25" x14ac:dyDescent="0.25">
      <c r="A42" s="15" t="s">
        <v>218</v>
      </c>
    </row>
    <row r="43" spans="1:1" ht="17.25" x14ac:dyDescent="0.25">
      <c r="A43" s="13" t="s">
        <v>219</v>
      </c>
    </row>
    <row r="44" spans="1:1" ht="17.25" x14ac:dyDescent="0.25">
      <c r="A44" s="14"/>
    </row>
    <row r="45" spans="1:1" ht="17.25" x14ac:dyDescent="0.25">
      <c r="A45" s="15" t="s">
        <v>220</v>
      </c>
    </row>
    <row r="46" spans="1:1" ht="17.25" x14ac:dyDescent="0.25">
      <c r="A46" s="13" t="s">
        <v>221</v>
      </c>
    </row>
    <row r="47" spans="1:1" ht="17.25" x14ac:dyDescent="0.25">
      <c r="A47" s="14"/>
    </row>
    <row r="48" spans="1:1" ht="17.25" x14ac:dyDescent="0.25">
      <c r="A48" s="15" t="s">
        <v>222</v>
      </c>
    </row>
    <row r="49" spans="1:1" ht="17.25" x14ac:dyDescent="0.25">
      <c r="A49" s="13" t="s">
        <v>223</v>
      </c>
    </row>
    <row r="50" spans="1:1" ht="17.25" x14ac:dyDescent="0.25">
      <c r="A50" s="14"/>
    </row>
    <row r="51" spans="1:1" ht="17.25" x14ac:dyDescent="0.25">
      <c r="A51" s="15" t="s">
        <v>224</v>
      </c>
    </row>
    <row r="52" spans="1:1" ht="17.25" x14ac:dyDescent="0.25">
      <c r="A52" s="13" t="s">
        <v>225</v>
      </c>
    </row>
    <row r="53" spans="1:1" ht="17.25" x14ac:dyDescent="0.25">
      <c r="A53" s="14"/>
    </row>
    <row r="54" spans="1:1" ht="17.25" x14ac:dyDescent="0.25">
      <c r="A54" s="15" t="s">
        <v>226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27A14-59EA-4FC4-8735-3511E3B2D70D}">
  <sheetPr codeName="Sheet18">
    <tabColor theme="6"/>
  </sheetPr>
  <dimension ref="A1:V54"/>
  <sheetViews>
    <sheetView workbookViewId="0">
      <selection activeCell="U21" sqref="U21"/>
    </sheetView>
  </sheetViews>
  <sheetFormatPr defaultRowHeight="15" x14ac:dyDescent="0.25"/>
  <cols>
    <col min="2" max="2" width="10.5703125" bestFit="1" customWidth="1"/>
    <col min="3" max="3" width="10.140625" bestFit="1" customWidth="1"/>
    <col min="4" max="4" width="11.85546875" bestFit="1" customWidth="1"/>
    <col min="5" max="5" width="10" bestFit="1" customWidth="1"/>
  </cols>
  <sheetData>
    <row r="1" spans="1:22" x14ac:dyDescent="0.25">
      <c r="A1" s="3" t="s">
        <v>19</v>
      </c>
      <c r="B1" s="6" t="s">
        <v>36</v>
      </c>
      <c r="K1">
        <f ca="1">RANDBETWEEN(K$4-5,K$4+5)</f>
        <v>55</v>
      </c>
      <c r="L1">
        <f ca="1">RANDBETWEEN(L$4-5,L$4+5)</f>
        <v>57</v>
      </c>
    </row>
    <row r="2" spans="1:22" x14ac:dyDescent="0.25">
      <c r="A2" s="3" t="s">
        <v>20</v>
      </c>
      <c r="B2" s="6" t="s">
        <v>228</v>
      </c>
    </row>
    <row r="3" spans="1:22" x14ac:dyDescent="0.25">
      <c r="A3" s="3" t="s">
        <v>138</v>
      </c>
      <c r="B3" s="6" t="str">
        <f>VLOOKUP(B1,STATS!L1:AA21,16,FALSE)</f>
        <v>Peru</v>
      </c>
    </row>
    <row r="4" spans="1:22" x14ac:dyDescent="0.25">
      <c r="A4" s="3" t="s">
        <v>22</v>
      </c>
      <c r="B4" s="1">
        <f>((B20+C20)/2)*((D20+50)/100)</f>
        <v>77.718352272727273</v>
      </c>
      <c r="F4">
        <f>VLOOKUP($B$1,STATS!$L$1:$Q$21,3,FALSE)</f>
        <v>60</v>
      </c>
      <c r="G4">
        <f>VLOOKUP($B$1,STATS!$L$1:$Q$21,4,FALSE)</f>
        <v>70</v>
      </c>
      <c r="H4">
        <f>VLOOKUP($B$1,STATS!$L$1:$Q$21,5,FALSE)</f>
        <v>80</v>
      </c>
      <c r="I4">
        <f>VLOOKUP($B$1,STATS!$L$1:$Q$21,6,FALSE)</f>
        <v>80</v>
      </c>
      <c r="J4">
        <f>AVERAGE(F4:I4)</f>
        <v>72.5</v>
      </c>
      <c r="K4">
        <v>50</v>
      </c>
      <c r="L4">
        <v>60</v>
      </c>
    </row>
    <row r="5" spans="1:22" x14ac:dyDescent="0.25">
      <c r="F5" s="12">
        <f t="shared" ref="F5:H5" si="0">AVERAGE(F7:F17)</f>
        <v>60.81818181818182</v>
      </c>
      <c r="G5" s="12">
        <f t="shared" si="0"/>
        <v>72.727272727272734</v>
      </c>
      <c r="H5" s="12">
        <f t="shared" si="0"/>
        <v>81.727272727272734</v>
      </c>
      <c r="I5" s="12">
        <f>AVERAGE(I7:I17)</f>
        <v>79.181818181818187</v>
      </c>
      <c r="J5" s="12">
        <f>AVERAGE(J7:J17)</f>
        <v>73.61363636363636</v>
      </c>
      <c r="K5" s="12">
        <f t="shared" ref="K5:M5" si="1">AVERAGE(K7:K17)</f>
        <v>50.454545454545453</v>
      </c>
      <c r="L5" s="12">
        <f t="shared" si="1"/>
        <v>61.81818181818182</v>
      </c>
      <c r="M5" s="12">
        <f t="shared" si="1"/>
        <v>44.166818181818179</v>
      </c>
      <c r="N5" s="12">
        <f>AVERAGE(N7:N17)</f>
        <v>53.062727272727265</v>
      </c>
      <c r="O5" s="12">
        <f>AVERAGE(O7:O17)</f>
        <v>73.313636363636363</v>
      </c>
    </row>
    <row r="6" spans="1:22" x14ac:dyDescent="0.25">
      <c r="A6" s="3" t="s">
        <v>7</v>
      </c>
      <c r="B6" s="3" t="s">
        <v>8</v>
      </c>
      <c r="C6" s="3" t="s">
        <v>9</v>
      </c>
      <c r="D6" s="3" t="s">
        <v>44</v>
      </c>
      <c r="E6" s="3" t="s">
        <v>50</v>
      </c>
      <c r="F6" s="3" t="s">
        <v>17</v>
      </c>
      <c r="G6" s="3" t="s">
        <v>14</v>
      </c>
      <c r="H6" s="3" t="s">
        <v>15</v>
      </c>
      <c r="I6" s="3" t="s">
        <v>16</v>
      </c>
      <c r="J6" s="3" t="s">
        <v>48</v>
      </c>
      <c r="K6" s="3" t="s">
        <v>3</v>
      </c>
      <c r="L6" s="3" t="s">
        <v>10</v>
      </c>
      <c r="M6" s="3" t="s">
        <v>1</v>
      </c>
      <c r="N6" s="3" t="s">
        <v>12</v>
      </c>
      <c r="O6" s="3" t="s">
        <v>4</v>
      </c>
      <c r="P6" s="3" t="s">
        <v>49</v>
      </c>
      <c r="Q6" s="3" t="s">
        <v>47</v>
      </c>
      <c r="R6" s="3" t="s">
        <v>138</v>
      </c>
      <c r="S6" s="3" t="s">
        <v>1354</v>
      </c>
      <c r="T6" s="3" t="s">
        <v>1355</v>
      </c>
      <c r="U6" s="3" t="s">
        <v>1356</v>
      </c>
      <c r="V6" s="3" t="s">
        <v>13</v>
      </c>
    </row>
    <row r="7" spans="1:22" x14ac:dyDescent="0.25">
      <c r="A7" s="8" t="str">
        <f>'All Players'!C147</f>
        <v>GK</v>
      </c>
      <c r="B7" s="8" t="str">
        <f>'All Players'!D147</f>
        <v>Diego</v>
      </c>
      <c r="C7" s="8" t="str">
        <f>'All Players'!E147</f>
        <v>Dávila</v>
      </c>
      <c r="D7" s="8" t="str">
        <f>'All Players'!F147</f>
        <v>D. Dávila</v>
      </c>
      <c r="E7" s="8" t="str">
        <f>'All Players'!G147</f>
        <v>Destreza</v>
      </c>
      <c r="F7" s="8">
        <f>'All Players'!H147</f>
        <v>71</v>
      </c>
      <c r="G7" s="8">
        <f>'All Players'!I147</f>
        <v>73</v>
      </c>
      <c r="H7" s="8">
        <f>'All Players'!J147</f>
        <v>91</v>
      </c>
      <c r="I7" s="8">
        <f>'All Players'!K147</f>
        <v>79</v>
      </c>
      <c r="J7" s="5">
        <f t="shared" ref="J7:J17" si="2">AVERAGE(F7:I7)</f>
        <v>78.5</v>
      </c>
      <c r="K7" s="8">
        <f>'All Players'!M147</f>
        <v>45</v>
      </c>
      <c r="L7" s="8">
        <f>'All Players'!N147</f>
        <v>65</v>
      </c>
      <c r="M7" s="4">
        <f>AVERAGE(F7:I7)*0</f>
        <v>0</v>
      </c>
      <c r="N7" s="5">
        <f>O7</f>
        <v>74.900000000000006</v>
      </c>
      <c r="O7" s="11">
        <f>F7*Formuals!B2+G7*Formuals!C2+H7*Formuals!D2+I7*Formuals!E2</f>
        <v>74.900000000000006</v>
      </c>
      <c r="P7" s="10">
        <f>((M7/SUM($M$7:$M$17)))</f>
        <v>0</v>
      </c>
      <c r="Q7" s="10">
        <f t="shared" ref="Q7:Q17" si="3">((M7/100)*(L7/100))*3</f>
        <v>0</v>
      </c>
      <c r="R7" s="8" t="str">
        <f>'All Players'!T147</f>
        <v>Peru</v>
      </c>
      <c r="S7" s="8">
        <f>'All Players'!U147</f>
        <v>29</v>
      </c>
      <c r="T7" s="8">
        <f>'All Players'!V147</f>
        <v>82</v>
      </c>
      <c r="U7" s="49">
        <f t="shared" ref="U7:U17" si="4">IF((O7*0.5)+((T7*0.5)-((S7-18)*0.1))-40&lt;0,"0",(O7*0.5)+((T7*0.5)-((S7-18)*0.1))-40)</f>
        <v>37.349999999999994</v>
      </c>
      <c r="V7" s="6" t="str">
        <f>A24</f>
        <v>Known for his dexterity and quick reflexes, embodying the agility of a jaguar.</v>
      </c>
    </row>
    <row r="8" spans="1:22" x14ac:dyDescent="0.25">
      <c r="A8" s="8" t="str">
        <f>'All Players'!C148</f>
        <v>LB</v>
      </c>
      <c r="B8" s="8" t="str">
        <f>'All Players'!D148</f>
        <v>Carlos</v>
      </c>
      <c r="C8" s="8" t="str">
        <f>'All Players'!E148</f>
        <v>Campos</v>
      </c>
      <c r="D8" s="8" t="str">
        <f>'All Players'!F148</f>
        <v>C. Campos</v>
      </c>
      <c r="E8" s="8" t="str">
        <f>'All Players'!G148</f>
        <v>Cazador</v>
      </c>
      <c r="F8" s="8">
        <f>'All Players'!H148</f>
        <v>83</v>
      </c>
      <c r="G8" s="8">
        <f>'All Players'!I148</f>
        <v>73</v>
      </c>
      <c r="H8" s="8">
        <f>'All Players'!J148</f>
        <v>72</v>
      </c>
      <c r="I8" s="8">
        <f>'All Players'!K148</f>
        <v>79</v>
      </c>
      <c r="J8" s="5">
        <f t="shared" si="2"/>
        <v>76.75</v>
      </c>
      <c r="K8" s="8">
        <f>'All Players'!M148</f>
        <v>46</v>
      </c>
      <c r="L8" s="8">
        <f>'All Players'!N148</f>
        <v>64</v>
      </c>
      <c r="M8" s="5">
        <f>0.4*O8</f>
        <v>30.380000000000003</v>
      </c>
      <c r="N8" s="5">
        <f>0.9*O8</f>
        <v>68.355000000000004</v>
      </c>
      <c r="O8" s="11">
        <f>F8*Formuals!B3+G8*Formuals!C3+H8*Formuals!D3+I8*Formuals!E3</f>
        <v>75.95</v>
      </c>
      <c r="P8" s="10">
        <f t="shared" ref="P8:P10" si="5">((M8/SUM($M$7:$M$17)))*0.67</f>
        <v>4.1896116994452864E-2</v>
      </c>
      <c r="Q8" s="10">
        <f t="shared" si="3"/>
        <v>0.58329600000000004</v>
      </c>
      <c r="R8" s="8" t="str">
        <f>'All Players'!T148</f>
        <v>Peru</v>
      </c>
      <c r="S8" s="8">
        <f>'All Players'!U148</f>
        <v>18</v>
      </c>
      <c r="T8" s="8">
        <f>'All Players'!V148</f>
        <v>78</v>
      </c>
      <c r="U8" s="49">
        <f t="shared" si="4"/>
        <v>36.974999999999994</v>
      </c>
      <c r="V8" s="6" t="str">
        <f>A27</f>
        <v>A hunter on the field, his tackles and interceptions are sharp and precise.</v>
      </c>
    </row>
    <row r="9" spans="1:22" x14ac:dyDescent="0.25">
      <c r="A9" s="8" t="str">
        <f>'All Players'!C149</f>
        <v>CB</v>
      </c>
      <c r="B9" s="8" t="str">
        <f>'All Players'!D149</f>
        <v>Miguel</v>
      </c>
      <c r="C9" s="8" t="str">
        <f>'All Players'!E149</f>
        <v>Mendoza</v>
      </c>
      <c r="D9" s="8" t="str">
        <f>'All Players'!F149</f>
        <v>M. Mendoza</v>
      </c>
      <c r="E9" s="8" t="str">
        <f>'All Players'!G149</f>
        <v>Montaña</v>
      </c>
      <c r="F9" s="8">
        <f>'All Players'!H149</f>
        <v>50</v>
      </c>
      <c r="G9" s="8">
        <f>'All Players'!I149</f>
        <v>63</v>
      </c>
      <c r="H9" s="8">
        <f>'All Players'!J149</f>
        <v>66</v>
      </c>
      <c r="I9" s="8">
        <f>'All Players'!K149</f>
        <v>56</v>
      </c>
      <c r="J9" s="5">
        <f t="shared" si="2"/>
        <v>58.75</v>
      </c>
      <c r="K9" s="8">
        <f>'All Players'!M149</f>
        <v>48</v>
      </c>
      <c r="L9" s="8">
        <f>'All Players'!N149</f>
        <v>55</v>
      </c>
      <c r="M9" s="5">
        <f>O9*0.3</f>
        <v>18.614999999999995</v>
      </c>
      <c r="N9" s="5">
        <f>O9</f>
        <v>62.04999999999999</v>
      </c>
      <c r="O9" s="11">
        <f>F9*Formuals!B4+G9*Formuals!C4+H9*Formuals!D4+I9*Formuals!E4</f>
        <v>62.04999999999999</v>
      </c>
      <c r="P9" s="10">
        <f t="shared" si="5"/>
        <v>2.5671369909537185E-2</v>
      </c>
      <c r="Q9" s="10">
        <f t="shared" si="3"/>
        <v>0.30714749999999996</v>
      </c>
      <c r="R9" s="8" t="str">
        <f>'All Players'!T149</f>
        <v>Peru</v>
      </c>
      <c r="S9" s="8">
        <f>'All Players'!U149</f>
        <v>21</v>
      </c>
      <c r="T9" s="8">
        <f>'All Players'!V149</f>
        <v>65</v>
      </c>
      <c r="U9" s="49">
        <f t="shared" si="4"/>
        <v>23.224999999999994</v>
      </c>
      <c r="V9" s="6" t="str">
        <f>A30</f>
        <v>Strong and unmovable like a mountain, he's the backbone of the defense.</v>
      </c>
    </row>
    <row r="10" spans="1:22" x14ac:dyDescent="0.25">
      <c r="A10" s="8" t="str">
        <f>'All Players'!C150</f>
        <v>CB</v>
      </c>
      <c r="B10" s="8" t="str">
        <f>'All Players'!D150</f>
        <v>Luis</v>
      </c>
      <c r="C10" s="8" t="str">
        <f>'All Players'!E150</f>
        <v>Linares</v>
      </c>
      <c r="D10" s="8" t="str">
        <f>'All Players'!F150</f>
        <v>L. Linares</v>
      </c>
      <c r="E10" s="8" t="str">
        <f>'All Players'!G150</f>
        <v>Lince</v>
      </c>
      <c r="F10" s="8">
        <f>'All Players'!H150</f>
        <v>61</v>
      </c>
      <c r="G10" s="8">
        <f>'All Players'!I150</f>
        <v>78</v>
      </c>
      <c r="H10" s="8">
        <f>'All Players'!J150</f>
        <v>85</v>
      </c>
      <c r="I10" s="8">
        <f>'All Players'!K150</f>
        <v>72</v>
      </c>
      <c r="J10" s="5">
        <f t="shared" si="2"/>
        <v>74</v>
      </c>
      <c r="K10" s="8">
        <f>'All Players'!M150</f>
        <v>53</v>
      </c>
      <c r="L10" s="8">
        <f>'All Players'!N150</f>
        <v>65</v>
      </c>
      <c r="M10" s="5">
        <f>O10*0.3</f>
        <v>23.699999999999996</v>
      </c>
      <c r="N10" s="5">
        <f>O10</f>
        <v>78.999999999999986</v>
      </c>
      <c r="O10" s="11">
        <f>F10*Formuals!B5+G10*Formuals!C5+H10*Formuals!D5+I10*Formuals!E5</f>
        <v>78.999999999999986</v>
      </c>
      <c r="P10" s="10">
        <f t="shared" si="5"/>
        <v>3.268393590416499E-2</v>
      </c>
      <c r="Q10" s="10">
        <f t="shared" si="3"/>
        <v>0.46214999999999995</v>
      </c>
      <c r="R10" s="8" t="str">
        <f>'All Players'!T150</f>
        <v>Peru</v>
      </c>
      <c r="S10" s="8">
        <f>'All Players'!U150</f>
        <v>31</v>
      </c>
      <c r="T10" s="8">
        <f>'All Players'!V150</f>
        <v>83</v>
      </c>
      <c r="U10" s="49">
        <f t="shared" si="4"/>
        <v>39.699999999999989</v>
      </c>
      <c r="V10" s="6" t="str">
        <f>A33</f>
        <v>Agile and quick, his defensive moves are as swift as a lynx.</v>
      </c>
    </row>
    <row r="11" spans="1:22" x14ac:dyDescent="0.25">
      <c r="A11" s="8" t="str">
        <f>'All Players'!C151</f>
        <v>RB</v>
      </c>
      <c r="B11" s="8" t="str">
        <f>'All Players'!D151</f>
        <v>Javier</v>
      </c>
      <c r="C11" s="8" t="str">
        <f>'All Players'!E151</f>
        <v>Juárez</v>
      </c>
      <c r="D11" s="8" t="str">
        <f>'All Players'!F151</f>
        <v>J. Juárez</v>
      </c>
      <c r="E11" s="8" t="str">
        <f>'All Players'!G151</f>
        <v>Jungle</v>
      </c>
      <c r="F11" s="8">
        <f>'All Players'!H151</f>
        <v>51</v>
      </c>
      <c r="G11" s="8">
        <f>'All Players'!I151</f>
        <v>66</v>
      </c>
      <c r="H11" s="8">
        <f>'All Players'!J151</f>
        <v>78</v>
      </c>
      <c r="I11" s="8">
        <f>'All Players'!K151</f>
        <v>86</v>
      </c>
      <c r="J11" s="5">
        <f t="shared" si="2"/>
        <v>70.25</v>
      </c>
      <c r="K11" s="8">
        <f>'All Players'!M151</f>
        <v>46</v>
      </c>
      <c r="L11" s="8">
        <f>'All Players'!N151</f>
        <v>60</v>
      </c>
      <c r="M11" s="5">
        <f>0.4*O11</f>
        <v>29.580000000000002</v>
      </c>
      <c r="N11" s="5">
        <f>0.9*O11</f>
        <v>66.555000000000007</v>
      </c>
      <c r="O11" s="11">
        <f>F11*Formuals!B6+G11*Formuals!C6+H11*Formuals!D6+I11*Formuals!E6</f>
        <v>73.95</v>
      </c>
      <c r="P11" s="10">
        <f>((M11/SUM($M$7:$M$17)))*0.67</f>
        <v>4.0792861774059101E-2</v>
      </c>
      <c r="Q11" s="10">
        <f t="shared" si="3"/>
        <v>0.53244000000000002</v>
      </c>
      <c r="R11" s="8" t="str">
        <f>'All Players'!T151</f>
        <v>Peru</v>
      </c>
      <c r="S11" s="8">
        <f>'All Players'!U151</f>
        <v>18</v>
      </c>
      <c r="T11" s="8">
        <f>'All Players'!V151</f>
        <v>96</v>
      </c>
      <c r="U11" s="49">
        <f t="shared" si="4"/>
        <v>44.974999999999994</v>
      </c>
      <c r="V11" s="6" t="str">
        <f>A36</f>
        <v>His play mirrors the complexity and unpredictability of the jungle, making him effective in both defense and offense.</v>
      </c>
    </row>
    <row r="12" spans="1:22" x14ac:dyDescent="0.25">
      <c r="A12" s="8" t="str">
        <f>'All Players'!C152</f>
        <v>CDM</v>
      </c>
      <c r="B12" s="8" t="str">
        <f>'All Players'!D152</f>
        <v>Alejandro</v>
      </c>
      <c r="C12" s="8" t="str">
        <f>'All Players'!E152</f>
        <v>Alarcón</v>
      </c>
      <c r="D12" s="8" t="str">
        <f>'All Players'!F152</f>
        <v>A. Alarcón</v>
      </c>
      <c r="E12" s="8" t="str">
        <f>'All Players'!G152</f>
        <v>Amazonas</v>
      </c>
      <c r="F12" s="8">
        <f>'All Players'!H152</f>
        <v>65</v>
      </c>
      <c r="G12" s="8">
        <f>'All Players'!I152</f>
        <v>69</v>
      </c>
      <c r="H12" s="8">
        <f>'All Players'!J152</f>
        <v>87</v>
      </c>
      <c r="I12" s="8">
        <f>'All Players'!K152</f>
        <v>94</v>
      </c>
      <c r="J12" s="5">
        <f t="shared" si="2"/>
        <v>78.75</v>
      </c>
      <c r="K12" s="8">
        <f>'All Players'!M152</f>
        <v>54</v>
      </c>
      <c r="L12" s="8">
        <f>'All Players'!N152</f>
        <v>64</v>
      </c>
      <c r="M12" s="5">
        <f>O12*0.6</f>
        <v>47.609999999999992</v>
      </c>
      <c r="N12" s="5">
        <f>O12*0.9</f>
        <v>71.414999999999992</v>
      </c>
      <c r="O12" s="11">
        <f>F12*Formuals!B7+G12*Formuals!C7+H12*Formuals!D7+I12*Formuals!E7</f>
        <v>79.349999999999994</v>
      </c>
      <c r="P12" s="10">
        <f t="shared" ref="P12:P14" si="6">((M12/SUM($M$7:$M$17)))</f>
        <v>9.799623328907961E-2</v>
      </c>
      <c r="Q12" s="10">
        <f t="shared" si="3"/>
        <v>0.91411199999999992</v>
      </c>
      <c r="R12" s="8" t="str">
        <f>'All Players'!T152</f>
        <v>Peru</v>
      </c>
      <c r="S12" s="8">
        <f>'All Players'!U152</f>
        <v>26</v>
      </c>
      <c r="T12" s="8">
        <f>'All Players'!V152</f>
        <v>88</v>
      </c>
      <c r="U12" s="49">
        <f t="shared" si="4"/>
        <v>42.875</v>
      </c>
      <c r="V12" s="6" t="str">
        <f>A39</f>
        <v>Like the vast Amazon, his presence on the field is encompassing and vital to the team's structure.</v>
      </c>
    </row>
    <row r="13" spans="1:22" x14ac:dyDescent="0.25">
      <c r="A13" s="8" t="str">
        <f>'All Players'!C153</f>
        <v>CM</v>
      </c>
      <c r="B13" s="8" t="str">
        <f>'All Players'!D153</f>
        <v>Ricardo</v>
      </c>
      <c r="C13" s="8" t="str">
        <f>'All Players'!E153</f>
        <v>Rojas</v>
      </c>
      <c r="D13" s="8" t="str">
        <f>'All Players'!F153</f>
        <v>R. Rojas</v>
      </c>
      <c r="E13" s="8" t="str">
        <f>'All Players'!G153</f>
        <v>Rio</v>
      </c>
      <c r="F13" s="8">
        <f>'All Players'!H153</f>
        <v>60</v>
      </c>
      <c r="G13" s="8">
        <f>'All Players'!I153</f>
        <v>83</v>
      </c>
      <c r="H13" s="8">
        <f>'All Players'!J153</f>
        <v>86</v>
      </c>
      <c r="I13" s="8">
        <f>'All Players'!K153</f>
        <v>73</v>
      </c>
      <c r="J13" s="5">
        <f t="shared" si="2"/>
        <v>75.5</v>
      </c>
      <c r="K13" s="8">
        <f>'All Players'!M153</f>
        <v>51</v>
      </c>
      <c r="L13" s="8">
        <f>'All Players'!N153</f>
        <v>61</v>
      </c>
      <c r="M13" s="5">
        <f>O13*0.75</f>
        <v>57.150000000000006</v>
      </c>
      <c r="N13" s="5">
        <f>O13*0.75</f>
        <v>57.150000000000006</v>
      </c>
      <c r="O13" s="11">
        <f>F13*Formuals!B8+G13*Formuals!C8+H13*Formuals!D8+I13*Formuals!E8</f>
        <v>76.2</v>
      </c>
      <c r="P13" s="10">
        <f t="shared" si="6"/>
        <v>0.11763252956250581</v>
      </c>
      <c r="Q13" s="10">
        <f t="shared" si="3"/>
        <v>1.0458449999999999</v>
      </c>
      <c r="R13" s="8" t="str">
        <f>'All Players'!T153</f>
        <v>Peru</v>
      </c>
      <c r="S13" s="8">
        <f>'All Players'!U153</f>
        <v>32</v>
      </c>
      <c r="T13" s="8">
        <f>'All Players'!V153</f>
        <v>80</v>
      </c>
      <c r="U13" s="49">
        <f t="shared" si="4"/>
        <v>36.700000000000003</v>
      </c>
      <c r="V13" s="6" t="str">
        <f>A42</f>
        <v>His flowing playstyle and ability to navigate through the opposition is like a river cutting through the landscape.</v>
      </c>
    </row>
    <row r="14" spans="1:22" x14ac:dyDescent="0.25">
      <c r="A14" s="8" t="str">
        <f>'All Players'!C154</f>
        <v>CAM</v>
      </c>
      <c r="B14" s="8" t="str">
        <f>'All Players'!D154</f>
        <v>Fernando</v>
      </c>
      <c r="C14" s="8" t="str">
        <f>'All Players'!E154</f>
        <v>Flores</v>
      </c>
      <c r="D14" s="8" t="str">
        <f>'All Players'!F154</f>
        <v>F. Flores</v>
      </c>
      <c r="E14" s="8" t="str">
        <f>'All Players'!G154</f>
        <v>Feroz</v>
      </c>
      <c r="F14" s="8">
        <f>'All Players'!H154</f>
        <v>52</v>
      </c>
      <c r="G14" s="8">
        <f>'All Players'!I154</f>
        <v>61</v>
      </c>
      <c r="H14" s="8">
        <f>'All Players'!J154</f>
        <v>86</v>
      </c>
      <c r="I14" s="8">
        <f>'All Players'!K154</f>
        <v>78</v>
      </c>
      <c r="J14" s="5">
        <f t="shared" si="2"/>
        <v>69.25</v>
      </c>
      <c r="K14" s="8">
        <f>'All Players'!M154</f>
        <v>55</v>
      </c>
      <c r="L14" s="8">
        <f>'All Players'!N154</f>
        <v>64</v>
      </c>
      <c r="M14" s="5">
        <f>O14*0.9</f>
        <v>56.25</v>
      </c>
      <c r="N14" s="5">
        <f>O14*0.6</f>
        <v>37.5</v>
      </c>
      <c r="O14" s="11">
        <f>F14*Formuals!B9+G14*Formuals!C9+H14*Formuals!D9+I14*Formuals!E9</f>
        <v>62.5</v>
      </c>
      <c r="P14" s="10">
        <f t="shared" si="6"/>
        <v>0.1157800487819939</v>
      </c>
      <c r="Q14" s="10">
        <f t="shared" si="3"/>
        <v>1.08</v>
      </c>
      <c r="R14" s="8" t="str">
        <f>'All Players'!T154</f>
        <v>Peru</v>
      </c>
      <c r="S14" s="8">
        <f>'All Players'!U154</f>
        <v>19</v>
      </c>
      <c r="T14" s="8">
        <f>'All Players'!V154</f>
        <v>69</v>
      </c>
      <c r="U14" s="49">
        <f t="shared" si="4"/>
        <v>25.650000000000006</v>
      </c>
      <c r="V14" s="6" t="str">
        <f>A45</f>
        <v>Fierce and daring in his play, he's a key creator for the team.</v>
      </c>
    </row>
    <row r="15" spans="1:22" x14ac:dyDescent="0.25">
      <c r="A15" s="8" t="str">
        <f>'All Players'!C155</f>
        <v>LW</v>
      </c>
      <c r="B15" s="8" t="str">
        <f>'All Players'!D155</f>
        <v>Sergio</v>
      </c>
      <c r="C15" s="8" t="str">
        <f>'All Players'!E155</f>
        <v>Sánchez</v>
      </c>
      <c r="D15" s="8" t="str">
        <f>'All Players'!F155</f>
        <v>S. Sánchez</v>
      </c>
      <c r="E15" s="8" t="str">
        <f>'All Players'!G155</f>
        <v>Selva</v>
      </c>
      <c r="F15" s="8">
        <f>'All Players'!H155</f>
        <v>69</v>
      </c>
      <c r="G15" s="8">
        <f>'All Players'!I155</f>
        <v>79</v>
      </c>
      <c r="H15" s="8">
        <f>'All Players'!J155</f>
        <v>69</v>
      </c>
      <c r="I15" s="8">
        <f>'All Players'!K155</f>
        <v>82</v>
      </c>
      <c r="J15" s="5">
        <f t="shared" si="2"/>
        <v>74.75</v>
      </c>
      <c r="K15" s="8">
        <f>'All Players'!M155</f>
        <v>55</v>
      </c>
      <c r="L15" s="8">
        <f>'All Players'!N155</f>
        <v>55</v>
      </c>
      <c r="M15" s="5">
        <f>O15</f>
        <v>76.349999999999994</v>
      </c>
      <c r="N15" s="5">
        <f>O15*0.3</f>
        <v>22.904999999999998</v>
      </c>
      <c r="O15" s="11">
        <f>F15*Formuals!B10+G15*Formuals!C10+H15*Formuals!D10+I15*Formuals!E10</f>
        <v>76.349999999999994</v>
      </c>
      <c r="P15" s="10">
        <f>((M15/SUM($M$7:$M$17)))*1.33</f>
        <v>0.20901231899719042</v>
      </c>
      <c r="Q15" s="10">
        <f t="shared" si="3"/>
        <v>1.2597749999999999</v>
      </c>
      <c r="R15" s="8" t="str">
        <f>'All Players'!T155</f>
        <v>Peru</v>
      </c>
      <c r="S15" s="8">
        <f>'All Players'!U155</f>
        <v>18</v>
      </c>
      <c r="T15" s="8">
        <f>'All Players'!V155</f>
        <v>79</v>
      </c>
      <c r="U15" s="49">
        <f t="shared" si="4"/>
        <v>37.674999999999997</v>
      </c>
      <c r="V15" s="6" t="str">
        <f>A48</f>
        <v>Known for his wild and unpredictable moves, much like the mysteries of the selva (jungle).</v>
      </c>
    </row>
    <row r="16" spans="1:22" x14ac:dyDescent="0.25">
      <c r="A16" s="8" t="str">
        <f>'All Players'!C156</f>
        <v>ST</v>
      </c>
      <c r="B16" s="8" t="str">
        <f>'All Players'!D156</f>
        <v>Juan</v>
      </c>
      <c r="C16" s="8" t="str">
        <f>'All Players'!E156</f>
        <v>Jiménez</v>
      </c>
      <c r="D16" s="8" t="str">
        <f>'All Players'!F156</f>
        <v>J. Jiménez</v>
      </c>
      <c r="E16" s="8" t="str">
        <f>'All Players'!G156</f>
        <v>Jaguar</v>
      </c>
      <c r="F16" s="8">
        <f>'All Players'!H156</f>
        <v>53</v>
      </c>
      <c r="G16" s="8">
        <f>'All Players'!I156</f>
        <v>90</v>
      </c>
      <c r="H16" s="8">
        <f>'All Players'!J156</f>
        <v>97</v>
      </c>
      <c r="I16" s="8">
        <f>'All Players'!K156</f>
        <v>98</v>
      </c>
      <c r="J16" s="5">
        <f t="shared" si="2"/>
        <v>84.5</v>
      </c>
      <c r="K16" s="8">
        <f>'All Players'!M156</f>
        <v>52</v>
      </c>
      <c r="L16" s="8">
        <f>'All Players'!N156</f>
        <v>63</v>
      </c>
      <c r="M16" s="5">
        <f>O16</f>
        <v>80.150000000000006</v>
      </c>
      <c r="N16" s="5">
        <f t="shared" ref="N16:N17" si="7">O16*0.3</f>
        <v>24.045000000000002</v>
      </c>
      <c r="O16" s="11">
        <f>F16*Formuals!B11+G16*Formuals!C11+H16*Formuals!D11+I16*Formuals!E11</f>
        <v>80.150000000000006</v>
      </c>
      <c r="P16" s="10">
        <f t="shared" ref="P16:P17" si="8">((M16/SUM($M$7:$M$17)))*1.33</f>
        <v>0.21941502773575394</v>
      </c>
      <c r="Q16" s="10">
        <f t="shared" si="3"/>
        <v>1.5148350000000002</v>
      </c>
      <c r="R16" s="8" t="str">
        <f>'All Players'!T156</f>
        <v>Peru</v>
      </c>
      <c r="S16" s="8">
        <f>'All Players'!U156</f>
        <v>27</v>
      </c>
      <c r="T16" s="8">
        <f>'All Players'!V156</f>
        <v>92</v>
      </c>
      <c r="U16" s="49">
        <f t="shared" si="4"/>
        <v>45.175000000000011</v>
      </c>
      <c r="V16" s="6" t="str">
        <f>A51</f>
        <v>Quick, powerful, and stealthy, he embodies the spirit of the jaguar in his play.</v>
      </c>
    </row>
    <row r="17" spans="1:22" x14ac:dyDescent="0.25">
      <c r="A17" s="8" t="str">
        <f>'All Players'!C157</f>
        <v>RW</v>
      </c>
      <c r="B17" s="8" t="str">
        <f>'All Players'!D157</f>
        <v>Andrés</v>
      </c>
      <c r="C17" s="8" t="str">
        <f>'All Players'!E157</f>
        <v>Arroyo</v>
      </c>
      <c r="D17" s="8" t="str">
        <f>'All Players'!F157</f>
        <v>A. Arroyo</v>
      </c>
      <c r="E17" s="8" t="str">
        <f>'All Players'!G157</f>
        <v>Agile</v>
      </c>
      <c r="F17" s="8">
        <f>'All Players'!H157</f>
        <v>54</v>
      </c>
      <c r="G17" s="8">
        <f>'All Players'!I157</f>
        <v>65</v>
      </c>
      <c r="H17" s="8">
        <f>'All Players'!J157</f>
        <v>82</v>
      </c>
      <c r="I17" s="8">
        <f>'All Players'!K157</f>
        <v>74</v>
      </c>
      <c r="J17" s="5">
        <f t="shared" si="2"/>
        <v>68.75</v>
      </c>
      <c r="K17" s="8">
        <f>'All Players'!M157</f>
        <v>50</v>
      </c>
      <c r="L17" s="8">
        <f>'All Players'!N157</f>
        <v>64</v>
      </c>
      <c r="M17" s="5">
        <f>O17</f>
        <v>66.050000000000011</v>
      </c>
      <c r="N17" s="5">
        <f t="shared" si="7"/>
        <v>19.815000000000001</v>
      </c>
      <c r="O17" s="11">
        <f>F17*Formuals!B12+G17*Formuals!C12+H17*Formuals!D12+I17*Formuals!E12</f>
        <v>66.050000000000011</v>
      </c>
      <c r="P17" s="10">
        <f t="shared" si="8"/>
        <v>0.18081550320582096</v>
      </c>
      <c r="Q17" s="10">
        <f t="shared" si="3"/>
        <v>1.2681600000000002</v>
      </c>
      <c r="R17" s="8" t="str">
        <f>'All Players'!T157</f>
        <v>Peru</v>
      </c>
      <c r="S17" s="8">
        <f>'All Players'!U157</f>
        <v>28</v>
      </c>
      <c r="T17" s="8">
        <f>'All Players'!V157</f>
        <v>70</v>
      </c>
      <c r="U17" s="49">
        <f t="shared" si="4"/>
        <v>27.025000000000006</v>
      </c>
      <c r="V17" s="6" t="str">
        <f>A54</f>
        <v>His agility and sharp instincts in front of the goal make him a constant threat.</v>
      </c>
    </row>
    <row r="18" spans="1:22" x14ac:dyDescent="0.25">
      <c r="F18" s="18">
        <f t="shared" ref="F18:G18" si="9">LARGE(F7:F17,1) - SMALL(F7:F17,1)</f>
        <v>33</v>
      </c>
      <c r="G18" s="18">
        <f t="shared" si="9"/>
        <v>29</v>
      </c>
      <c r="H18" s="18">
        <f>LARGE(H7:H17,1) - SMALL(H7:H17,1)</f>
        <v>31</v>
      </c>
      <c r="I18" s="18">
        <f>LARGE(I7:I17,1) - SMALL(I7:I17,1)</f>
        <v>42</v>
      </c>
      <c r="J18" s="19">
        <f t="shared" ref="J18:L18" si="10">LARGE(J7:J17,1) - SMALL(J7:J17,1)</f>
        <v>25.75</v>
      </c>
      <c r="K18" s="18">
        <f t="shared" si="10"/>
        <v>10</v>
      </c>
      <c r="L18" s="18">
        <f t="shared" si="10"/>
        <v>10</v>
      </c>
      <c r="O18" s="19">
        <f t="shared" ref="O18" si="11">LARGE(O7:O17,1) - SMALL(O7:O17,1)</f>
        <v>18.100000000000016</v>
      </c>
      <c r="P18" s="48">
        <f>SUM(P7:P17)</f>
        <v>1.0816959461545588</v>
      </c>
      <c r="S18">
        <f>AVERAGE(S7:S17)</f>
        <v>24.272727272727273</v>
      </c>
      <c r="T18">
        <f>AVERAGE(T7:T17)</f>
        <v>80.181818181818187</v>
      </c>
      <c r="U18" s="50">
        <f>SUM(U7:U17)</f>
        <v>397.32499999999993</v>
      </c>
    </row>
    <row r="19" spans="1:22" x14ac:dyDescent="0.25">
      <c r="B19" s="3" t="s">
        <v>1</v>
      </c>
      <c r="C19" s="3" t="s">
        <v>2</v>
      </c>
      <c r="D19" s="3" t="s">
        <v>3</v>
      </c>
    </row>
    <row r="20" spans="1:22" x14ac:dyDescent="0.25">
      <c r="A20" s="3" t="s">
        <v>4</v>
      </c>
      <c r="B20" s="2">
        <f>AVERAGE(O7:O12)*0.1+AVERAGE(O13:O17)*0.9</f>
        <v>72.445000000000007</v>
      </c>
      <c r="C20" s="2">
        <f>AVERAGE(O7:O12)*0.9+AVERAGE(O13:O17)*0.1</f>
        <v>74.004999999999981</v>
      </c>
      <c r="D20" s="2">
        <f>AVERAGE(K7:K17)*0.5+AVERAGE(L7:L17)*0.5</f>
        <v>56.13636363636364</v>
      </c>
    </row>
    <row r="22" spans="1:22" x14ac:dyDescent="0.25">
      <c r="A22" t="s">
        <v>240</v>
      </c>
    </row>
    <row r="24" spans="1:22" x14ac:dyDescent="0.25">
      <c r="A24" t="s">
        <v>229</v>
      </c>
    </row>
    <row r="25" spans="1:22" x14ac:dyDescent="0.25">
      <c r="A25" t="s">
        <v>241</v>
      </c>
    </row>
    <row r="27" spans="1:22" x14ac:dyDescent="0.25">
      <c r="A27" t="s">
        <v>230</v>
      </c>
    </row>
    <row r="28" spans="1:22" x14ac:dyDescent="0.25">
      <c r="A28" t="s">
        <v>242</v>
      </c>
    </row>
    <row r="30" spans="1:22" x14ac:dyDescent="0.25">
      <c r="A30" t="s">
        <v>231</v>
      </c>
    </row>
    <row r="31" spans="1:22" x14ac:dyDescent="0.25">
      <c r="A31" t="s">
        <v>243</v>
      </c>
    </row>
    <row r="33" spans="1:1" x14ac:dyDescent="0.25">
      <c r="A33" t="s">
        <v>232</v>
      </c>
    </row>
    <row r="34" spans="1:1" x14ac:dyDescent="0.25">
      <c r="A34" t="s">
        <v>244</v>
      </c>
    </row>
    <row r="36" spans="1:1" x14ac:dyDescent="0.25">
      <c r="A36" t="s">
        <v>233</v>
      </c>
    </row>
    <row r="37" spans="1:1" x14ac:dyDescent="0.25">
      <c r="A37" t="s">
        <v>245</v>
      </c>
    </row>
    <row r="39" spans="1:1" x14ac:dyDescent="0.25">
      <c r="A39" t="s">
        <v>234</v>
      </c>
    </row>
    <row r="40" spans="1:1" x14ac:dyDescent="0.25">
      <c r="A40" t="s">
        <v>246</v>
      </c>
    </row>
    <row r="42" spans="1:1" x14ac:dyDescent="0.25">
      <c r="A42" t="s">
        <v>235</v>
      </c>
    </row>
    <row r="43" spans="1:1" x14ac:dyDescent="0.25">
      <c r="A43" t="s">
        <v>247</v>
      </c>
    </row>
    <row r="45" spans="1:1" x14ac:dyDescent="0.25">
      <c r="A45" t="s">
        <v>236</v>
      </c>
    </row>
    <row r="46" spans="1:1" x14ac:dyDescent="0.25">
      <c r="A46" t="s">
        <v>248</v>
      </c>
    </row>
    <row r="48" spans="1:1" x14ac:dyDescent="0.25">
      <c r="A48" t="s">
        <v>237</v>
      </c>
    </row>
    <row r="49" spans="1:1" x14ac:dyDescent="0.25">
      <c r="A49" t="s">
        <v>249</v>
      </c>
    </row>
    <row r="51" spans="1:1" x14ac:dyDescent="0.25">
      <c r="A51" t="s">
        <v>238</v>
      </c>
    </row>
    <row r="52" spans="1:1" x14ac:dyDescent="0.25">
      <c r="A52" t="s">
        <v>250</v>
      </c>
    </row>
    <row r="54" spans="1:1" x14ac:dyDescent="0.25">
      <c r="A54" t="s">
        <v>239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67CEB-EBD1-47DE-A789-8694B56B33C8}">
  <sheetPr codeName="Sheet19">
    <tabColor theme="6"/>
  </sheetPr>
  <dimension ref="A1:V54"/>
  <sheetViews>
    <sheetView workbookViewId="0">
      <selection activeCell="T20" sqref="T20"/>
    </sheetView>
  </sheetViews>
  <sheetFormatPr defaultRowHeight="15" x14ac:dyDescent="0.25"/>
  <cols>
    <col min="1" max="1" width="8.28515625" bestFit="1" customWidth="1"/>
    <col min="2" max="2" width="12.7109375" bestFit="1" customWidth="1"/>
    <col min="3" max="3" width="13.85546875" bestFit="1" customWidth="1"/>
    <col min="4" max="4" width="15.7109375" bestFit="1" customWidth="1"/>
    <col min="5" max="5" width="10.28515625" bestFit="1" customWidth="1"/>
  </cols>
  <sheetData>
    <row r="1" spans="1:22" x14ac:dyDescent="0.25">
      <c r="A1" s="3" t="s">
        <v>19</v>
      </c>
      <c r="B1" s="6" t="s">
        <v>37</v>
      </c>
      <c r="K1">
        <f ca="1">RANDBETWEEN(K$4-5,K$4+5)</f>
        <v>67</v>
      </c>
      <c r="L1">
        <f ca="1">RANDBETWEEN(L$4-5,L$4+5)</f>
        <v>85</v>
      </c>
    </row>
    <row r="2" spans="1:22" x14ac:dyDescent="0.25">
      <c r="A2" s="3" t="s">
        <v>20</v>
      </c>
      <c r="B2" s="6" t="s">
        <v>251</v>
      </c>
    </row>
    <row r="3" spans="1:22" x14ac:dyDescent="0.25">
      <c r="A3" s="3" t="s">
        <v>138</v>
      </c>
      <c r="B3" s="6" t="str">
        <f>VLOOKUP(B1,STATS!L1:AA21,16,FALSE)</f>
        <v>Botswana</v>
      </c>
    </row>
    <row r="4" spans="1:22" x14ac:dyDescent="0.25">
      <c r="A4" s="3" t="s">
        <v>22</v>
      </c>
      <c r="B4" s="1">
        <f>((B20+C20)/2)*((D20+50)/100)</f>
        <v>72.090389204545446</v>
      </c>
      <c r="F4">
        <f>VLOOKUP($B$1,STATS!$L$1:$Q$21,3,FALSE)</f>
        <v>30</v>
      </c>
      <c r="G4">
        <f>VLOOKUP($B$1,STATS!$L$1:$Q$21,4,FALSE)</f>
        <v>90</v>
      </c>
      <c r="H4">
        <f>VLOOKUP($B$1,STATS!$L$1:$Q$21,5,FALSE)</f>
        <v>100</v>
      </c>
      <c r="I4">
        <f>VLOOKUP($B$1,STATS!$L$1:$Q$21,6,FALSE)</f>
        <v>5</v>
      </c>
      <c r="J4">
        <f>AVERAGE(F4:I4)</f>
        <v>56.25</v>
      </c>
      <c r="K4">
        <v>70</v>
      </c>
      <c r="L4">
        <v>90</v>
      </c>
    </row>
    <row r="5" spans="1:22" x14ac:dyDescent="0.25">
      <c r="F5" s="12">
        <f t="shared" ref="F5:H5" si="0">AVERAGE(F7:F17)</f>
        <v>24.818181818181817</v>
      </c>
      <c r="G5" s="12">
        <f t="shared" si="0"/>
        <v>95.63636363636364</v>
      </c>
      <c r="H5" s="12">
        <f t="shared" si="0"/>
        <v>96.818181818181813</v>
      </c>
      <c r="I5" s="12">
        <f>AVERAGE(I7:I17)</f>
        <v>8.9090909090909083</v>
      </c>
      <c r="J5" s="12">
        <f>AVERAGE(J7:J17)</f>
        <v>56.545454545454547</v>
      </c>
      <c r="K5" s="12">
        <f t="shared" ref="K5:M5" si="1">AVERAGE(K7:K17)</f>
        <v>70.818181818181813</v>
      </c>
      <c r="L5" s="12">
        <f t="shared" si="1"/>
        <v>89.818181818181813</v>
      </c>
      <c r="M5" s="12">
        <f t="shared" si="1"/>
        <v>30.599999999999998</v>
      </c>
      <c r="N5" s="12">
        <f>AVERAGE(N7:N17)</f>
        <v>44.24613636363636</v>
      </c>
      <c r="O5" s="12">
        <f>AVERAGE(O7:O17)</f>
        <v>56.234090909090895</v>
      </c>
    </row>
    <row r="6" spans="1:22" x14ac:dyDescent="0.25">
      <c r="A6" s="3" t="s">
        <v>7</v>
      </c>
      <c r="B6" s="3" t="s">
        <v>8</v>
      </c>
      <c r="C6" s="3" t="s">
        <v>9</v>
      </c>
      <c r="D6" s="3" t="s">
        <v>44</v>
      </c>
      <c r="E6" s="3" t="s">
        <v>50</v>
      </c>
      <c r="F6" s="3" t="s">
        <v>17</v>
      </c>
      <c r="G6" s="3" t="s">
        <v>14</v>
      </c>
      <c r="H6" s="3" t="s">
        <v>15</v>
      </c>
      <c r="I6" s="3" t="s">
        <v>16</v>
      </c>
      <c r="J6" s="3" t="s">
        <v>48</v>
      </c>
      <c r="K6" s="3" t="s">
        <v>3</v>
      </c>
      <c r="L6" s="3" t="s">
        <v>10</v>
      </c>
      <c r="M6" s="3" t="s">
        <v>1</v>
      </c>
      <c r="N6" s="3" t="s">
        <v>12</v>
      </c>
      <c r="O6" s="3" t="s">
        <v>4</v>
      </c>
      <c r="P6" s="3" t="s">
        <v>49</v>
      </c>
      <c r="Q6" s="3" t="s">
        <v>47</v>
      </c>
      <c r="R6" s="3" t="s">
        <v>138</v>
      </c>
      <c r="S6" s="3" t="s">
        <v>1354</v>
      </c>
      <c r="T6" s="3" t="s">
        <v>1355</v>
      </c>
      <c r="U6" s="3" t="s">
        <v>1356</v>
      </c>
      <c r="V6" s="3" t="s">
        <v>13</v>
      </c>
    </row>
    <row r="7" spans="1:22" x14ac:dyDescent="0.25">
      <c r="A7" s="8" t="str">
        <f>'All Players'!C158</f>
        <v>GK</v>
      </c>
      <c r="B7" s="8" t="str">
        <f>'All Players'!D158</f>
        <v>Tshepo</v>
      </c>
      <c r="C7" s="8" t="str">
        <f>'All Players'!E158</f>
        <v>Tshabalala</v>
      </c>
      <c r="D7" s="8" t="str">
        <f>'All Players'!F158</f>
        <v>T. Tshabalala</v>
      </c>
      <c r="E7" s="8" t="str">
        <f>'All Players'!G158</f>
        <v>Trunk</v>
      </c>
      <c r="F7" s="8">
        <f>'All Players'!H158</f>
        <v>43</v>
      </c>
      <c r="G7" s="8">
        <f>'All Players'!I158</f>
        <v>100</v>
      </c>
      <c r="H7" s="8">
        <f>'All Players'!J158</f>
        <v>100</v>
      </c>
      <c r="I7" s="8">
        <f>'All Players'!K158</f>
        <v>4</v>
      </c>
      <c r="J7" s="5">
        <f t="shared" ref="J7:J17" si="2">AVERAGE(F7:I7)</f>
        <v>61.75</v>
      </c>
      <c r="K7" s="8">
        <f>'All Players'!M158</f>
        <v>68</v>
      </c>
      <c r="L7" s="8">
        <f>'All Players'!N158</f>
        <v>86</v>
      </c>
      <c r="M7" s="4">
        <f>AVERAGE(F7:I7)*0</f>
        <v>0</v>
      </c>
      <c r="N7" s="5">
        <f>O7</f>
        <v>62.800000000000004</v>
      </c>
      <c r="O7" s="11">
        <f>F7*Formuals!B2+G7*Formuals!C2+H7*Formuals!D2+I7*Formuals!E2</f>
        <v>62.800000000000004</v>
      </c>
      <c r="P7" s="10">
        <f>((M7/SUM($M$7:$M$17)))</f>
        <v>0</v>
      </c>
      <c r="Q7" s="10">
        <f t="shared" ref="Q7:Q17" si="3">((M7/100)*(L7/100))*3</f>
        <v>0</v>
      </c>
      <c r="R7" s="8" t="str">
        <f>'All Players'!T158</f>
        <v>Botswana</v>
      </c>
      <c r="S7" s="8">
        <f>'All Players'!U158</f>
        <v>22</v>
      </c>
      <c r="T7" s="8">
        <f>'All Players'!V158</f>
        <v>66</v>
      </c>
      <c r="U7" s="49">
        <f t="shared" ref="U7:U17" si="4">IF((O7*0.5)+((T7*0.5)-((S7-18)*0.1))-40&lt;0,"0",(O7*0.5)+((T7*0.5)-((S7-18)*0.1))-40)</f>
        <v>24</v>
      </c>
      <c r="V7" s="6" t="str">
        <f>A24</f>
        <v>Known for his commanding presence in goal, much like the powerful trunk of an elephant.</v>
      </c>
    </row>
    <row r="8" spans="1:22" x14ac:dyDescent="0.25">
      <c r="A8" s="8" t="str">
        <f>'All Players'!C159</f>
        <v>LB</v>
      </c>
      <c r="B8" s="8" t="str">
        <f>'All Players'!D159</f>
        <v>Kagiso</v>
      </c>
      <c r="C8" s="8" t="str">
        <f>'All Players'!E159</f>
        <v>Khama</v>
      </c>
      <c r="D8" s="8" t="str">
        <f>'All Players'!F159</f>
        <v>K. Khama</v>
      </c>
      <c r="E8" s="8" t="str">
        <f>'All Players'!G159</f>
        <v>Kalahari</v>
      </c>
      <c r="F8" s="8">
        <f>'All Players'!H159</f>
        <v>14</v>
      </c>
      <c r="G8" s="8">
        <f>'All Players'!I159</f>
        <v>90</v>
      </c>
      <c r="H8" s="8">
        <f>'All Players'!J159</f>
        <v>84</v>
      </c>
      <c r="I8" s="8">
        <f>'All Players'!K159</f>
        <v>4</v>
      </c>
      <c r="J8" s="5">
        <f t="shared" si="2"/>
        <v>48</v>
      </c>
      <c r="K8" s="8">
        <f>'All Players'!M159</f>
        <v>70</v>
      </c>
      <c r="L8" s="8">
        <f>'All Players'!N159</f>
        <v>89</v>
      </c>
      <c r="M8" s="5">
        <f>0.4*O8</f>
        <v>20.28</v>
      </c>
      <c r="N8" s="5">
        <f>0.9*O8</f>
        <v>45.63</v>
      </c>
      <c r="O8" s="11">
        <f>F8*Formuals!B3+G8*Formuals!C3+H8*Formuals!D3+I8*Formuals!E3</f>
        <v>50.7</v>
      </c>
      <c r="P8" s="10">
        <f t="shared" ref="P8:P10" si="5">((M8/SUM($M$7:$M$17)))*0.67</f>
        <v>4.0367201426024964E-2</v>
      </c>
      <c r="Q8" s="10">
        <f t="shared" si="3"/>
        <v>0.54147600000000007</v>
      </c>
      <c r="R8" s="8" t="str">
        <f>'All Players'!T159</f>
        <v>Botswana</v>
      </c>
      <c r="S8" s="8">
        <f>'All Players'!U159</f>
        <v>35</v>
      </c>
      <c r="T8" s="8">
        <f>'All Players'!V159</f>
        <v>51</v>
      </c>
      <c r="U8" s="49">
        <f t="shared" si="4"/>
        <v>9.1500000000000057</v>
      </c>
      <c r="V8" s="6" t="str">
        <f>A27</f>
        <v>His endurance and ability to cover vast spaces on the field mirror the expanse of the Kalahari.</v>
      </c>
    </row>
    <row r="9" spans="1:22" x14ac:dyDescent="0.25">
      <c r="A9" s="8" t="str">
        <f>'All Players'!C160</f>
        <v>CB</v>
      </c>
      <c r="B9" s="8" t="str">
        <f>'All Players'!D160</f>
        <v>Oarabile</v>
      </c>
      <c r="C9" s="8" t="str">
        <f>'All Players'!E160</f>
        <v>Odirile</v>
      </c>
      <c r="D9" s="8" t="str">
        <f>'All Players'!F160</f>
        <v>O. Odirile</v>
      </c>
      <c r="E9" s="8" t="str">
        <f>'All Players'!G160</f>
        <v>Obstinate</v>
      </c>
      <c r="F9" s="8">
        <f>'All Players'!H160</f>
        <v>33</v>
      </c>
      <c r="G9" s="8">
        <f>'All Players'!I160</f>
        <v>93</v>
      </c>
      <c r="H9" s="8">
        <f>'All Players'!J160</f>
        <v>88</v>
      </c>
      <c r="I9" s="8">
        <f>'All Players'!K160</f>
        <v>11</v>
      </c>
      <c r="J9" s="5">
        <f t="shared" si="2"/>
        <v>56.25</v>
      </c>
      <c r="K9" s="8">
        <f>'All Players'!M160</f>
        <v>75</v>
      </c>
      <c r="L9" s="8">
        <f>'All Players'!N160</f>
        <v>90</v>
      </c>
      <c r="M9" s="5">
        <f>O9*0.3</f>
        <v>21.0975</v>
      </c>
      <c r="N9" s="5">
        <f>O9</f>
        <v>70.325000000000003</v>
      </c>
      <c r="O9" s="11">
        <f>F9*Formuals!B4+G9*Formuals!C4+H9*Formuals!D4+I9*Formuals!E4</f>
        <v>70.325000000000003</v>
      </c>
      <c r="P9" s="10">
        <f t="shared" si="5"/>
        <v>4.1994429590017833E-2</v>
      </c>
      <c r="Q9" s="10">
        <f t="shared" si="3"/>
        <v>0.56963249999999999</v>
      </c>
      <c r="R9" s="8" t="str">
        <f>'All Players'!T160</f>
        <v>Botswana</v>
      </c>
      <c r="S9" s="8">
        <f>'All Players'!U160</f>
        <v>18</v>
      </c>
      <c r="T9" s="8">
        <f>'All Players'!V160</f>
        <v>71</v>
      </c>
      <c r="U9" s="49">
        <f t="shared" si="4"/>
        <v>30.662499999999994</v>
      </c>
      <c r="V9" s="6" t="str">
        <f>A30</f>
        <v>Strong and unyielding in defense, he's as steadfast as an elephant.</v>
      </c>
    </row>
    <row r="10" spans="1:22" x14ac:dyDescent="0.25">
      <c r="A10" s="8" t="str">
        <f>'All Players'!C161</f>
        <v>CB</v>
      </c>
      <c r="B10" s="8" t="str">
        <f>'All Players'!D161</f>
        <v>Thabo</v>
      </c>
      <c r="C10" s="8" t="str">
        <f>'All Players'!E161</f>
        <v>Thamaga</v>
      </c>
      <c r="D10" s="8" t="str">
        <f>'All Players'!F161</f>
        <v>T. Thamaga</v>
      </c>
      <c r="E10" s="8" t="str">
        <f>'All Players'!G161</f>
        <v>Tusker</v>
      </c>
      <c r="F10" s="8">
        <f>'All Players'!H161</f>
        <v>22</v>
      </c>
      <c r="G10" s="8">
        <f>'All Players'!I161</f>
        <v>100</v>
      </c>
      <c r="H10" s="8">
        <f>'All Players'!J161</f>
        <v>100</v>
      </c>
      <c r="I10" s="8">
        <f>'All Players'!K161</f>
        <v>9</v>
      </c>
      <c r="J10" s="5">
        <f t="shared" si="2"/>
        <v>57.75</v>
      </c>
      <c r="K10" s="8">
        <f>'All Players'!M161</f>
        <v>71</v>
      </c>
      <c r="L10" s="8">
        <f>'All Players'!N161</f>
        <v>95</v>
      </c>
      <c r="M10" s="5">
        <f>O10*0.3</f>
        <v>22.979999999999997</v>
      </c>
      <c r="N10" s="5">
        <f>O10</f>
        <v>76.599999999999994</v>
      </c>
      <c r="O10" s="11">
        <f>F10*Formuals!B5+G10*Formuals!C5+H10*Formuals!D5+I10*Formuals!E5</f>
        <v>76.599999999999994</v>
      </c>
      <c r="P10" s="10">
        <f t="shared" si="5"/>
        <v>4.5741532976827093E-2</v>
      </c>
      <c r="Q10" s="10">
        <f t="shared" si="3"/>
        <v>0.6549299999999999</v>
      </c>
      <c r="R10" s="8" t="str">
        <f>'All Players'!T161</f>
        <v>Botswana</v>
      </c>
      <c r="S10" s="8">
        <f>'All Players'!U161</f>
        <v>24</v>
      </c>
      <c r="T10" s="8">
        <f>'All Players'!V161</f>
        <v>93</v>
      </c>
      <c r="U10" s="49">
        <f t="shared" si="4"/>
        <v>44.199999999999989</v>
      </c>
      <c r="V10" s="6" t="str">
        <f>A33</f>
        <v>With his towering height and strength, he's a formidable barrier in the defense.</v>
      </c>
    </row>
    <row r="11" spans="1:22" x14ac:dyDescent="0.25">
      <c r="A11" s="8" t="str">
        <f>'All Players'!C162</f>
        <v>RB</v>
      </c>
      <c r="B11" s="8" t="str">
        <f>'All Players'!D162</f>
        <v>Mpho</v>
      </c>
      <c r="C11" s="8" t="str">
        <f>'All Players'!E162</f>
        <v>Motswakae</v>
      </c>
      <c r="D11" s="8" t="str">
        <f>'All Players'!F162</f>
        <v>M. Motswakae</v>
      </c>
      <c r="E11" s="8" t="str">
        <f>'All Players'!G162</f>
        <v>Mighty</v>
      </c>
      <c r="F11" s="8">
        <f>'All Players'!H162</f>
        <v>25</v>
      </c>
      <c r="G11" s="8">
        <f>'All Players'!I162</f>
        <v>89</v>
      </c>
      <c r="H11" s="8">
        <f>'All Players'!J162</f>
        <v>98</v>
      </c>
      <c r="I11" s="8">
        <f>'All Players'!K162</f>
        <v>9</v>
      </c>
      <c r="J11" s="5">
        <f t="shared" si="2"/>
        <v>55.25</v>
      </c>
      <c r="K11" s="8">
        <f>'All Players'!M162</f>
        <v>67</v>
      </c>
      <c r="L11" s="8">
        <f>'All Players'!N162</f>
        <v>86</v>
      </c>
      <c r="M11" s="5">
        <f>0.4*O11</f>
        <v>23.42</v>
      </c>
      <c r="N11" s="5">
        <f>0.9*O11</f>
        <v>52.695</v>
      </c>
      <c r="O11" s="11">
        <f>F11*Formuals!B6+G11*Formuals!C6+H11*Formuals!D6+I11*Formuals!E6</f>
        <v>58.55</v>
      </c>
      <c r="P11" s="10">
        <f>((M11/SUM($M$7:$M$17)))*0.67</f>
        <v>4.6617349970291155E-2</v>
      </c>
      <c r="Q11" s="10">
        <f t="shared" si="3"/>
        <v>0.604236</v>
      </c>
      <c r="R11" s="8" t="str">
        <f>'All Players'!T162</f>
        <v>Botswana</v>
      </c>
      <c r="S11" s="8">
        <f>'All Players'!U162</f>
        <v>20</v>
      </c>
      <c r="T11" s="8">
        <f>'All Players'!V162</f>
        <v>64</v>
      </c>
      <c r="U11" s="49">
        <f t="shared" si="4"/>
        <v>21.075000000000003</v>
      </c>
      <c r="V11" s="6" t="str">
        <f>A36</f>
        <v>His powerful play and strong tackles are reminiscent of an elephant's might.</v>
      </c>
    </row>
    <row r="12" spans="1:22" x14ac:dyDescent="0.25">
      <c r="A12" s="8" t="str">
        <f>'All Players'!C163</f>
        <v>CDM</v>
      </c>
      <c r="B12" s="8" t="str">
        <f>'All Players'!D163</f>
        <v>Lerato</v>
      </c>
      <c r="C12" s="8" t="str">
        <f>'All Players'!E163</f>
        <v>Lekgari</v>
      </c>
      <c r="D12" s="8" t="str">
        <f>'All Players'!F163</f>
        <v>L. Lekgari</v>
      </c>
      <c r="E12" s="8" t="str">
        <f>'All Players'!G163</f>
        <v>Leviathan</v>
      </c>
      <c r="F12" s="8">
        <f>'All Players'!H163</f>
        <v>37</v>
      </c>
      <c r="G12" s="8">
        <f>'All Players'!I163</f>
        <v>98</v>
      </c>
      <c r="H12" s="8">
        <f>'All Players'!J163</f>
        <v>96</v>
      </c>
      <c r="I12" s="8">
        <f>'All Players'!K163</f>
        <v>0</v>
      </c>
      <c r="J12" s="5">
        <f t="shared" si="2"/>
        <v>57.75</v>
      </c>
      <c r="K12" s="8">
        <f>'All Players'!M163</f>
        <v>75</v>
      </c>
      <c r="L12" s="8">
        <f>'All Players'!N163</f>
        <v>93</v>
      </c>
      <c r="M12" s="5">
        <f>O12*0.6</f>
        <v>44.01</v>
      </c>
      <c r="N12" s="5">
        <f>O12*0.9</f>
        <v>66.015000000000001</v>
      </c>
      <c r="O12" s="11">
        <f>F12*Formuals!B7+G12*Formuals!C7+H12*Formuals!D7+I12*Formuals!E7</f>
        <v>73.349999999999994</v>
      </c>
      <c r="P12" s="10">
        <f t="shared" ref="P12:P14" si="6">((M12/SUM($M$7:$M$17)))</f>
        <v>0.1307486631016043</v>
      </c>
      <c r="Q12" s="10">
        <f t="shared" si="3"/>
        <v>1.2278790000000002</v>
      </c>
      <c r="R12" s="8" t="str">
        <f>'All Players'!T163</f>
        <v>Botswana</v>
      </c>
      <c r="S12" s="8">
        <f>'All Players'!U163</f>
        <v>35</v>
      </c>
      <c r="T12" s="8">
        <f>'All Players'!V163</f>
        <v>74</v>
      </c>
      <c r="U12" s="49">
        <f t="shared" si="4"/>
        <v>31.974999999999994</v>
      </c>
      <c r="V12" s="6" t="str">
        <f>A39</f>
        <v>Dominates the midfield with his substantial presence and intelligent play.</v>
      </c>
    </row>
    <row r="13" spans="1:22" x14ac:dyDescent="0.25">
      <c r="A13" s="8" t="str">
        <f>'All Players'!C164</f>
        <v>CM</v>
      </c>
      <c r="B13" s="8" t="str">
        <f>'All Players'!D164</f>
        <v>Kabelo</v>
      </c>
      <c r="C13" s="8" t="str">
        <f>'All Players'!E164</f>
        <v>Kgafela</v>
      </c>
      <c r="D13" s="8" t="str">
        <f>'All Players'!F164</f>
        <v>K. Kgafela</v>
      </c>
      <c r="E13" s="8" t="str">
        <f>'All Players'!G164</f>
        <v>Kgosi</v>
      </c>
      <c r="F13" s="8">
        <f>'All Players'!H164</f>
        <v>11</v>
      </c>
      <c r="G13" s="8">
        <f>'All Players'!I164</f>
        <v>100</v>
      </c>
      <c r="H13" s="8">
        <f>'All Players'!J164</f>
        <v>99</v>
      </c>
      <c r="I13" s="8">
        <f>'All Players'!K164</f>
        <v>17</v>
      </c>
      <c r="J13" s="5">
        <f t="shared" si="2"/>
        <v>56.75</v>
      </c>
      <c r="K13" s="8">
        <f>'All Players'!M164</f>
        <v>69</v>
      </c>
      <c r="L13" s="8">
        <f>'All Players'!N164</f>
        <v>92</v>
      </c>
      <c r="M13" s="5">
        <f>O13*0.75</f>
        <v>48.862500000000004</v>
      </c>
      <c r="N13" s="5">
        <f>O13*0.75</f>
        <v>48.862500000000004</v>
      </c>
      <c r="O13" s="11">
        <f>F13*Formuals!B8+G13*Formuals!C8+H13*Formuals!D8+I13*Formuals!E8</f>
        <v>65.150000000000006</v>
      </c>
      <c r="P13" s="10">
        <f t="shared" si="6"/>
        <v>0.14516488413547241</v>
      </c>
      <c r="Q13" s="10">
        <f t="shared" si="3"/>
        <v>1.3486050000000003</v>
      </c>
      <c r="R13" s="8" t="str">
        <f>'All Players'!T164</f>
        <v>Botswana</v>
      </c>
      <c r="S13" s="8">
        <f>'All Players'!U164</f>
        <v>32</v>
      </c>
      <c r="T13" s="8">
        <f>'All Players'!V164</f>
        <v>71</v>
      </c>
      <c r="U13" s="49">
        <f t="shared" si="4"/>
        <v>26.675000000000011</v>
      </c>
      <c r="V13" s="6" t="str">
        <f>A42</f>
        <v>A leader in the midfield, guiding the team with wisdom and skill.</v>
      </c>
    </row>
    <row r="14" spans="1:22" x14ac:dyDescent="0.25">
      <c r="A14" s="8" t="str">
        <f>'All Players'!C165</f>
        <v>CAM</v>
      </c>
      <c r="B14" s="8" t="str">
        <f>'All Players'!D165</f>
        <v>Tumelo</v>
      </c>
      <c r="C14" s="8" t="str">
        <f>'All Players'!E165</f>
        <v>Tumisang</v>
      </c>
      <c r="D14" s="8" t="str">
        <f>'All Players'!F165</f>
        <v>T. Tumisang</v>
      </c>
      <c r="E14" s="8" t="str">
        <f>'All Players'!G165</f>
        <v>Tusks</v>
      </c>
      <c r="F14" s="8">
        <f>'All Players'!H165</f>
        <v>26</v>
      </c>
      <c r="G14" s="8">
        <f>'All Players'!I165</f>
        <v>90</v>
      </c>
      <c r="H14" s="8">
        <f>'All Players'!J165</f>
        <v>100</v>
      </c>
      <c r="I14" s="8">
        <f>'All Players'!K165</f>
        <v>7</v>
      </c>
      <c r="J14" s="5">
        <f t="shared" si="2"/>
        <v>55.75</v>
      </c>
      <c r="K14" s="8">
        <f>'All Players'!M165</f>
        <v>68</v>
      </c>
      <c r="L14" s="8">
        <f>'All Players'!N165</f>
        <v>90</v>
      </c>
      <c r="M14" s="5">
        <f>O14*0.9</f>
        <v>46.35</v>
      </c>
      <c r="N14" s="5">
        <f>O14*0.6</f>
        <v>30.9</v>
      </c>
      <c r="O14" s="11">
        <f>F14*Formuals!B9+G14*Formuals!C9+H14*Formuals!D9+I14*Formuals!E9</f>
        <v>51.5</v>
      </c>
      <c r="P14" s="10">
        <f t="shared" si="6"/>
        <v>0.13770053475935831</v>
      </c>
      <c r="Q14" s="10">
        <f t="shared" si="3"/>
        <v>1.2514500000000002</v>
      </c>
      <c r="R14" s="8" t="str">
        <f>'All Players'!T165</f>
        <v>Botswana</v>
      </c>
      <c r="S14" s="8">
        <f>'All Players'!U165</f>
        <v>33</v>
      </c>
      <c r="T14" s="8">
        <f>'All Players'!V165</f>
        <v>54</v>
      </c>
      <c r="U14" s="49">
        <f t="shared" si="4"/>
        <v>11.25</v>
      </c>
      <c r="V14" s="6" t="str">
        <f>A45</f>
        <v>Known for his sharp passes and formidable attack, much like the tusks of an elephant.</v>
      </c>
    </row>
    <row r="15" spans="1:22" x14ac:dyDescent="0.25">
      <c r="A15" s="8" t="str">
        <f>'All Players'!C166</f>
        <v>LW</v>
      </c>
      <c r="B15" s="8" t="str">
        <f>'All Players'!D166</f>
        <v>Kelebogile</v>
      </c>
      <c r="C15" s="8" t="str">
        <f>'All Players'!E166</f>
        <v>Kgosietsile</v>
      </c>
      <c r="D15" s="8" t="str">
        <f>'All Players'!F166</f>
        <v>K. Kgosietsile</v>
      </c>
      <c r="E15" s="8" t="str">
        <f>'All Players'!G166</f>
        <v>Kgari</v>
      </c>
      <c r="F15" s="8">
        <f>'All Players'!H166</f>
        <v>22</v>
      </c>
      <c r="G15" s="8">
        <f>'All Players'!I166</f>
        <v>95</v>
      </c>
      <c r="H15" s="8">
        <f>'All Players'!J166</f>
        <v>100</v>
      </c>
      <c r="I15" s="8">
        <f>'All Players'!K166</f>
        <v>16</v>
      </c>
      <c r="J15" s="5">
        <f t="shared" si="2"/>
        <v>58.25</v>
      </c>
      <c r="K15" s="8">
        <f>'All Players'!M166</f>
        <v>68</v>
      </c>
      <c r="L15" s="8">
        <f>'All Players'!N166</f>
        <v>91</v>
      </c>
      <c r="M15" s="5">
        <f>O15</f>
        <v>34.15</v>
      </c>
      <c r="N15" s="5">
        <f>O15*0.3</f>
        <v>10.244999999999999</v>
      </c>
      <c r="O15" s="11">
        <f>F15*Formuals!B10+G15*Formuals!C10+H15*Formuals!D10+I15*Formuals!E10</f>
        <v>34.15</v>
      </c>
      <c r="P15" s="10">
        <f>((M15/SUM($M$7:$M$17)))*1.33</f>
        <v>0.13493612596553775</v>
      </c>
      <c r="Q15" s="10">
        <f t="shared" si="3"/>
        <v>0.93229499999999987</v>
      </c>
      <c r="R15" s="8" t="str">
        <f>'All Players'!T166</f>
        <v>Botswana</v>
      </c>
      <c r="S15" s="8">
        <f>'All Players'!U166</f>
        <v>28</v>
      </c>
      <c r="T15" s="8">
        <f>'All Players'!V166</f>
        <v>38</v>
      </c>
      <c r="U15" s="49" t="str">
        <f t="shared" si="4"/>
        <v>0</v>
      </c>
      <c r="V15" s="6" t="str">
        <f>A48</f>
        <v>His pace and agility on the wing are key to penetrating the opposition's defense.</v>
      </c>
    </row>
    <row r="16" spans="1:22" x14ac:dyDescent="0.25">
      <c r="A16" s="8" t="str">
        <f>'All Players'!C167</f>
        <v>ST</v>
      </c>
      <c r="B16" s="8" t="str">
        <f>'All Players'!D167</f>
        <v>Letlhogonolo</v>
      </c>
      <c r="C16" s="8" t="str">
        <f>'All Players'!E167</f>
        <v>Letsholathebe</v>
      </c>
      <c r="D16" s="8" t="str">
        <f>'All Players'!F167</f>
        <v>L. Letsholathebe</v>
      </c>
      <c r="E16" s="8" t="str">
        <f>'All Players'!G167</f>
        <v>Legacy</v>
      </c>
      <c r="F16" s="8">
        <f>'All Players'!H167</f>
        <v>33</v>
      </c>
      <c r="G16" s="8">
        <f>'All Players'!I167</f>
        <v>97</v>
      </c>
      <c r="H16" s="8">
        <f>'All Players'!J167</f>
        <v>100</v>
      </c>
      <c r="I16" s="8">
        <f>'All Players'!K167</f>
        <v>15</v>
      </c>
      <c r="J16" s="5">
        <f t="shared" si="2"/>
        <v>61.25</v>
      </c>
      <c r="K16" s="8">
        <f>'All Players'!M167</f>
        <v>74</v>
      </c>
      <c r="L16" s="8">
        <f>'All Players'!N167</f>
        <v>91</v>
      </c>
      <c r="M16" s="5">
        <f>O16</f>
        <v>50.3</v>
      </c>
      <c r="N16" s="5">
        <f t="shared" ref="N16:N17" si="7">O16*0.3</f>
        <v>15.089999999999998</v>
      </c>
      <c r="O16" s="11">
        <f>F16*Formuals!B11+G16*Formuals!C11+H16*Formuals!D11+I16*Formuals!E11</f>
        <v>50.3</v>
      </c>
      <c r="P16" s="10">
        <f t="shared" ref="P16:P17" si="8">((M16/SUM($M$7:$M$17)))*1.33</f>
        <v>0.19874925727866904</v>
      </c>
      <c r="Q16" s="10">
        <f t="shared" si="3"/>
        <v>1.3731900000000001</v>
      </c>
      <c r="R16" s="8" t="str">
        <f>'All Players'!T167</f>
        <v>Botswana</v>
      </c>
      <c r="S16" s="8">
        <f>'All Players'!U167</f>
        <v>18</v>
      </c>
      <c r="T16" s="8">
        <f>'All Players'!V167</f>
        <v>68</v>
      </c>
      <c r="U16" s="49">
        <f t="shared" si="4"/>
        <v>19.149999999999999</v>
      </c>
      <c r="V16" s="6" t="str">
        <f>A51</f>
        <v>Carries the legacy of his predecessors with his skillful play and quick movements.</v>
      </c>
    </row>
    <row r="17" spans="1:22" x14ac:dyDescent="0.25">
      <c r="A17" s="8" t="str">
        <f>'All Players'!C168</f>
        <v>RW</v>
      </c>
      <c r="B17" s="8" t="str">
        <f>'All Players'!D168</f>
        <v>Baruti</v>
      </c>
      <c r="C17" s="8" t="str">
        <f>'All Players'!E168</f>
        <v>Bogatsu</v>
      </c>
      <c r="D17" s="8" t="str">
        <f>'All Players'!F168</f>
        <v>B. Bogatsu</v>
      </c>
      <c r="E17" s="8" t="str">
        <f>'All Players'!G168</f>
        <v>Behemoth</v>
      </c>
      <c r="F17" s="8">
        <f>'All Players'!H168</f>
        <v>7</v>
      </c>
      <c r="G17" s="8">
        <f>'All Players'!I168</f>
        <v>100</v>
      </c>
      <c r="H17" s="8">
        <f>'All Players'!J168</f>
        <v>100</v>
      </c>
      <c r="I17" s="8">
        <f>'All Players'!K168</f>
        <v>6</v>
      </c>
      <c r="J17" s="5">
        <f t="shared" si="2"/>
        <v>53.25</v>
      </c>
      <c r="K17" s="8">
        <f>'All Players'!M168</f>
        <v>74</v>
      </c>
      <c r="L17" s="8">
        <f>'All Players'!N168</f>
        <v>85</v>
      </c>
      <c r="M17" s="5">
        <f>O17</f>
        <v>25.15</v>
      </c>
      <c r="N17" s="5">
        <f t="shared" si="7"/>
        <v>7.544999999999999</v>
      </c>
      <c r="O17" s="11">
        <f>F17*Formuals!B12+G17*Formuals!C12+H17*Formuals!D12+I17*Formuals!E12</f>
        <v>25.15</v>
      </c>
      <c r="P17" s="10">
        <f t="shared" si="8"/>
        <v>9.9374628639334522E-2</v>
      </c>
      <c r="Q17" s="10">
        <f t="shared" si="3"/>
        <v>0.64132499999999992</v>
      </c>
      <c r="R17" s="8" t="str">
        <f>'All Players'!T168</f>
        <v>Botswana</v>
      </c>
      <c r="S17" s="8">
        <f>'All Players'!U168</f>
        <v>33</v>
      </c>
      <c r="T17" s="8">
        <f>'All Players'!V168</f>
        <v>26</v>
      </c>
      <c r="U17" s="49" t="str">
        <f t="shared" si="4"/>
        <v>0</v>
      </c>
      <c r="V17" s="6" t="str">
        <f>A54</f>
        <v>His strong presence in the attack and powerful shots are as impactful as a behemoth.</v>
      </c>
    </row>
    <row r="18" spans="1:22" x14ac:dyDescent="0.25">
      <c r="F18" s="18">
        <f t="shared" ref="F18:G18" si="9">LARGE(F7:F17,1) - SMALL(F7:F17,1)</f>
        <v>36</v>
      </c>
      <c r="G18" s="18">
        <f t="shared" si="9"/>
        <v>11</v>
      </c>
      <c r="H18" s="18">
        <f>LARGE(H7:H17,1) - SMALL(H7:H17,1)</f>
        <v>16</v>
      </c>
      <c r="I18" s="18">
        <f>LARGE(I7:I17,1) - SMALL(I7:I17,1)</f>
        <v>17</v>
      </c>
      <c r="J18" s="19">
        <f t="shared" ref="J18:L18" si="10">LARGE(J7:J17,1) - SMALL(J7:J17,1)</f>
        <v>13.75</v>
      </c>
      <c r="K18" s="18">
        <f t="shared" si="10"/>
        <v>8</v>
      </c>
      <c r="L18" s="18">
        <f t="shared" si="10"/>
        <v>10</v>
      </c>
      <c r="O18" s="19">
        <f t="shared" ref="O18" si="11">LARGE(O7:O17,1) - SMALL(O7:O17,1)</f>
        <v>51.449999999999996</v>
      </c>
      <c r="P18" s="48">
        <f>SUM(P7:P17)</f>
        <v>1.0213946078431373</v>
      </c>
      <c r="S18">
        <f>AVERAGE(S7:S17)</f>
        <v>27.09090909090909</v>
      </c>
      <c r="T18">
        <f>AVERAGE(T7:T17)</f>
        <v>61.454545454545453</v>
      </c>
      <c r="U18" s="50">
        <f>SUM(U7:U17)</f>
        <v>218.13749999999999</v>
      </c>
    </row>
    <row r="19" spans="1:22" x14ac:dyDescent="0.25">
      <c r="B19" s="3" t="s">
        <v>1</v>
      </c>
      <c r="C19" s="3" t="s">
        <v>2</v>
      </c>
      <c r="D19" s="3" t="s">
        <v>3</v>
      </c>
    </row>
    <row r="20" spans="1:22" x14ac:dyDescent="0.25">
      <c r="A20" s="3" t="s">
        <v>4</v>
      </c>
      <c r="B20" s="2">
        <f>AVERAGE(O7:O12)*0.1+AVERAGE(O13:O17)*0.9</f>
        <v>47.263750000000009</v>
      </c>
      <c r="C20" s="2">
        <f>AVERAGE(O7:O12)*0.9+AVERAGE(O13:O17)*0.1</f>
        <v>63.373749999999987</v>
      </c>
      <c r="D20" s="2">
        <f>AVERAGE(K7:K17)*0.5+AVERAGE(L7:L17)*0.5</f>
        <v>80.318181818181813</v>
      </c>
    </row>
    <row r="22" spans="1:22" x14ac:dyDescent="0.25">
      <c r="A22" t="s">
        <v>263</v>
      </c>
    </row>
    <row r="24" spans="1:22" x14ac:dyDescent="0.25">
      <c r="A24" t="s">
        <v>252</v>
      </c>
    </row>
    <row r="25" spans="1:22" x14ac:dyDescent="0.25">
      <c r="A25" t="s">
        <v>264</v>
      </c>
    </row>
    <row r="27" spans="1:22" x14ac:dyDescent="0.25">
      <c r="A27" t="s">
        <v>253</v>
      </c>
    </row>
    <row r="28" spans="1:22" x14ac:dyDescent="0.25">
      <c r="A28" t="s">
        <v>265</v>
      </c>
    </row>
    <row r="30" spans="1:22" x14ac:dyDescent="0.25">
      <c r="A30" t="s">
        <v>254</v>
      </c>
    </row>
    <row r="31" spans="1:22" x14ac:dyDescent="0.25">
      <c r="A31" t="s">
        <v>266</v>
      </c>
    </row>
    <row r="33" spans="1:1" x14ac:dyDescent="0.25">
      <c r="A33" t="s">
        <v>255</v>
      </c>
    </row>
    <row r="34" spans="1:1" x14ac:dyDescent="0.25">
      <c r="A34" t="s">
        <v>267</v>
      </c>
    </row>
    <row r="36" spans="1:1" x14ac:dyDescent="0.25">
      <c r="A36" t="s">
        <v>256</v>
      </c>
    </row>
    <row r="37" spans="1:1" x14ac:dyDescent="0.25">
      <c r="A37" t="s">
        <v>268</v>
      </c>
    </row>
    <row r="39" spans="1:1" x14ac:dyDescent="0.25">
      <c r="A39" t="s">
        <v>257</v>
      </c>
    </row>
    <row r="40" spans="1:1" x14ac:dyDescent="0.25">
      <c r="A40" t="s">
        <v>269</v>
      </c>
    </row>
    <row r="42" spans="1:1" x14ac:dyDescent="0.25">
      <c r="A42" t="s">
        <v>258</v>
      </c>
    </row>
    <row r="43" spans="1:1" x14ac:dyDescent="0.25">
      <c r="A43" t="s">
        <v>270</v>
      </c>
    </row>
    <row r="45" spans="1:1" x14ac:dyDescent="0.25">
      <c r="A45" t="s">
        <v>259</v>
      </c>
    </row>
    <row r="46" spans="1:1" x14ac:dyDescent="0.25">
      <c r="A46" t="s">
        <v>271</v>
      </c>
    </row>
    <row r="48" spans="1:1" x14ac:dyDescent="0.25">
      <c r="A48" t="s">
        <v>260</v>
      </c>
    </row>
    <row r="49" spans="1:1" x14ac:dyDescent="0.25">
      <c r="A49" t="s">
        <v>272</v>
      </c>
    </row>
    <row r="51" spans="1:1" x14ac:dyDescent="0.25">
      <c r="A51" t="s">
        <v>261</v>
      </c>
    </row>
    <row r="52" spans="1:1" x14ac:dyDescent="0.25">
      <c r="A52" t="s">
        <v>273</v>
      </c>
    </row>
    <row r="54" spans="1:1" x14ac:dyDescent="0.25">
      <c r="A54" t="s">
        <v>262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0D8C3-8E37-4E65-BCE9-0E6A391E582B}">
  <sheetPr codeName="Sheet20">
    <tabColor theme="6"/>
  </sheetPr>
  <dimension ref="A1:V54"/>
  <sheetViews>
    <sheetView workbookViewId="0">
      <selection activeCell="L4" sqref="L4"/>
    </sheetView>
  </sheetViews>
  <sheetFormatPr defaultRowHeight="15" x14ac:dyDescent="0.25"/>
  <cols>
    <col min="1" max="1" width="8.28515625" bestFit="1" customWidth="1"/>
    <col min="2" max="2" width="10.5703125" bestFit="1" customWidth="1"/>
    <col min="3" max="3" width="10.140625" bestFit="1" customWidth="1"/>
    <col min="4" max="4" width="11.85546875" bestFit="1" customWidth="1"/>
    <col min="5" max="5" width="9.28515625" bestFit="1" customWidth="1"/>
  </cols>
  <sheetData>
    <row r="1" spans="1:22" x14ac:dyDescent="0.25">
      <c r="A1" s="3" t="s">
        <v>19</v>
      </c>
      <c r="B1" s="6" t="s">
        <v>38</v>
      </c>
      <c r="K1">
        <f ca="1">RANDBETWEEN(K$4-5,K$4+5)</f>
        <v>30</v>
      </c>
      <c r="L1">
        <f ca="1">RANDBETWEEN(L$4-5,L$4+5)</f>
        <v>88</v>
      </c>
    </row>
    <row r="2" spans="1:22" x14ac:dyDescent="0.25">
      <c r="A2" s="3" t="s">
        <v>20</v>
      </c>
      <c r="B2" s="6" t="s">
        <v>274</v>
      </c>
    </row>
    <row r="3" spans="1:22" x14ac:dyDescent="0.25">
      <c r="A3" s="3" t="s">
        <v>138</v>
      </c>
      <c r="B3" s="6" t="str">
        <f>VLOOKUP(B1,STATS!L1:AA21,16,FALSE)</f>
        <v>Kenya</v>
      </c>
    </row>
    <row r="4" spans="1:22" x14ac:dyDescent="0.25">
      <c r="A4" s="3" t="s">
        <v>22</v>
      </c>
      <c r="B4" s="1">
        <f>((B20+C20)/2)*((D20+50)/100)</f>
        <v>74.502532196969696</v>
      </c>
      <c r="F4">
        <f>VLOOKUP($B$1,STATS!$L$1:$Q$21,3,FALSE)</f>
        <v>95</v>
      </c>
      <c r="G4">
        <f>VLOOKUP($B$1,STATS!$L$1:$Q$21,4,FALSE)</f>
        <v>40</v>
      </c>
      <c r="H4">
        <f>VLOOKUP($B$1,STATS!$L$1:$Q$21,5,FALSE)</f>
        <v>30</v>
      </c>
      <c r="I4">
        <f>VLOOKUP($B$1,STATS!$L$1:$Q$21,6,FALSE)</f>
        <v>100</v>
      </c>
      <c r="J4">
        <f>AVERAGE(F4:I4)</f>
        <v>66.25</v>
      </c>
      <c r="K4">
        <v>30</v>
      </c>
      <c r="L4">
        <v>85</v>
      </c>
    </row>
    <row r="5" spans="1:22" x14ac:dyDescent="0.25">
      <c r="F5" s="12">
        <f t="shared" ref="F5:H5" si="0">AVERAGE(F7:F17)</f>
        <v>95.272727272727266</v>
      </c>
      <c r="G5" s="12">
        <f t="shared" si="0"/>
        <v>47.272727272727273</v>
      </c>
      <c r="H5" s="12">
        <f t="shared" si="0"/>
        <v>26.363636363636363</v>
      </c>
      <c r="I5" s="12">
        <f>AVERAGE(I7:I17)</f>
        <v>96.181818181818187</v>
      </c>
      <c r="J5" s="12">
        <f>AVERAGE(J7:J17)</f>
        <v>66.272727272727266</v>
      </c>
      <c r="K5" s="12">
        <f t="shared" ref="K5:M5" si="1">AVERAGE(K7:K17)</f>
        <v>36.272727272727273</v>
      </c>
      <c r="L5" s="12">
        <f t="shared" si="1"/>
        <v>83.181818181818187</v>
      </c>
      <c r="M5" s="12">
        <f t="shared" si="1"/>
        <v>43.272272727272728</v>
      </c>
      <c r="N5" s="12">
        <f>AVERAGE(N7:N17)</f>
        <v>46.007045454545455</v>
      </c>
      <c r="O5" s="12">
        <f>AVERAGE(O7:O17)</f>
        <v>67.256818181818176</v>
      </c>
    </row>
    <row r="6" spans="1:22" x14ac:dyDescent="0.25">
      <c r="A6" s="3" t="s">
        <v>7</v>
      </c>
      <c r="B6" s="3" t="s">
        <v>8</v>
      </c>
      <c r="C6" s="3" t="s">
        <v>9</v>
      </c>
      <c r="D6" s="3" t="s">
        <v>44</v>
      </c>
      <c r="E6" s="3" t="s">
        <v>50</v>
      </c>
      <c r="F6" s="3" t="s">
        <v>17</v>
      </c>
      <c r="G6" s="3" t="s">
        <v>14</v>
      </c>
      <c r="H6" s="3" t="s">
        <v>15</v>
      </c>
      <c r="I6" s="3" t="s">
        <v>16</v>
      </c>
      <c r="J6" s="3" t="s">
        <v>48</v>
      </c>
      <c r="K6" s="3" t="s">
        <v>3</v>
      </c>
      <c r="L6" s="3" t="s">
        <v>10</v>
      </c>
      <c r="M6" s="3" t="s">
        <v>1</v>
      </c>
      <c r="N6" s="3" t="s">
        <v>12</v>
      </c>
      <c r="O6" s="3" t="s">
        <v>4</v>
      </c>
      <c r="P6" s="3" t="s">
        <v>49</v>
      </c>
      <c r="Q6" s="3" t="s">
        <v>47</v>
      </c>
      <c r="R6" s="3" t="s">
        <v>138</v>
      </c>
      <c r="S6" s="3" t="s">
        <v>1354</v>
      </c>
      <c r="T6" s="3" t="s">
        <v>1355</v>
      </c>
      <c r="U6" s="3" t="s">
        <v>1356</v>
      </c>
      <c r="V6" s="3" t="s">
        <v>13</v>
      </c>
    </row>
    <row r="7" spans="1:22" x14ac:dyDescent="0.25">
      <c r="A7" s="8" t="str">
        <f>'All Players'!C169</f>
        <v>GK</v>
      </c>
      <c r="B7" s="8" t="str">
        <f>'All Players'!D169</f>
        <v>Kamau</v>
      </c>
      <c r="C7" s="8" t="str">
        <f>'All Players'!E169</f>
        <v>Mwangi</v>
      </c>
      <c r="D7" s="8" t="str">
        <f>'All Players'!F169</f>
        <v>K. Mwangi</v>
      </c>
      <c r="E7" s="8" t="str">
        <f>'All Players'!G169</f>
        <v>Kasi</v>
      </c>
      <c r="F7" s="8">
        <f>'All Players'!H169</f>
        <v>94</v>
      </c>
      <c r="G7" s="8">
        <f>'All Players'!I169</f>
        <v>50</v>
      </c>
      <c r="H7" s="8">
        <f>'All Players'!J169</f>
        <v>43</v>
      </c>
      <c r="I7" s="8">
        <f>'All Players'!K169</f>
        <v>100</v>
      </c>
      <c r="J7" s="5">
        <f t="shared" ref="J7:J17" si="2">AVERAGE(F7:I7)</f>
        <v>71.75</v>
      </c>
      <c r="K7" s="8">
        <f>'All Players'!M169</f>
        <v>25</v>
      </c>
      <c r="L7" s="8">
        <f>'All Players'!N169</f>
        <v>81</v>
      </c>
      <c r="M7" s="4">
        <f>AVERAGE(F7:I7)*0</f>
        <v>0</v>
      </c>
      <c r="N7" s="5">
        <f>O7</f>
        <v>74.400000000000006</v>
      </c>
      <c r="O7" s="11">
        <f>F7*Formuals!B2+G7*Formuals!C2+H7*Formuals!D2+I7*Formuals!E2</f>
        <v>74.400000000000006</v>
      </c>
      <c r="P7" s="10">
        <f>((M7/SUM($M$7:$M$17)))</f>
        <v>0</v>
      </c>
      <c r="Q7" s="10">
        <f t="shared" ref="Q7:Q17" si="3">((M7/100)*(L7/100))*3</f>
        <v>0</v>
      </c>
      <c r="R7" s="8" t="str">
        <f>'All Players'!T169</f>
        <v>Kenya</v>
      </c>
      <c r="S7" s="8">
        <f>'All Players'!U169</f>
        <v>22</v>
      </c>
      <c r="T7" s="8">
        <f>'All Players'!V169</f>
        <v>88</v>
      </c>
      <c r="U7" s="49">
        <f t="shared" ref="U7:U17" si="4">IF((O7*0.5)+((T7*0.5)-((S7-18)*0.1))-40&lt;0,"0",(O7*0.5)+((T7*0.5)-((S7-18)*0.1))-40)</f>
        <v>40.800000000000011</v>
      </c>
      <c r="V7" s="6" t="str">
        <f>A24</f>
        <v>Known for his swift reflexes and agility, reminiscent of a cheetah's speed.</v>
      </c>
    </row>
    <row r="8" spans="1:22" x14ac:dyDescent="0.25">
      <c r="A8" s="8" t="str">
        <f>'All Players'!C170</f>
        <v>LB</v>
      </c>
      <c r="B8" s="8" t="str">
        <f>'All Players'!D170</f>
        <v>Juma</v>
      </c>
      <c r="C8" s="8" t="str">
        <f>'All Players'!E170</f>
        <v>Ochieng</v>
      </c>
      <c r="D8" s="8" t="str">
        <f>'All Players'!F170</f>
        <v>J. Ochieng</v>
      </c>
      <c r="E8" s="8" t="str">
        <f>'All Players'!G170</f>
        <v>Jabari</v>
      </c>
      <c r="F8" s="8">
        <f>'All Players'!H170</f>
        <v>92</v>
      </c>
      <c r="G8" s="8">
        <f>'All Players'!I170</f>
        <v>49</v>
      </c>
      <c r="H8" s="8">
        <f>'All Players'!J170</f>
        <v>14</v>
      </c>
      <c r="I8" s="8">
        <f>'All Players'!K170</f>
        <v>100</v>
      </c>
      <c r="J8" s="5">
        <f t="shared" si="2"/>
        <v>63.75</v>
      </c>
      <c r="K8" s="8">
        <f>'All Players'!M170</f>
        <v>35</v>
      </c>
      <c r="L8" s="8">
        <f>'All Players'!N170</f>
        <v>86</v>
      </c>
      <c r="M8" s="5">
        <f>0.4*O8</f>
        <v>23.400000000000002</v>
      </c>
      <c r="N8" s="5">
        <f>0.9*O8</f>
        <v>52.65</v>
      </c>
      <c r="O8" s="11">
        <f>F8*Formuals!B3+G8*Formuals!C3+H8*Formuals!D3+I8*Formuals!E3</f>
        <v>58.5</v>
      </c>
      <c r="P8" s="10">
        <f t="shared" ref="P8:P10" si="5">((M8/SUM($M$7:$M$17)))*0.67</f>
        <v>3.2937320770176158E-2</v>
      </c>
      <c r="Q8" s="10">
        <f t="shared" si="3"/>
        <v>0.60372000000000003</v>
      </c>
      <c r="R8" s="8" t="str">
        <f>'All Players'!T170</f>
        <v>Kenya</v>
      </c>
      <c r="S8" s="8">
        <f>'All Players'!U170</f>
        <v>19</v>
      </c>
      <c r="T8" s="8">
        <f>'All Players'!V170</f>
        <v>67</v>
      </c>
      <c r="U8" s="49">
        <f t="shared" si="4"/>
        <v>22.65</v>
      </c>
      <c r="V8" s="6" t="str">
        <f>A27</f>
        <v>His fast-paced defending and ability to chase down attackers make him a key asset.</v>
      </c>
    </row>
    <row r="9" spans="1:22" x14ac:dyDescent="0.25">
      <c r="A9" s="8" t="str">
        <f>'All Players'!C171</f>
        <v>CB</v>
      </c>
      <c r="B9" s="8" t="str">
        <f>'All Players'!D171</f>
        <v>Mutiso</v>
      </c>
      <c r="C9" s="8" t="str">
        <f>'All Players'!E171</f>
        <v>Kimathi</v>
      </c>
      <c r="D9" s="8" t="str">
        <f>'All Players'!F171</f>
        <v>M. Kimathi</v>
      </c>
      <c r="E9" s="8" t="str">
        <f>'All Players'!G171</f>
        <v>Mrefu</v>
      </c>
      <c r="F9" s="8">
        <f>'All Players'!H171</f>
        <v>84</v>
      </c>
      <c r="G9" s="8">
        <f>'All Players'!I171</f>
        <v>38</v>
      </c>
      <c r="H9" s="8">
        <f>'All Players'!J171</f>
        <v>35</v>
      </c>
      <c r="I9" s="8">
        <f>'All Players'!K171</f>
        <v>100</v>
      </c>
      <c r="J9" s="5">
        <f t="shared" si="2"/>
        <v>64.25</v>
      </c>
      <c r="K9" s="8">
        <f>'All Players'!M171</f>
        <v>29</v>
      </c>
      <c r="L9" s="8">
        <f>'All Players'!N171</f>
        <v>82</v>
      </c>
      <c r="M9" s="5">
        <f>O9*0.3</f>
        <v>15.397500000000001</v>
      </c>
      <c r="N9" s="5">
        <f>O9</f>
        <v>51.325000000000003</v>
      </c>
      <c r="O9" s="11">
        <f>F9*Formuals!B4+G9*Formuals!C4+H9*Formuals!D4+I9*Formuals!E4</f>
        <v>51.325000000000003</v>
      </c>
      <c r="P9" s="10">
        <f t="shared" si="5"/>
        <v>2.1673179340119121E-2</v>
      </c>
      <c r="Q9" s="10">
        <f t="shared" si="3"/>
        <v>0.37877850000000002</v>
      </c>
      <c r="R9" s="8" t="str">
        <f>'All Players'!T171</f>
        <v>Kenya</v>
      </c>
      <c r="S9" s="8">
        <f>'All Players'!U171</f>
        <v>33</v>
      </c>
      <c r="T9" s="8">
        <f>'All Players'!V171</f>
        <v>52</v>
      </c>
      <c r="U9" s="49">
        <f t="shared" si="4"/>
        <v>10.162500000000001</v>
      </c>
      <c r="V9" s="6" t="str">
        <f>A30</f>
        <v>Towering and dominant in the air, he's a crucial part of the team's defense.</v>
      </c>
    </row>
    <row r="10" spans="1:22" x14ac:dyDescent="0.25">
      <c r="A10" s="8" t="str">
        <f>'All Players'!C172</f>
        <v>CB</v>
      </c>
      <c r="B10" s="8" t="str">
        <f>'All Players'!D172</f>
        <v>Kibet</v>
      </c>
      <c r="C10" s="8" t="str">
        <f>'All Players'!E172</f>
        <v>Korir</v>
      </c>
      <c r="D10" s="8" t="str">
        <f>'All Players'!F172</f>
        <v>K. Korir</v>
      </c>
      <c r="E10" s="8" t="str">
        <f>'All Players'!G172</f>
        <v>Kasi</v>
      </c>
      <c r="F10" s="8">
        <f>'All Players'!H172</f>
        <v>100</v>
      </c>
      <c r="G10" s="8">
        <f>'All Players'!I172</f>
        <v>26</v>
      </c>
      <c r="H10" s="8">
        <f>'All Players'!J172</f>
        <v>12</v>
      </c>
      <c r="I10" s="8">
        <f>'All Players'!K172</f>
        <v>100</v>
      </c>
      <c r="J10" s="5">
        <f t="shared" si="2"/>
        <v>59.5</v>
      </c>
      <c r="K10" s="8">
        <f>'All Players'!M172</f>
        <v>27</v>
      </c>
      <c r="L10" s="8">
        <f>'All Players'!N172</f>
        <v>81</v>
      </c>
      <c r="M10" s="5">
        <f>O10*0.3</f>
        <v>11.489999999999998</v>
      </c>
      <c r="N10" s="5">
        <f>O10</f>
        <v>38.299999999999997</v>
      </c>
      <c r="O10" s="11">
        <f>F10*Formuals!B5+G10*Formuals!C5+H10*Formuals!D5+I10*Formuals!E5</f>
        <v>38.299999999999997</v>
      </c>
      <c r="P10" s="10">
        <f t="shared" si="5"/>
        <v>1.6173069044842909E-2</v>
      </c>
      <c r="Q10" s="10">
        <f t="shared" si="3"/>
        <v>0.27920699999999998</v>
      </c>
      <c r="R10" s="8" t="str">
        <f>'All Players'!T172</f>
        <v>Kenya</v>
      </c>
      <c r="S10" s="8">
        <f>'All Players'!U172</f>
        <v>35</v>
      </c>
      <c r="T10" s="8">
        <f>'All Players'!V172</f>
        <v>39</v>
      </c>
      <c r="U10" s="49" t="str">
        <f t="shared" si="4"/>
        <v>0</v>
      </c>
      <c r="V10" s="6" t="str">
        <f>A33</f>
        <v>Quick and alert, his ability to read the game is unparalleled.</v>
      </c>
    </row>
    <row r="11" spans="1:22" x14ac:dyDescent="0.25">
      <c r="A11" s="8" t="str">
        <f>'All Players'!C173</f>
        <v>RB</v>
      </c>
      <c r="B11" s="8" t="str">
        <f>'All Players'!D173</f>
        <v>Otieno</v>
      </c>
      <c r="C11" s="8" t="str">
        <f>'All Players'!E173</f>
        <v>Okoth</v>
      </c>
      <c r="D11" s="8" t="str">
        <f>'All Players'!F173</f>
        <v>O. Okoth</v>
      </c>
      <c r="E11" s="8" t="str">
        <f>'All Players'!G173</f>
        <v>Okoa</v>
      </c>
      <c r="F11" s="8">
        <f>'All Players'!H173</f>
        <v>97</v>
      </c>
      <c r="G11" s="8">
        <f>'All Players'!I173</f>
        <v>52</v>
      </c>
      <c r="H11" s="8">
        <f>'All Players'!J173</f>
        <v>21</v>
      </c>
      <c r="I11" s="8">
        <f>'All Players'!K173</f>
        <v>97</v>
      </c>
      <c r="J11" s="5">
        <f t="shared" si="2"/>
        <v>66.75</v>
      </c>
      <c r="K11" s="8">
        <f>'All Players'!M173</f>
        <v>29</v>
      </c>
      <c r="L11" s="8">
        <f>'All Players'!N173</f>
        <v>88</v>
      </c>
      <c r="M11" s="5">
        <f>0.4*O11</f>
        <v>24.56</v>
      </c>
      <c r="N11" s="5">
        <f>0.9*O11</f>
        <v>55.259999999999991</v>
      </c>
      <c r="O11" s="11">
        <f>F11*Formuals!B6+G11*Formuals!C6+H11*Formuals!D6+I11*Formuals!E6</f>
        <v>61.399999999999991</v>
      </c>
      <c r="P11" s="10">
        <f>((M11/SUM($M$7:$M$17)))*0.67</f>
        <v>3.4570111030578055E-2</v>
      </c>
      <c r="Q11" s="10">
        <f t="shared" si="3"/>
        <v>0.64838399999999996</v>
      </c>
      <c r="R11" s="8" t="str">
        <f>'All Players'!T173</f>
        <v>Kenya</v>
      </c>
      <c r="S11" s="8">
        <f>'All Players'!U173</f>
        <v>25</v>
      </c>
      <c r="T11" s="8">
        <f>'All Players'!V173</f>
        <v>65</v>
      </c>
      <c r="U11" s="49">
        <f t="shared" si="4"/>
        <v>22.5</v>
      </c>
      <c r="V11" s="6" t="str">
        <f>A36</f>
        <v>His rapid recoveries and pace help him excel in both defensive and offensive roles.</v>
      </c>
    </row>
    <row r="12" spans="1:22" x14ac:dyDescent="0.25">
      <c r="A12" s="8" t="str">
        <f>'All Players'!C174</f>
        <v>CDM</v>
      </c>
      <c r="B12" s="8" t="str">
        <f>'All Players'!D174</f>
        <v>Juma</v>
      </c>
      <c r="C12" s="8" t="str">
        <f>'All Players'!E174</f>
        <v>Kipanga Jr.</v>
      </c>
      <c r="D12" s="8" t="str">
        <f>'All Players'!F174</f>
        <v>J. Kipanga Jr.</v>
      </c>
      <c r="E12" s="8" t="str">
        <f>'All Players'!G174</f>
        <v>Jasiri Jr.</v>
      </c>
      <c r="F12" s="8">
        <f>'All Players'!H174</f>
        <v>92</v>
      </c>
      <c r="G12" s="8">
        <f>'All Players'!I174</f>
        <v>88</v>
      </c>
      <c r="H12" s="8">
        <f>'All Players'!J174</f>
        <v>69</v>
      </c>
      <c r="I12" s="8">
        <f>'All Players'!K174</f>
        <v>89</v>
      </c>
      <c r="J12" s="5">
        <f t="shared" si="2"/>
        <v>84.5</v>
      </c>
      <c r="K12" s="8">
        <f>'All Players'!M174</f>
        <v>95</v>
      </c>
      <c r="L12" s="8">
        <f>'All Players'!N174</f>
        <v>57</v>
      </c>
      <c r="M12" s="5">
        <f>O12*0.6</f>
        <v>48.689999999999991</v>
      </c>
      <c r="N12" s="5">
        <f>O12*0.9</f>
        <v>73.034999999999997</v>
      </c>
      <c r="O12" s="11">
        <f>F12*Formuals!B7+G12*Formuals!C7+H12*Formuals!D7+I12*Formuals!E7</f>
        <v>81.149999999999991</v>
      </c>
      <c r="P12" s="10">
        <f t="shared" ref="P12:P14" si="6">((M12/SUM($M$7:$M$17)))</f>
        <v>0.10229099045158035</v>
      </c>
      <c r="Q12" s="10">
        <f t="shared" si="3"/>
        <v>0.83259899999999976</v>
      </c>
      <c r="R12" s="8" t="str">
        <f>'All Players'!T174</f>
        <v>Tanzania</v>
      </c>
      <c r="S12" s="8">
        <f>'All Players'!U174</f>
        <v>18</v>
      </c>
      <c r="T12" s="8">
        <f>'All Players'!V174</f>
        <v>117</v>
      </c>
      <c r="U12" s="49">
        <f t="shared" si="4"/>
        <v>59.074999999999989</v>
      </c>
      <c r="V12" s="6" t="str">
        <f>A39</f>
        <v>Agile and graceful, he covers the field effortlessly, much like a gazelle.</v>
      </c>
    </row>
    <row r="13" spans="1:22" x14ac:dyDescent="0.25">
      <c r="A13" s="8" t="str">
        <f>'All Players'!C175</f>
        <v>CM</v>
      </c>
      <c r="B13" s="8" t="str">
        <f>'All Players'!D175</f>
        <v>Baraka</v>
      </c>
      <c r="C13" s="8" t="str">
        <f>'All Players'!E175</f>
        <v>Mburu</v>
      </c>
      <c r="D13" s="8" t="str">
        <f>'All Players'!F175</f>
        <v>B. Mburu</v>
      </c>
      <c r="E13" s="8" t="str">
        <f>'All Players'!G175</f>
        <v>Bawa</v>
      </c>
      <c r="F13" s="8">
        <f>'All Players'!H175</f>
        <v>95</v>
      </c>
      <c r="G13" s="8">
        <f>'All Players'!I175</f>
        <v>43</v>
      </c>
      <c r="H13" s="8">
        <f>'All Players'!J175</f>
        <v>17</v>
      </c>
      <c r="I13" s="8">
        <f>'All Players'!K175</f>
        <v>100</v>
      </c>
      <c r="J13" s="5">
        <f t="shared" si="2"/>
        <v>63.75</v>
      </c>
      <c r="K13" s="8">
        <f>'All Players'!M175</f>
        <v>33</v>
      </c>
      <c r="L13" s="8">
        <f>'All Players'!N175</f>
        <v>87</v>
      </c>
      <c r="M13" s="5">
        <f>O13*0.75</f>
        <v>45.487499999999997</v>
      </c>
      <c r="N13" s="5">
        <f>O13*0.75</f>
        <v>45.487499999999997</v>
      </c>
      <c r="O13" s="11">
        <f>F13*Formuals!B8+G13*Formuals!C8+H13*Formuals!D8+I13*Formuals!E8</f>
        <v>60.65</v>
      </c>
      <c r="P13" s="10">
        <f t="shared" si="6"/>
        <v>9.5562978602716411E-2</v>
      </c>
      <c r="Q13" s="10">
        <f t="shared" si="3"/>
        <v>1.18722375</v>
      </c>
      <c r="R13" s="8" t="str">
        <f>'All Players'!T175</f>
        <v>Kenya</v>
      </c>
      <c r="S13" s="8">
        <f>'All Players'!U175</f>
        <v>32</v>
      </c>
      <c r="T13" s="8">
        <f>'All Players'!V175</f>
        <v>64</v>
      </c>
      <c r="U13" s="49">
        <f t="shared" si="4"/>
        <v>20.924999999999997</v>
      </c>
      <c r="V13" s="6" t="str">
        <f>A42</f>
        <v>His energetic play and ability to distribute the ball effectively make him the midfield's powerhouse.</v>
      </c>
    </row>
    <row r="14" spans="1:22" x14ac:dyDescent="0.25">
      <c r="A14" s="8" t="str">
        <f>'All Players'!C176</f>
        <v>CAM</v>
      </c>
      <c r="B14" s="8" t="str">
        <f>'All Players'!D176</f>
        <v>Mugo</v>
      </c>
      <c r="C14" s="8" t="str">
        <f>'All Players'!E176</f>
        <v>Maina</v>
      </c>
      <c r="D14" s="8" t="str">
        <f>'All Players'!F176</f>
        <v>M. Maina</v>
      </c>
      <c r="E14" s="8" t="str">
        <f>'All Players'!G176</f>
        <v>Mwendo</v>
      </c>
      <c r="F14" s="8">
        <f>'All Players'!H176</f>
        <v>94</v>
      </c>
      <c r="G14" s="8">
        <f>'All Players'!I176</f>
        <v>45</v>
      </c>
      <c r="H14" s="8">
        <f>'All Players'!J176</f>
        <v>28</v>
      </c>
      <c r="I14" s="8">
        <f>'All Players'!K176</f>
        <v>95</v>
      </c>
      <c r="J14" s="5">
        <f t="shared" si="2"/>
        <v>65.5</v>
      </c>
      <c r="K14" s="8">
        <f>'All Players'!M176</f>
        <v>33</v>
      </c>
      <c r="L14" s="8">
        <f>'All Players'!N176</f>
        <v>90</v>
      </c>
      <c r="M14" s="5">
        <f>O14*0.9</f>
        <v>64.17</v>
      </c>
      <c r="N14" s="5">
        <f>O14*0.6</f>
        <v>42.779999999999994</v>
      </c>
      <c r="O14" s="11">
        <f>F14*Formuals!B9+G14*Formuals!C9+H14*Formuals!D9+I14*Formuals!E9</f>
        <v>71.3</v>
      </c>
      <c r="P14" s="10">
        <f t="shared" si="6"/>
        <v>0.13481234046576121</v>
      </c>
      <c r="Q14" s="10">
        <f t="shared" si="3"/>
        <v>1.7325900000000003</v>
      </c>
      <c r="R14" s="8" t="str">
        <f>'All Players'!T176</f>
        <v>Kenya</v>
      </c>
      <c r="S14" s="8">
        <f>'All Players'!U176</f>
        <v>23</v>
      </c>
      <c r="T14" s="8">
        <f>'All Players'!V176</f>
        <v>77</v>
      </c>
      <c r="U14" s="49">
        <f t="shared" si="4"/>
        <v>33.650000000000006</v>
      </c>
      <c r="V14" s="6" t="str">
        <f>A45</f>
        <v>Known for his quick movements and sharp playmaking skills.</v>
      </c>
    </row>
    <row r="15" spans="1:22" x14ac:dyDescent="0.25">
      <c r="A15" s="8" t="str">
        <f>'All Players'!C177</f>
        <v>LW</v>
      </c>
      <c r="B15" s="8" t="str">
        <f>'All Players'!D177</f>
        <v>Nyaga</v>
      </c>
      <c r="C15" s="8" t="str">
        <f>'All Players'!E177</f>
        <v>Njenga</v>
      </c>
      <c r="D15" s="8" t="str">
        <f>'All Players'!F177</f>
        <v>N. Njenga</v>
      </c>
      <c r="E15" s="8" t="str">
        <f>'All Players'!G177</f>
        <v>Nguvu</v>
      </c>
      <c r="F15" s="8">
        <f>'All Players'!H177</f>
        <v>100</v>
      </c>
      <c r="G15" s="8">
        <f>'All Players'!I177</f>
        <v>42</v>
      </c>
      <c r="H15" s="8">
        <f>'All Players'!J177</f>
        <v>18</v>
      </c>
      <c r="I15" s="8">
        <f>'All Players'!K177</f>
        <v>100</v>
      </c>
      <c r="J15" s="5">
        <f t="shared" si="2"/>
        <v>65</v>
      </c>
      <c r="K15" s="8">
        <f>'All Players'!M177</f>
        <v>31</v>
      </c>
      <c r="L15" s="8">
        <f>'All Players'!N177</f>
        <v>84</v>
      </c>
      <c r="M15" s="5">
        <f>O15</f>
        <v>87.199999999999989</v>
      </c>
      <c r="N15" s="5">
        <f>O15*0.3</f>
        <v>26.159999999999997</v>
      </c>
      <c r="O15" s="11">
        <f>F15*Formuals!B10+G15*Formuals!C10+H15*Formuals!D10+I15*Formuals!E10</f>
        <v>87.199999999999989</v>
      </c>
      <c r="P15" s="10">
        <f>((M15/SUM($M$7:$M$17)))*1.33</f>
        <v>0.24364961816825806</v>
      </c>
      <c r="Q15" s="10">
        <f t="shared" si="3"/>
        <v>2.1974399999999998</v>
      </c>
      <c r="R15" s="8" t="str">
        <f>'All Players'!T177</f>
        <v>Kenya</v>
      </c>
      <c r="S15" s="8">
        <f>'All Players'!U177</f>
        <v>20</v>
      </c>
      <c r="T15" s="8">
        <f>'All Players'!V177</f>
        <v>92</v>
      </c>
      <c r="U15" s="49">
        <f t="shared" si="4"/>
        <v>49.399999999999991</v>
      </c>
      <c r="V15" s="6" t="str">
        <f>A48</f>
        <v>His powerful sprints and skillful dribbling terrorize opposing defenses.</v>
      </c>
    </row>
    <row r="16" spans="1:22" x14ac:dyDescent="0.25">
      <c r="A16" s="8" t="str">
        <f>'All Players'!C178</f>
        <v>ST</v>
      </c>
      <c r="B16" s="8" t="str">
        <f>'All Players'!D178</f>
        <v>Kirui</v>
      </c>
      <c r="C16" s="8" t="str">
        <f>'All Players'!E178</f>
        <v>Kiprono</v>
      </c>
      <c r="D16" s="8" t="str">
        <f>'All Players'!F178</f>
        <v>K. Kiprono</v>
      </c>
      <c r="E16" s="8" t="str">
        <f>'All Players'!G178</f>
        <v>Kasi</v>
      </c>
      <c r="F16" s="8">
        <f>'All Players'!H178</f>
        <v>100</v>
      </c>
      <c r="G16" s="8">
        <f>'All Players'!I178</f>
        <v>41</v>
      </c>
      <c r="H16" s="8">
        <f>'All Players'!J178</f>
        <v>4</v>
      </c>
      <c r="I16" s="8">
        <f>'All Players'!K178</f>
        <v>87</v>
      </c>
      <c r="J16" s="5">
        <f t="shared" si="2"/>
        <v>58</v>
      </c>
      <c r="K16" s="8">
        <f>'All Players'!M178</f>
        <v>27</v>
      </c>
      <c r="L16" s="8">
        <f>'All Players'!N178</f>
        <v>89</v>
      </c>
      <c r="M16" s="5">
        <f>O16</f>
        <v>71.75</v>
      </c>
      <c r="N16" s="5">
        <f t="shared" ref="N16:N17" si="7">O16*0.3</f>
        <v>21.524999999999999</v>
      </c>
      <c r="O16" s="11">
        <f>F16*Formuals!B11+G16*Formuals!C11+H16*Formuals!D11+I16*Formuals!E11</f>
        <v>71.75</v>
      </c>
      <c r="P16" s="10">
        <f t="shared" ref="P16:P17" si="8">((M16/SUM($M$7:$M$17)))*1.33</f>
        <v>0.20048004705931785</v>
      </c>
      <c r="Q16" s="10">
        <f t="shared" si="3"/>
        <v>1.9157250000000001</v>
      </c>
      <c r="R16" s="8" t="str">
        <f>'All Players'!T178</f>
        <v>Kenya</v>
      </c>
      <c r="S16" s="8">
        <f>'All Players'!U178</f>
        <v>19</v>
      </c>
      <c r="T16" s="8">
        <f>'All Players'!V178</f>
        <v>90</v>
      </c>
      <c r="U16" s="49">
        <f t="shared" si="4"/>
        <v>40.775000000000006</v>
      </c>
      <c r="V16" s="6" t="str">
        <f>A51</f>
        <v>Blazing speed and agility define his play, making him a constant offensive threat.</v>
      </c>
    </row>
    <row r="17" spans="1:22" x14ac:dyDescent="0.25">
      <c r="A17" s="8" t="str">
        <f>'All Players'!C179</f>
        <v>RW</v>
      </c>
      <c r="B17" s="8" t="str">
        <f>'All Players'!D179</f>
        <v>Macharia</v>
      </c>
      <c r="C17" s="8" t="str">
        <f>'All Players'!E179</f>
        <v>Mbogo</v>
      </c>
      <c r="D17" s="8" t="str">
        <f>'All Players'!F179</f>
        <v>M. Mbogo</v>
      </c>
      <c r="E17" s="8" t="str">
        <f>'All Players'!G179</f>
        <v>Mwepesi</v>
      </c>
      <c r="F17" s="8">
        <f>'All Players'!H179</f>
        <v>100</v>
      </c>
      <c r="G17" s="8">
        <f>'All Players'!I179</f>
        <v>46</v>
      </c>
      <c r="H17" s="8">
        <f>'All Players'!J179</f>
        <v>29</v>
      </c>
      <c r="I17" s="8">
        <f>'All Players'!K179</f>
        <v>90</v>
      </c>
      <c r="J17" s="5">
        <f t="shared" si="2"/>
        <v>66.25</v>
      </c>
      <c r="K17" s="8">
        <f>'All Players'!M179</f>
        <v>35</v>
      </c>
      <c r="L17" s="8">
        <f>'All Players'!N179</f>
        <v>90</v>
      </c>
      <c r="M17" s="5">
        <f>O17</f>
        <v>83.85</v>
      </c>
      <c r="N17" s="5">
        <f t="shared" si="7"/>
        <v>25.154999999999998</v>
      </c>
      <c r="O17" s="11">
        <f>F17*Formuals!B12+G17*Formuals!C12+H17*Formuals!D12+I17*Formuals!E12</f>
        <v>83.85</v>
      </c>
      <c r="P17" s="10">
        <f t="shared" si="8"/>
        <v>0.23428922572716102</v>
      </c>
      <c r="Q17" s="10">
        <f t="shared" si="3"/>
        <v>2.2639499999999999</v>
      </c>
      <c r="R17" s="8" t="str">
        <f>'All Players'!T179</f>
        <v>Kenya</v>
      </c>
      <c r="S17" s="8">
        <f>'All Players'!U179</f>
        <v>28</v>
      </c>
      <c r="T17" s="8">
        <f>'All Players'!V179</f>
        <v>86</v>
      </c>
      <c r="U17" s="49">
        <f t="shared" si="4"/>
        <v>43.924999999999997</v>
      </c>
      <c r="V17" s="6" t="str">
        <f>A54</f>
        <v>Quick and lethal in front of the goal, his striking ability is as fast as a cheetah.</v>
      </c>
    </row>
    <row r="18" spans="1:22" x14ac:dyDescent="0.25">
      <c r="F18" s="18">
        <f t="shared" ref="F18:G18" si="9">LARGE(F7:F17,1) - SMALL(F7:F17,1)</f>
        <v>16</v>
      </c>
      <c r="G18" s="18">
        <f t="shared" si="9"/>
        <v>62</v>
      </c>
      <c r="H18" s="18">
        <f>LARGE(H7:H17,1) - SMALL(H7:H17,1)</f>
        <v>65</v>
      </c>
      <c r="I18" s="18">
        <f>LARGE(I7:I17,1) - SMALL(I7:I17,1)</f>
        <v>13</v>
      </c>
      <c r="J18" s="19">
        <f t="shared" ref="J18:L18" si="10">LARGE(J7:J17,1) - SMALL(J7:J17,1)</f>
        <v>26.5</v>
      </c>
      <c r="K18" s="18">
        <f t="shared" si="10"/>
        <v>70</v>
      </c>
      <c r="L18" s="18">
        <f t="shared" si="10"/>
        <v>33</v>
      </c>
      <c r="O18" s="19">
        <f t="shared" ref="O18" si="11">LARGE(O7:O17,1) - SMALL(O7:O17,1)</f>
        <v>48.899999999999991</v>
      </c>
      <c r="P18" s="48">
        <f>SUM(P7:P17)</f>
        <v>1.116438880660511</v>
      </c>
      <c r="S18">
        <f>AVERAGE(S7:S17)</f>
        <v>24.90909090909091</v>
      </c>
      <c r="T18">
        <f>AVERAGE(T7:T17)</f>
        <v>76.090909090909093</v>
      </c>
      <c r="U18" s="50">
        <f>SUM(U7:U17)</f>
        <v>343.86250000000001</v>
      </c>
    </row>
    <row r="19" spans="1:22" x14ac:dyDescent="0.25">
      <c r="B19" s="3" t="s">
        <v>1</v>
      </c>
      <c r="C19" s="3" t="s">
        <v>2</v>
      </c>
      <c r="D19" s="3" t="s">
        <v>3</v>
      </c>
    </row>
    <row r="20" spans="1:22" x14ac:dyDescent="0.25">
      <c r="A20" s="3" t="s">
        <v>4</v>
      </c>
      <c r="B20" s="2">
        <f>AVERAGE(O7:O12)*0.1+AVERAGE(O13:O17)*0.9</f>
        <v>73.539583333333326</v>
      </c>
      <c r="C20" s="2">
        <f>AVERAGE(O7:O12)*0.9+AVERAGE(O13:O17)*0.1</f>
        <v>62.256249999999994</v>
      </c>
      <c r="D20" s="2">
        <f>AVERAGE(K7:K17)*0.5+AVERAGE(L7:L17)*0.5</f>
        <v>59.727272727272734</v>
      </c>
    </row>
    <row r="22" spans="1:22" x14ac:dyDescent="0.25">
      <c r="A22" t="s">
        <v>286</v>
      </c>
    </row>
    <row r="24" spans="1:22" x14ac:dyDescent="0.25">
      <c r="A24" t="s">
        <v>275</v>
      </c>
    </row>
    <row r="25" spans="1:22" x14ac:dyDescent="0.25">
      <c r="A25" t="s">
        <v>287</v>
      </c>
    </row>
    <row r="27" spans="1:22" x14ac:dyDescent="0.25">
      <c r="A27" t="s">
        <v>276</v>
      </c>
    </row>
    <row r="28" spans="1:22" x14ac:dyDescent="0.25">
      <c r="A28" t="s">
        <v>288</v>
      </c>
    </row>
    <row r="30" spans="1:22" x14ac:dyDescent="0.25">
      <c r="A30" t="s">
        <v>277</v>
      </c>
    </row>
    <row r="31" spans="1:22" x14ac:dyDescent="0.25">
      <c r="A31" t="s">
        <v>289</v>
      </c>
    </row>
    <row r="33" spans="1:1" x14ac:dyDescent="0.25">
      <c r="A33" t="s">
        <v>278</v>
      </c>
    </row>
    <row r="34" spans="1:1" x14ac:dyDescent="0.25">
      <c r="A34" t="s">
        <v>290</v>
      </c>
    </row>
    <row r="36" spans="1:1" x14ac:dyDescent="0.25">
      <c r="A36" t="s">
        <v>279</v>
      </c>
    </row>
    <row r="37" spans="1:1" x14ac:dyDescent="0.25">
      <c r="A37" t="s">
        <v>291</v>
      </c>
    </row>
    <row r="39" spans="1:1" x14ac:dyDescent="0.25">
      <c r="A39" t="s">
        <v>280</v>
      </c>
    </row>
    <row r="40" spans="1:1" x14ac:dyDescent="0.25">
      <c r="A40" t="s">
        <v>292</v>
      </c>
    </row>
    <row r="42" spans="1:1" x14ac:dyDescent="0.25">
      <c r="A42" t="s">
        <v>281</v>
      </c>
    </row>
    <row r="43" spans="1:1" x14ac:dyDescent="0.25">
      <c r="A43" t="s">
        <v>293</v>
      </c>
    </row>
    <row r="45" spans="1:1" x14ac:dyDescent="0.25">
      <c r="A45" t="s">
        <v>282</v>
      </c>
    </row>
    <row r="46" spans="1:1" x14ac:dyDescent="0.25">
      <c r="A46" t="s">
        <v>294</v>
      </c>
    </row>
    <row r="48" spans="1:1" x14ac:dyDescent="0.25">
      <c r="A48" t="s">
        <v>283</v>
      </c>
    </row>
    <row r="49" spans="1:1" x14ac:dyDescent="0.25">
      <c r="A49" t="s">
        <v>295</v>
      </c>
    </row>
    <row r="51" spans="1:1" x14ac:dyDescent="0.25">
      <c r="A51" t="s">
        <v>284</v>
      </c>
    </row>
    <row r="52" spans="1:1" x14ac:dyDescent="0.25">
      <c r="A52" t="s">
        <v>296</v>
      </c>
    </row>
    <row r="54" spans="1:1" x14ac:dyDescent="0.25">
      <c r="A54" t="s">
        <v>285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9FEE7-5507-46D4-968F-4ADF62A66C12}">
  <sheetPr codeName="Sheet21">
    <tabColor theme="6"/>
  </sheetPr>
  <dimension ref="A1:V54"/>
  <sheetViews>
    <sheetView workbookViewId="0">
      <selection activeCell="L4" sqref="L4"/>
    </sheetView>
  </sheetViews>
  <sheetFormatPr defaultRowHeight="15" x14ac:dyDescent="0.25"/>
  <cols>
    <col min="1" max="1" width="8.28515625" bestFit="1" customWidth="1"/>
    <col min="2" max="2" width="10.5703125" bestFit="1" customWidth="1"/>
    <col min="3" max="3" width="13.85546875" bestFit="1" customWidth="1"/>
    <col min="4" max="4" width="16.140625" bestFit="1" customWidth="1"/>
    <col min="5" max="5" width="12.140625" bestFit="1" customWidth="1"/>
  </cols>
  <sheetData>
    <row r="1" spans="1:22" x14ac:dyDescent="0.25">
      <c r="A1" s="3" t="s">
        <v>19</v>
      </c>
      <c r="B1" s="6" t="s">
        <v>39</v>
      </c>
      <c r="K1">
        <f ca="1">RANDBETWEEN(K$4-5,K$4+5)</f>
        <v>92</v>
      </c>
      <c r="L1">
        <f ca="1">RANDBETWEEN(L$4-5,L$4+5)</f>
        <v>104</v>
      </c>
    </row>
    <row r="2" spans="1:22" x14ac:dyDescent="0.25">
      <c r="A2" s="3" t="s">
        <v>20</v>
      </c>
      <c r="B2" s="6" t="s">
        <v>297</v>
      </c>
    </row>
    <row r="3" spans="1:22" x14ac:dyDescent="0.25">
      <c r="A3" s="3" t="s">
        <v>138</v>
      </c>
      <c r="B3" s="6" t="str">
        <f>VLOOKUP(B1,STATS!L1:AA21,16,FALSE)</f>
        <v>Iceland</v>
      </c>
    </row>
    <row r="4" spans="1:22" x14ac:dyDescent="0.25">
      <c r="A4" s="3" t="s">
        <v>22</v>
      </c>
      <c r="B4" s="1">
        <f>((B20+C20)/2)*((D20+50)/100)</f>
        <v>88.990893939393928</v>
      </c>
      <c r="F4">
        <f>VLOOKUP($B$1,STATS!$L$1:$Q$21,3,FALSE)</f>
        <v>75</v>
      </c>
      <c r="G4">
        <f>VLOOKUP($B$1,STATS!$L$1:$Q$21,4,FALSE)</f>
        <v>85</v>
      </c>
      <c r="H4">
        <f>VLOOKUP($B$1,STATS!$L$1:$Q$21,5,FALSE)</f>
        <v>15</v>
      </c>
      <c r="I4">
        <f>VLOOKUP($B$1,STATS!$L$1:$Q$21,6,FALSE)</f>
        <v>70</v>
      </c>
      <c r="J4">
        <f>AVERAGE(F4:I4)</f>
        <v>61.25</v>
      </c>
      <c r="K4">
        <v>95</v>
      </c>
      <c r="L4">
        <v>100</v>
      </c>
    </row>
    <row r="5" spans="1:22" x14ac:dyDescent="0.25">
      <c r="F5" s="12">
        <f t="shared" ref="F5:H5" si="0">AVERAGE(F7:F17)</f>
        <v>77</v>
      </c>
      <c r="G5" s="12">
        <f t="shared" si="0"/>
        <v>80.090909090909093</v>
      </c>
      <c r="H5" s="12">
        <f t="shared" si="0"/>
        <v>14.454545454545455</v>
      </c>
      <c r="I5" s="12">
        <f>AVERAGE(I7:I17)</f>
        <v>68.727272727272734</v>
      </c>
      <c r="J5" s="12">
        <f>AVERAGE(J7:J17)</f>
        <v>60.06818181818182</v>
      </c>
      <c r="K5" s="12">
        <f t="shared" ref="K5:M5" si="1">AVERAGE(K7:K17)</f>
        <v>95.63636363636364</v>
      </c>
      <c r="L5" s="12">
        <f t="shared" si="1"/>
        <v>99.63636363636364</v>
      </c>
      <c r="M5" s="12">
        <f t="shared" si="1"/>
        <v>38.19022727272727</v>
      </c>
      <c r="N5" s="12">
        <f>AVERAGE(N7:N17)</f>
        <v>40.730909090909087</v>
      </c>
      <c r="O5" s="12">
        <f>AVERAGE(O7:O17)</f>
        <v>59.461363636363643</v>
      </c>
    </row>
    <row r="6" spans="1:22" x14ac:dyDescent="0.25">
      <c r="A6" s="3" t="s">
        <v>7</v>
      </c>
      <c r="B6" s="3" t="s">
        <v>8</v>
      </c>
      <c r="C6" s="3" t="s">
        <v>9</v>
      </c>
      <c r="D6" s="3" t="s">
        <v>44</v>
      </c>
      <c r="E6" s="3" t="s">
        <v>50</v>
      </c>
      <c r="F6" s="3" t="s">
        <v>17</v>
      </c>
      <c r="G6" s="3" t="s">
        <v>14</v>
      </c>
      <c r="H6" s="3" t="s">
        <v>15</v>
      </c>
      <c r="I6" s="3" t="s">
        <v>16</v>
      </c>
      <c r="J6" s="3" t="s">
        <v>48</v>
      </c>
      <c r="K6" s="3" t="s">
        <v>3</v>
      </c>
      <c r="L6" s="3" t="s">
        <v>10</v>
      </c>
      <c r="M6" s="3" t="s">
        <v>1</v>
      </c>
      <c r="N6" s="3" t="s">
        <v>12</v>
      </c>
      <c r="O6" s="3" t="s">
        <v>4</v>
      </c>
      <c r="P6" s="3" t="s">
        <v>49</v>
      </c>
      <c r="Q6" s="3" t="s">
        <v>47</v>
      </c>
      <c r="R6" s="3" t="s">
        <v>138</v>
      </c>
      <c r="S6" s="3" t="s">
        <v>1354</v>
      </c>
      <c r="T6" s="3" t="s">
        <v>1355</v>
      </c>
      <c r="U6" s="3" t="s">
        <v>1356</v>
      </c>
      <c r="V6" s="3" t="s">
        <v>13</v>
      </c>
    </row>
    <row r="7" spans="1:22" x14ac:dyDescent="0.25">
      <c r="A7" s="8" t="str">
        <f>'All Players'!C180</f>
        <v>GK</v>
      </c>
      <c r="B7" s="8" t="str">
        <f>'All Players'!D180</f>
        <v>Björn</v>
      </c>
      <c r="C7" s="8" t="str">
        <f>'All Players'!E180</f>
        <v>Sigurðsson</v>
      </c>
      <c r="D7" s="8" t="str">
        <f>'All Players'!F180</f>
        <v>B. Sigurðsson</v>
      </c>
      <c r="E7" s="8" t="str">
        <f>'All Players'!G180</f>
        <v>Bliki</v>
      </c>
      <c r="F7" s="8">
        <f>'All Players'!H180</f>
        <v>74</v>
      </c>
      <c r="G7" s="8">
        <f>'All Players'!I180</f>
        <v>80</v>
      </c>
      <c r="H7" s="8">
        <f>'All Players'!J180</f>
        <v>13</v>
      </c>
      <c r="I7" s="8">
        <f>'All Players'!K180</f>
        <v>59</v>
      </c>
      <c r="J7" s="5">
        <f t="shared" ref="J7:J17" si="2">AVERAGE(F7:I7)</f>
        <v>56.5</v>
      </c>
      <c r="K7" s="8">
        <f>'All Players'!M180</f>
        <v>97</v>
      </c>
      <c r="L7" s="8">
        <f>'All Players'!N180</f>
        <v>103</v>
      </c>
      <c r="M7" s="4">
        <f>AVERAGE(F7:I7)*0</f>
        <v>0</v>
      </c>
      <c r="N7" s="5">
        <f>O7</f>
        <v>67.75</v>
      </c>
      <c r="O7" s="11">
        <f>F7*Formuals!B2+G7*Formuals!C2+H7*Formuals!D2+I7*Formuals!E2</f>
        <v>67.75</v>
      </c>
      <c r="P7" s="10">
        <f>((M7/SUM($M$7:$M$17)))</f>
        <v>0</v>
      </c>
      <c r="Q7" s="10">
        <f t="shared" ref="Q7:Q17" si="3">((M7/100)*(L7/100))*3</f>
        <v>0</v>
      </c>
      <c r="R7" s="8" t="str">
        <f>'All Players'!T180</f>
        <v>Iceland</v>
      </c>
      <c r="S7" s="8">
        <f>'All Players'!U180</f>
        <v>30</v>
      </c>
      <c r="T7" s="8">
        <f>'All Players'!V180</f>
        <v>73</v>
      </c>
      <c r="U7" s="49">
        <f t="shared" ref="U7:U17" si="4">IF((O7*0.5)+((T7*0.5)-((S7-18)*0.1))-40&lt;0,"0",(O7*0.5)+((T7*0.5)-((S7-18)*0.1))-40)</f>
        <v>29.174999999999997</v>
      </c>
      <c r="V7" s="6" t="str">
        <f>A24</f>
        <v>Known for his keen vision and quick reflexes, akin to the sharp eyes of a raven.</v>
      </c>
    </row>
    <row r="8" spans="1:22" x14ac:dyDescent="0.25">
      <c r="A8" s="8" t="str">
        <f>'All Players'!C181</f>
        <v>LB</v>
      </c>
      <c r="B8" s="8" t="str">
        <f>'All Players'!D181</f>
        <v>Einar</v>
      </c>
      <c r="C8" s="8" t="str">
        <f>'All Players'!E181</f>
        <v>Jónsson</v>
      </c>
      <c r="D8" s="8" t="str">
        <f>'All Players'!F181</f>
        <v>E. Jónsson</v>
      </c>
      <c r="E8" s="8" t="str">
        <f>'All Players'!G181</f>
        <v>Eldur</v>
      </c>
      <c r="F8" s="8">
        <f>'All Players'!H181</f>
        <v>82</v>
      </c>
      <c r="G8" s="8">
        <f>'All Players'!I181</f>
        <v>87</v>
      </c>
      <c r="H8" s="8">
        <f>'All Players'!J181</f>
        <v>23</v>
      </c>
      <c r="I8" s="8">
        <f>'All Players'!K181</f>
        <v>73</v>
      </c>
      <c r="J8" s="5">
        <f t="shared" si="2"/>
        <v>66.25</v>
      </c>
      <c r="K8" s="8">
        <f>'All Players'!M181</f>
        <v>95</v>
      </c>
      <c r="L8" s="8">
        <f>'All Players'!N181</f>
        <v>100</v>
      </c>
      <c r="M8" s="5">
        <f>0.4*O8</f>
        <v>23.86</v>
      </c>
      <c r="N8" s="5">
        <f>0.9*O8</f>
        <v>53.685000000000002</v>
      </c>
      <c r="O8" s="11">
        <f>F8*Formuals!B3+G8*Formuals!C3+H8*Formuals!D3+I8*Formuals!E3</f>
        <v>59.65</v>
      </c>
      <c r="P8" s="10">
        <f t="shared" ref="P8:P10" si="5">((M8/SUM($M$7:$M$17)))*0.67</f>
        <v>3.8054000011902143E-2</v>
      </c>
      <c r="Q8" s="10">
        <f t="shared" si="3"/>
        <v>0.71579999999999999</v>
      </c>
      <c r="R8" s="8" t="str">
        <f>'All Players'!T181</f>
        <v>Iceland</v>
      </c>
      <c r="S8" s="8">
        <f>'All Players'!U181</f>
        <v>21</v>
      </c>
      <c r="T8" s="8">
        <f>'All Players'!V181</f>
        <v>80</v>
      </c>
      <c r="U8" s="49">
        <f t="shared" si="4"/>
        <v>29.525000000000006</v>
      </c>
      <c r="V8" s="6" t="str">
        <f>A27</f>
        <v>His fiery play and tireless energy make him a key defender on the flank.</v>
      </c>
    </row>
    <row r="9" spans="1:22" x14ac:dyDescent="0.25">
      <c r="A9" s="8" t="str">
        <f>'All Players'!C182</f>
        <v>CB</v>
      </c>
      <c r="B9" s="8" t="str">
        <f>'All Players'!D182</f>
        <v>Snorri</v>
      </c>
      <c r="C9" s="8" t="str">
        <f>'All Players'!E182</f>
        <v>Stefánsson</v>
      </c>
      <c r="D9" s="8" t="str">
        <f>'All Players'!F182</f>
        <v>S. Stefánsson</v>
      </c>
      <c r="E9" s="8" t="str">
        <f>'All Players'!G182</f>
        <v>Svartur</v>
      </c>
      <c r="F9" s="8">
        <f>'All Players'!H182</f>
        <v>73</v>
      </c>
      <c r="G9" s="8">
        <f>'All Players'!I182</f>
        <v>73</v>
      </c>
      <c r="H9" s="8">
        <f>'All Players'!J182</f>
        <v>0</v>
      </c>
      <c r="I9" s="8">
        <f>'All Players'!K182</f>
        <v>69</v>
      </c>
      <c r="J9" s="5">
        <f t="shared" si="2"/>
        <v>53.75</v>
      </c>
      <c r="K9" s="8">
        <f>'All Players'!M182</f>
        <v>96</v>
      </c>
      <c r="L9" s="8">
        <f>'All Players'!N182</f>
        <v>97</v>
      </c>
      <c r="M9" s="5">
        <f>O9*0.3</f>
        <v>9.1274999999999995</v>
      </c>
      <c r="N9" s="5">
        <f>O9</f>
        <v>30.424999999999997</v>
      </c>
      <c r="O9" s="11">
        <f>F9*Formuals!B4+G9*Formuals!C4+H9*Formuals!D4+I9*Formuals!E4</f>
        <v>30.424999999999997</v>
      </c>
      <c r="P9" s="10">
        <f t="shared" si="5"/>
        <v>1.4557329635734988E-2</v>
      </c>
      <c r="Q9" s="10">
        <f t="shared" si="3"/>
        <v>0.26561024999999999</v>
      </c>
      <c r="R9" s="8" t="str">
        <f>'All Players'!T182</f>
        <v>Iceland</v>
      </c>
      <c r="S9" s="8">
        <f>'All Players'!U182</f>
        <v>24</v>
      </c>
      <c r="T9" s="8">
        <f>'All Players'!V182</f>
        <v>44</v>
      </c>
      <c r="U9" s="49" t="str">
        <f t="shared" si="4"/>
        <v>0</v>
      </c>
      <c r="V9" s="6" t="str">
        <f>A30</f>
        <v>Strong and imposing, he dominates the backline like the dark plumage of a raven.</v>
      </c>
    </row>
    <row r="10" spans="1:22" x14ac:dyDescent="0.25">
      <c r="A10" s="8" t="str">
        <f>'All Players'!C183</f>
        <v>CB</v>
      </c>
      <c r="B10" s="8" t="str">
        <f>'All Players'!D183</f>
        <v>Valur</v>
      </c>
      <c r="C10" s="8" t="str">
        <f>'All Players'!E183</f>
        <v>Vilhjálmsson</v>
      </c>
      <c r="D10" s="8" t="str">
        <f>'All Players'!F183</f>
        <v>V. Vilhjálmsson</v>
      </c>
      <c r="E10" s="8" t="str">
        <f>'All Players'!G183</f>
        <v>Víkingur</v>
      </c>
      <c r="F10" s="8">
        <f>'All Players'!H183</f>
        <v>83</v>
      </c>
      <c r="G10" s="8">
        <f>'All Players'!I183</f>
        <v>71</v>
      </c>
      <c r="H10" s="8">
        <f>'All Players'!J183</f>
        <v>11</v>
      </c>
      <c r="I10" s="8">
        <f>'All Players'!K183</f>
        <v>75</v>
      </c>
      <c r="J10" s="5">
        <f t="shared" si="2"/>
        <v>60</v>
      </c>
      <c r="K10" s="8">
        <f>'All Players'!M183</f>
        <v>98</v>
      </c>
      <c r="L10" s="8">
        <f>'All Players'!N183</f>
        <v>101</v>
      </c>
      <c r="M10" s="5">
        <f>O10*0.3</f>
        <v>11.579999999999998</v>
      </c>
      <c r="N10" s="5">
        <f>O10</f>
        <v>38.599999999999994</v>
      </c>
      <c r="O10" s="11">
        <f>F10*Formuals!B5+G10*Formuals!C5+H10*Formuals!D5+I10*Formuals!E5</f>
        <v>38.599999999999994</v>
      </c>
      <c r="P10" s="10">
        <f t="shared" si="5"/>
        <v>1.8468789611811684E-2</v>
      </c>
      <c r="Q10" s="10">
        <f t="shared" si="3"/>
        <v>0.35087399999999996</v>
      </c>
      <c r="R10" s="8" t="str">
        <f>'All Players'!T183</f>
        <v>Iceland</v>
      </c>
      <c r="S10" s="8">
        <f>'All Players'!U183</f>
        <v>21</v>
      </c>
      <c r="T10" s="8">
        <f>'All Players'!V183</f>
        <v>55</v>
      </c>
      <c r="U10" s="49">
        <f t="shared" si="4"/>
        <v>6.5</v>
      </c>
      <c r="V10" s="6" t="str">
        <f>A33</f>
        <v>A true Viking in defense, his strength and courage are unparalleled.</v>
      </c>
    </row>
    <row r="11" spans="1:22" x14ac:dyDescent="0.25">
      <c r="A11" s="8" t="str">
        <f>'All Players'!C184</f>
        <v>RB</v>
      </c>
      <c r="B11" s="8" t="str">
        <f>'All Players'!D184</f>
        <v>Hákon</v>
      </c>
      <c r="C11" s="8" t="str">
        <f>'All Players'!E184</f>
        <v>Haraldsson</v>
      </c>
      <c r="D11" s="8" t="str">
        <f>'All Players'!F184</f>
        <v>H. Haraldsson</v>
      </c>
      <c r="E11" s="8" t="str">
        <f>'All Players'!G184</f>
        <v>Hrafn</v>
      </c>
      <c r="F11" s="8">
        <f>'All Players'!H184</f>
        <v>93</v>
      </c>
      <c r="G11" s="8">
        <f>'All Players'!I184</f>
        <v>81</v>
      </c>
      <c r="H11" s="8">
        <f>'All Players'!J184</f>
        <v>25</v>
      </c>
      <c r="I11" s="8">
        <f>'All Players'!K184</f>
        <v>74</v>
      </c>
      <c r="J11" s="5">
        <f t="shared" si="2"/>
        <v>68.25</v>
      </c>
      <c r="K11" s="8">
        <f>'All Players'!M184</f>
        <v>91</v>
      </c>
      <c r="L11" s="8">
        <f>'All Players'!N184</f>
        <v>102</v>
      </c>
      <c r="M11" s="5">
        <f>0.4*O11</f>
        <v>24.439999999999998</v>
      </c>
      <c r="N11" s="5">
        <f>0.9*O11</f>
        <v>54.989999999999995</v>
      </c>
      <c r="O11" s="11">
        <f>F11*Formuals!B6+G11*Formuals!C6+H11*Formuals!D6+I11*Formuals!E6</f>
        <v>61.099999999999994</v>
      </c>
      <c r="P11" s="10">
        <f>((M11/SUM($M$7:$M$17)))*0.67</f>
        <v>3.8979034379333123E-2</v>
      </c>
      <c r="Q11" s="10">
        <f t="shared" si="3"/>
        <v>0.74786399999999997</v>
      </c>
      <c r="R11" s="8" t="str">
        <f>'All Players'!T184</f>
        <v>Iceland</v>
      </c>
      <c r="S11" s="8">
        <f>'All Players'!U184</f>
        <v>31</v>
      </c>
      <c r="T11" s="8">
        <f>'All Players'!V184</f>
        <v>66</v>
      </c>
      <c r="U11" s="49">
        <f t="shared" si="4"/>
        <v>22.25</v>
      </c>
      <c r="V11" s="6" t="str">
        <f>A36</f>
        <v>Agile and swift, his playing style mirrors the quickness of a raven.</v>
      </c>
    </row>
    <row r="12" spans="1:22" x14ac:dyDescent="0.25">
      <c r="A12" s="8" t="str">
        <f>'All Players'!C185</f>
        <v>CDM</v>
      </c>
      <c r="B12" s="8" t="str">
        <f>'All Players'!D185</f>
        <v>Gunnar</v>
      </c>
      <c r="C12" s="8" t="str">
        <f>'All Players'!E185</f>
        <v>Guðmundsson</v>
      </c>
      <c r="D12" s="8" t="str">
        <f>'All Players'!F185</f>
        <v>G. Guðmundsson</v>
      </c>
      <c r="E12" s="8" t="str">
        <f>'All Players'!G185</f>
        <v>Gagnrýnandi</v>
      </c>
      <c r="F12" s="8">
        <f>'All Players'!H185</f>
        <v>72</v>
      </c>
      <c r="G12" s="8">
        <f>'All Players'!I185</f>
        <v>66</v>
      </c>
      <c r="H12" s="8">
        <f>'All Players'!J185</f>
        <v>20</v>
      </c>
      <c r="I12" s="8">
        <f>'All Players'!K185</f>
        <v>78</v>
      </c>
      <c r="J12" s="5">
        <f t="shared" si="2"/>
        <v>59</v>
      </c>
      <c r="K12" s="8">
        <f>'All Players'!M185</f>
        <v>98</v>
      </c>
      <c r="L12" s="8">
        <f>'All Players'!N185</f>
        <v>102</v>
      </c>
      <c r="M12" s="5">
        <f>O12*0.6</f>
        <v>30.179999999999996</v>
      </c>
      <c r="N12" s="5">
        <f>O12*0.9</f>
        <v>45.269999999999996</v>
      </c>
      <c r="O12" s="11">
        <f>F12*Formuals!B7+G12*Formuals!C7+H12*Formuals!D7+I12*Formuals!E7</f>
        <v>50.3</v>
      </c>
      <c r="P12" s="10">
        <f t="shared" ref="P12:P14" si="6">((M12/SUM($M$7:$M$17)))</f>
        <v>7.1841320661520963E-2</v>
      </c>
      <c r="Q12" s="10">
        <f t="shared" si="3"/>
        <v>0.92350799999999977</v>
      </c>
      <c r="R12" s="8" t="str">
        <f>'All Players'!T185</f>
        <v>Iceland</v>
      </c>
      <c r="S12" s="8">
        <f>'All Players'!U185</f>
        <v>20</v>
      </c>
      <c r="T12" s="8">
        <f>'All Players'!V185</f>
        <v>61</v>
      </c>
      <c r="U12" s="49">
        <f t="shared" si="4"/>
        <v>15.450000000000003</v>
      </c>
      <c r="V12" s="6" t="str">
        <f>A39</f>
        <v>With his critical and strategic approach, he's essential in breaking down opposition plays.</v>
      </c>
    </row>
    <row r="13" spans="1:22" x14ac:dyDescent="0.25">
      <c r="A13" s="8" t="str">
        <f>'All Players'!C186</f>
        <v>CM</v>
      </c>
      <c r="B13" s="8" t="str">
        <f>'All Players'!D186</f>
        <v>Kristófer</v>
      </c>
      <c r="C13" s="8" t="str">
        <f>'All Players'!E186</f>
        <v>Kristjánsson</v>
      </c>
      <c r="D13" s="8" t="str">
        <f>'All Players'!F186</f>
        <v>K. Kristjánsson</v>
      </c>
      <c r="E13" s="8" t="str">
        <f>'All Players'!G186</f>
        <v>Kraftur</v>
      </c>
      <c r="F13" s="8">
        <f>'All Players'!H186</f>
        <v>90</v>
      </c>
      <c r="G13" s="8">
        <f>'All Players'!I186</f>
        <v>89</v>
      </c>
      <c r="H13" s="8">
        <f>'All Players'!J186</f>
        <v>18</v>
      </c>
      <c r="I13" s="8">
        <f>'All Players'!K186</f>
        <v>67</v>
      </c>
      <c r="J13" s="5">
        <f t="shared" si="2"/>
        <v>66</v>
      </c>
      <c r="K13" s="8">
        <f>'All Players'!M186</f>
        <v>92</v>
      </c>
      <c r="L13" s="8">
        <f>'All Players'!N186</f>
        <v>96</v>
      </c>
      <c r="M13" s="5">
        <f>O13*0.75</f>
        <v>56.474999999999994</v>
      </c>
      <c r="N13" s="5">
        <f>O13*0.75</f>
        <v>56.474999999999994</v>
      </c>
      <c r="O13" s="11">
        <f>F13*Formuals!B8+G13*Formuals!C8+H13*Formuals!D8+I13*Formuals!E8</f>
        <v>75.3</v>
      </c>
      <c r="P13" s="10">
        <f t="shared" si="6"/>
        <v>0.13443467807685211</v>
      </c>
      <c r="Q13" s="10">
        <f t="shared" si="3"/>
        <v>1.6264799999999999</v>
      </c>
      <c r="R13" s="8" t="str">
        <f>'All Players'!T186</f>
        <v>Iceland</v>
      </c>
      <c r="S13" s="8">
        <f>'All Players'!U186</f>
        <v>27</v>
      </c>
      <c r="T13" s="8">
        <f>'All Players'!V186</f>
        <v>80</v>
      </c>
      <c r="U13" s="49">
        <f t="shared" si="4"/>
        <v>36.75</v>
      </c>
      <c r="V13" s="6" t="str">
        <f>A42</f>
        <v>His powerful presence in midfield drives the team forward.</v>
      </c>
    </row>
    <row r="14" spans="1:22" x14ac:dyDescent="0.25">
      <c r="A14" s="8" t="str">
        <f>'All Players'!C187</f>
        <v>CAM</v>
      </c>
      <c r="B14" s="8" t="str">
        <f>'All Players'!D187</f>
        <v>Finnur</v>
      </c>
      <c r="C14" s="8" t="str">
        <f>'All Players'!E187</f>
        <v>Friðriksson</v>
      </c>
      <c r="D14" s="8" t="str">
        <f>'All Players'!F187</f>
        <v>F. Friðriksson</v>
      </c>
      <c r="E14" s="8" t="str">
        <f>'All Players'!G187</f>
        <v>Fleygur</v>
      </c>
      <c r="F14" s="8">
        <f>'All Players'!H187</f>
        <v>68</v>
      </c>
      <c r="G14" s="8">
        <f>'All Players'!I187</f>
        <v>78</v>
      </c>
      <c r="H14" s="8">
        <f>'All Players'!J187</f>
        <v>0</v>
      </c>
      <c r="I14" s="8">
        <f>'All Players'!K187</f>
        <v>51</v>
      </c>
      <c r="J14" s="5">
        <f t="shared" si="2"/>
        <v>49.25</v>
      </c>
      <c r="K14" s="8">
        <f>'All Players'!M187</f>
        <v>96</v>
      </c>
      <c r="L14" s="8">
        <f>'All Players'!N187</f>
        <v>95</v>
      </c>
      <c r="M14" s="5">
        <f>O14*0.9</f>
        <v>58.680000000000007</v>
      </c>
      <c r="N14" s="5">
        <f>O14*0.6</f>
        <v>39.119999999999997</v>
      </c>
      <c r="O14" s="11">
        <f>F14*Formuals!B9+G14*Formuals!C9+H14*Formuals!D9+I14*Formuals!E9</f>
        <v>65.2</v>
      </c>
      <c r="P14" s="10">
        <f t="shared" si="6"/>
        <v>0.13968352208144638</v>
      </c>
      <c r="Q14" s="10">
        <f t="shared" si="3"/>
        <v>1.6723800000000002</v>
      </c>
      <c r="R14" s="8" t="str">
        <f>'All Players'!T187</f>
        <v>Iceland</v>
      </c>
      <c r="S14" s="8">
        <f>'All Players'!U187</f>
        <v>28</v>
      </c>
      <c r="T14" s="8">
        <f>'All Players'!V187</f>
        <v>71</v>
      </c>
      <c r="U14" s="49">
        <f t="shared" si="4"/>
        <v>27.099999999999994</v>
      </c>
      <c r="V14" s="6" t="str">
        <f>A45</f>
        <v>Quick and clever in creating chances, much like a raven in flight.</v>
      </c>
    </row>
    <row r="15" spans="1:22" x14ac:dyDescent="0.25">
      <c r="A15" s="8" t="str">
        <f>'All Players'!C188</f>
        <v>LW</v>
      </c>
      <c r="B15" s="8" t="str">
        <f>'All Players'!D188</f>
        <v>Ólafur</v>
      </c>
      <c r="C15" s="8" t="str">
        <f>'All Players'!E188</f>
        <v>Ólafsson</v>
      </c>
      <c r="D15" s="8" t="str">
        <f>'All Players'!F188</f>
        <v>Ó. Ólafsson</v>
      </c>
      <c r="E15" s="8" t="str">
        <f>'All Players'!G188</f>
        <v>Ógnvekjandi</v>
      </c>
      <c r="F15" s="8">
        <f>'All Players'!H188</f>
        <v>74</v>
      </c>
      <c r="G15" s="8">
        <f>'All Players'!I188</f>
        <v>82</v>
      </c>
      <c r="H15" s="8">
        <f>'All Players'!J188</f>
        <v>12</v>
      </c>
      <c r="I15" s="8">
        <f>'All Players'!K188</f>
        <v>58</v>
      </c>
      <c r="J15" s="5">
        <f t="shared" si="2"/>
        <v>56.5</v>
      </c>
      <c r="K15" s="8">
        <f>'All Players'!M188</f>
        <v>96</v>
      </c>
      <c r="L15" s="8">
        <f>'All Players'!N188</f>
        <v>102</v>
      </c>
      <c r="M15" s="5">
        <f>O15</f>
        <v>64.900000000000006</v>
      </c>
      <c r="N15" s="5">
        <f>O15*0.3</f>
        <v>19.470000000000002</v>
      </c>
      <c r="O15" s="11">
        <f>F15*Formuals!B10+G15*Formuals!C10+H15*Formuals!D10+I15*Formuals!E10</f>
        <v>64.900000000000006</v>
      </c>
      <c r="P15" s="10">
        <f>((M15/SUM($M$7:$M$17)))*1.33</f>
        <v>0.20547141403381403</v>
      </c>
      <c r="Q15" s="10">
        <f t="shared" si="3"/>
        <v>1.98594</v>
      </c>
      <c r="R15" s="8" t="str">
        <f>'All Players'!T188</f>
        <v>Iceland</v>
      </c>
      <c r="S15" s="8">
        <f>'All Players'!U188</f>
        <v>19</v>
      </c>
      <c r="T15" s="8">
        <f>'All Players'!V188</f>
        <v>95</v>
      </c>
      <c r="U15" s="49">
        <f t="shared" si="4"/>
        <v>39.849999999999994</v>
      </c>
      <c r="V15" s="6" t="str">
        <f>A48</f>
        <v>A formidable force on the wing, his play is as intimidating as a raven's call.</v>
      </c>
    </row>
    <row r="16" spans="1:22" x14ac:dyDescent="0.25">
      <c r="A16" s="8" t="str">
        <f>'All Players'!C189</f>
        <v>ST</v>
      </c>
      <c r="B16" s="8" t="str">
        <f>'All Players'!D189</f>
        <v>Arnar</v>
      </c>
      <c r="C16" s="8" t="str">
        <f>'All Players'!E189</f>
        <v>Árnason</v>
      </c>
      <c r="D16" s="8" t="str">
        <f>'All Players'!F189</f>
        <v>A. Árnason</v>
      </c>
      <c r="E16" s="8" t="str">
        <f>'All Players'!G189</f>
        <v>Afl</v>
      </c>
      <c r="F16" s="8">
        <f>'All Players'!H189</f>
        <v>63</v>
      </c>
      <c r="G16" s="8">
        <f>'All Players'!I189</f>
        <v>74</v>
      </c>
      <c r="H16" s="8">
        <f>'All Players'!J189</f>
        <v>19</v>
      </c>
      <c r="I16" s="8">
        <f>'All Players'!K189</f>
        <v>81</v>
      </c>
      <c r="J16" s="5">
        <f t="shared" si="2"/>
        <v>59.25</v>
      </c>
      <c r="K16" s="8">
        <f>'All Players'!M189</f>
        <v>99</v>
      </c>
      <c r="L16" s="8">
        <f>'All Players'!N189</f>
        <v>95</v>
      </c>
      <c r="M16" s="5">
        <f>O16</f>
        <v>66.75</v>
      </c>
      <c r="N16" s="5">
        <f t="shared" ref="N16:N17" si="7">O16*0.3</f>
        <v>20.024999999999999</v>
      </c>
      <c r="O16" s="11">
        <f>F16*Formuals!B11+G16*Formuals!C11+H16*Formuals!D11+I16*Formuals!E11</f>
        <v>66.75</v>
      </c>
      <c r="P16" s="10">
        <f t="shared" ref="P16:P17" si="8">((M16/SUM($M$7:$M$17)))*1.33</f>
        <v>0.21132845742306758</v>
      </c>
      <c r="Q16" s="10">
        <f t="shared" si="3"/>
        <v>1.9023749999999997</v>
      </c>
      <c r="R16" s="8" t="str">
        <f>'All Players'!T189</f>
        <v>Iceland</v>
      </c>
      <c r="S16" s="8">
        <f>'All Players'!U189</f>
        <v>18</v>
      </c>
      <c r="T16" s="8">
        <f>'All Players'!V189</f>
        <v>75</v>
      </c>
      <c r="U16" s="49">
        <f t="shared" si="4"/>
        <v>30.875</v>
      </c>
      <c r="V16" s="6" t="str">
        <f>A51</f>
        <v>His strength and agility make him a formidable opponent on the field.</v>
      </c>
    </row>
    <row r="17" spans="1:22" x14ac:dyDescent="0.25">
      <c r="A17" s="8" t="str">
        <f>'All Players'!C190</f>
        <v>RW</v>
      </c>
      <c r="B17" s="8" t="str">
        <f>'All Players'!D190</f>
        <v>Stefán</v>
      </c>
      <c r="C17" s="8" t="str">
        <f>'All Players'!E190</f>
        <v>Sigurðsson</v>
      </c>
      <c r="D17" s="8" t="str">
        <f>'All Players'!F190</f>
        <v>S. Sigurðsson</v>
      </c>
      <c r="E17" s="8" t="str">
        <f>'All Players'!G190</f>
        <v>Sleipnir</v>
      </c>
      <c r="F17" s="8">
        <f>'All Players'!H190</f>
        <v>75</v>
      </c>
      <c r="G17" s="8">
        <f>'All Players'!I190</f>
        <v>100</v>
      </c>
      <c r="H17" s="8">
        <f>'All Players'!J190</f>
        <v>18</v>
      </c>
      <c r="I17" s="8">
        <f>'All Players'!K190</f>
        <v>71</v>
      </c>
      <c r="J17" s="5">
        <f t="shared" si="2"/>
        <v>66</v>
      </c>
      <c r="K17" s="8">
        <f>'All Players'!M190</f>
        <v>94</v>
      </c>
      <c r="L17" s="8">
        <f>'All Players'!N190</f>
        <v>103</v>
      </c>
      <c r="M17" s="5">
        <f>O17</f>
        <v>74.099999999999994</v>
      </c>
      <c r="N17" s="5">
        <f t="shared" si="7"/>
        <v>22.229999999999997</v>
      </c>
      <c r="O17" s="11">
        <f>F17*Formuals!B12+G17*Formuals!C12+H17*Formuals!D12+I17*Formuals!E12</f>
        <v>74.099999999999994</v>
      </c>
      <c r="P17" s="10">
        <f t="shared" si="8"/>
        <v>0.23459833251010195</v>
      </c>
      <c r="Q17" s="10">
        <f t="shared" si="3"/>
        <v>2.2896899999999998</v>
      </c>
      <c r="R17" s="8" t="str">
        <f>'All Players'!T190</f>
        <v>Iceland</v>
      </c>
      <c r="S17" s="8">
        <f>'All Players'!U190</f>
        <v>35</v>
      </c>
      <c r="T17" s="8">
        <f>'All Players'!V190</f>
        <v>75</v>
      </c>
      <c r="U17" s="49">
        <f t="shared" si="4"/>
        <v>32.849999999999994</v>
      </c>
      <c r="V17" s="6" t="str">
        <f>A54</f>
        <v>Like Odin's steed, he is both swift and powerful in his attacks on goal.</v>
      </c>
    </row>
    <row r="18" spans="1:22" x14ac:dyDescent="0.25">
      <c r="F18" s="18">
        <f t="shared" ref="F18:G18" si="9">LARGE(F7:F17,1) - SMALL(F7:F17,1)</f>
        <v>30</v>
      </c>
      <c r="G18" s="18">
        <f t="shared" si="9"/>
        <v>34</v>
      </c>
      <c r="H18" s="18">
        <f>LARGE(H7:H17,1) - SMALL(H7:H17,1)</f>
        <v>25</v>
      </c>
      <c r="I18" s="18">
        <f>LARGE(I7:I17,1) - SMALL(I7:I17,1)</f>
        <v>30</v>
      </c>
      <c r="J18" s="19">
        <f t="shared" ref="J18:L18" si="10">LARGE(J7:J17,1) - SMALL(J7:J17,1)</f>
        <v>19</v>
      </c>
      <c r="K18" s="18">
        <f t="shared" si="10"/>
        <v>8</v>
      </c>
      <c r="L18" s="18">
        <f t="shared" si="10"/>
        <v>8</v>
      </c>
      <c r="O18" s="19">
        <f t="shared" ref="O18" si="11">LARGE(O7:O17,1) - SMALL(O7:O17,1)</f>
        <v>44.875</v>
      </c>
      <c r="P18" s="48">
        <f>SUM(P7:P17)</f>
        <v>1.1074168784255851</v>
      </c>
      <c r="S18">
        <f>AVERAGE(S7:S17)</f>
        <v>24.90909090909091</v>
      </c>
      <c r="T18">
        <f>AVERAGE(T7:T17)</f>
        <v>70.454545454545453</v>
      </c>
      <c r="U18" s="50">
        <f>SUM(U7:U17)</f>
        <v>270.32499999999999</v>
      </c>
    </row>
    <row r="19" spans="1:22" x14ac:dyDescent="0.25">
      <c r="B19" s="3" t="s">
        <v>1</v>
      </c>
      <c r="C19" s="3" t="s">
        <v>2</v>
      </c>
      <c r="D19" s="3" t="s">
        <v>3</v>
      </c>
    </row>
    <row r="20" spans="1:22" x14ac:dyDescent="0.25">
      <c r="A20" s="3" t="s">
        <v>4</v>
      </c>
      <c r="B20" s="2">
        <f>AVERAGE(O7:O12)*0.1+AVERAGE(O13:O17)*0.9</f>
        <v>67.455416666666665</v>
      </c>
      <c r="C20" s="2">
        <f>AVERAGE(O7:O12)*0.9+AVERAGE(O13:O17)*0.1</f>
        <v>53.098749999999995</v>
      </c>
      <c r="D20" s="2">
        <f>AVERAGE(K7:K17)*0.5+AVERAGE(L7:L17)*0.5</f>
        <v>97.63636363636364</v>
      </c>
    </row>
    <row r="22" spans="1:22" x14ac:dyDescent="0.25">
      <c r="A22" t="s">
        <v>309</v>
      </c>
    </row>
    <row r="24" spans="1:22" x14ac:dyDescent="0.25">
      <c r="A24" t="s">
        <v>298</v>
      </c>
    </row>
    <row r="25" spans="1:22" x14ac:dyDescent="0.25">
      <c r="A25" t="s">
        <v>310</v>
      </c>
    </row>
    <row r="27" spans="1:22" x14ac:dyDescent="0.25">
      <c r="A27" t="s">
        <v>299</v>
      </c>
    </row>
    <row r="28" spans="1:22" x14ac:dyDescent="0.25">
      <c r="A28" t="s">
        <v>311</v>
      </c>
    </row>
    <row r="30" spans="1:22" x14ac:dyDescent="0.25">
      <c r="A30" t="s">
        <v>300</v>
      </c>
    </row>
    <row r="31" spans="1:22" x14ac:dyDescent="0.25">
      <c r="A31" t="s">
        <v>312</v>
      </c>
    </row>
    <row r="33" spans="1:1" x14ac:dyDescent="0.25">
      <c r="A33" t="s">
        <v>301</v>
      </c>
    </row>
    <row r="34" spans="1:1" x14ac:dyDescent="0.25">
      <c r="A34" t="s">
        <v>313</v>
      </c>
    </row>
    <row r="36" spans="1:1" x14ac:dyDescent="0.25">
      <c r="A36" t="s">
        <v>302</v>
      </c>
    </row>
    <row r="37" spans="1:1" x14ac:dyDescent="0.25">
      <c r="A37" t="s">
        <v>314</v>
      </c>
    </row>
    <row r="39" spans="1:1" x14ac:dyDescent="0.25">
      <c r="A39" t="s">
        <v>303</v>
      </c>
    </row>
    <row r="40" spans="1:1" x14ac:dyDescent="0.25">
      <c r="A40" t="s">
        <v>315</v>
      </c>
    </row>
    <row r="42" spans="1:1" x14ac:dyDescent="0.25">
      <c r="A42" t="s">
        <v>304</v>
      </c>
    </row>
    <row r="43" spans="1:1" x14ac:dyDescent="0.25">
      <c r="A43" t="s">
        <v>316</v>
      </c>
    </row>
    <row r="45" spans="1:1" x14ac:dyDescent="0.25">
      <c r="A45" t="s">
        <v>305</v>
      </c>
    </row>
    <row r="46" spans="1:1" x14ac:dyDescent="0.25">
      <c r="A46" t="s">
        <v>317</v>
      </c>
    </row>
    <row r="48" spans="1:1" x14ac:dyDescent="0.25">
      <c r="A48" t="s">
        <v>306</v>
      </c>
    </row>
    <row r="49" spans="1:1" x14ac:dyDescent="0.25">
      <c r="A49" t="s">
        <v>318</v>
      </c>
    </row>
    <row r="51" spans="1:1" x14ac:dyDescent="0.25">
      <c r="A51" t="s">
        <v>307</v>
      </c>
    </row>
    <row r="52" spans="1:1" x14ac:dyDescent="0.25">
      <c r="A52" t="s">
        <v>319</v>
      </c>
    </row>
    <row r="54" spans="1:1" x14ac:dyDescent="0.25">
      <c r="A54" t="s">
        <v>308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DCDF0-B11A-4AD8-9BC9-E2EDF60BCDE0}">
  <sheetPr codeName="Sheet22">
    <tabColor theme="6"/>
  </sheetPr>
  <dimension ref="A1:V54"/>
  <sheetViews>
    <sheetView zoomScaleNormal="100" workbookViewId="0">
      <selection activeCell="L4" sqref="L4"/>
    </sheetView>
  </sheetViews>
  <sheetFormatPr defaultRowHeight="15" x14ac:dyDescent="0.25"/>
  <cols>
    <col min="1" max="1" width="8.28515625" bestFit="1" customWidth="1"/>
    <col min="2" max="2" width="10.5703125" bestFit="1" customWidth="1"/>
    <col min="3" max="3" width="10.140625" bestFit="1" customWidth="1"/>
    <col min="4" max="4" width="11.85546875" bestFit="1" customWidth="1"/>
    <col min="5" max="5" width="9.28515625" bestFit="1" customWidth="1"/>
  </cols>
  <sheetData>
    <row r="1" spans="1:22" x14ac:dyDescent="0.25">
      <c r="A1" s="3" t="s">
        <v>19</v>
      </c>
      <c r="B1" s="6" t="s">
        <v>40</v>
      </c>
      <c r="K1">
        <f ca="1">RANDBETWEEN(K$4-5,K$4+5)</f>
        <v>52</v>
      </c>
      <c r="L1">
        <f ca="1">RANDBETWEEN(L$4-5,L$4+5)</f>
        <v>90</v>
      </c>
    </row>
    <row r="2" spans="1:22" x14ac:dyDescent="0.25">
      <c r="A2" s="3" t="s">
        <v>20</v>
      </c>
      <c r="B2" s="6" t="s">
        <v>342</v>
      </c>
    </row>
    <row r="3" spans="1:22" x14ac:dyDescent="0.25">
      <c r="A3" s="3" t="s">
        <v>138</v>
      </c>
      <c r="B3" s="6" t="str">
        <f>VLOOKUP(B1,STATS!L1:AA21,16,FALSE)</f>
        <v>Mongolia</v>
      </c>
    </row>
    <row r="4" spans="1:22" x14ac:dyDescent="0.25">
      <c r="A4" s="3" t="s">
        <v>22</v>
      </c>
      <c r="B4" s="1">
        <f>((B20+C20)/2)*((D20+50)/100)</f>
        <v>74.281036931818193</v>
      </c>
      <c r="F4">
        <f>VLOOKUP($B$1,STATS!$L$1:$Q$21,3,FALSE)</f>
        <v>45</v>
      </c>
      <c r="G4">
        <f>VLOOKUP($B$1,STATS!$L$1:$Q$21,4,FALSE)</f>
        <v>65</v>
      </c>
      <c r="H4">
        <f>VLOOKUP($B$1,STATS!$L$1:$Q$21,5,FALSE)</f>
        <v>70</v>
      </c>
      <c r="I4">
        <f>VLOOKUP($B$1,STATS!$L$1:$Q$21,6,FALSE)</f>
        <v>70</v>
      </c>
      <c r="J4">
        <f>AVERAGE(F4:I4)</f>
        <v>62.5</v>
      </c>
      <c r="K4">
        <v>55</v>
      </c>
      <c r="L4">
        <v>85</v>
      </c>
    </row>
    <row r="5" spans="1:22" x14ac:dyDescent="0.25">
      <c r="F5" s="12">
        <f t="shared" ref="F5:H5" si="0">AVERAGE(F7:F17)</f>
        <v>44.18181818181818</v>
      </c>
      <c r="G5" s="12">
        <f t="shared" si="0"/>
        <v>64.272727272727266</v>
      </c>
      <c r="H5" s="12">
        <f t="shared" si="0"/>
        <v>73.454545454545453</v>
      </c>
      <c r="I5" s="12">
        <f>AVERAGE(I7:I17)</f>
        <v>68.727272727272734</v>
      </c>
      <c r="J5" s="12">
        <f>AVERAGE(J7:J17)</f>
        <v>62.659090909090907</v>
      </c>
      <c r="K5" s="12">
        <f t="shared" ref="K5:M5" si="1">AVERAGE(K7:K17)</f>
        <v>54.727272727272727</v>
      </c>
      <c r="L5" s="12">
        <f t="shared" si="1"/>
        <v>83.909090909090907</v>
      </c>
      <c r="M5" s="12">
        <f t="shared" si="1"/>
        <v>37.266136363636356</v>
      </c>
      <c r="N5" s="12">
        <f>AVERAGE(N7:N17)</f>
        <v>45.838181818181823</v>
      </c>
      <c r="O5" s="12">
        <f>AVERAGE(O7:O17)</f>
        <v>62.593181818181819</v>
      </c>
    </row>
    <row r="6" spans="1:22" x14ac:dyDescent="0.25">
      <c r="A6" s="3" t="s">
        <v>7</v>
      </c>
      <c r="B6" s="3" t="s">
        <v>8</v>
      </c>
      <c r="C6" s="3" t="s">
        <v>9</v>
      </c>
      <c r="D6" s="3" t="s">
        <v>44</v>
      </c>
      <c r="E6" s="3" t="s">
        <v>50</v>
      </c>
      <c r="F6" s="3" t="s">
        <v>17</v>
      </c>
      <c r="G6" s="3" t="s">
        <v>14</v>
      </c>
      <c r="H6" s="3" t="s">
        <v>15</v>
      </c>
      <c r="I6" s="3" t="s">
        <v>16</v>
      </c>
      <c r="J6" s="3" t="s">
        <v>48</v>
      </c>
      <c r="K6" s="3" t="s">
        <v>3</v>
      </c>
      <c r="L6" s="3" t="s">
        <v>10</v>
      </c>
      <c r="M6" s="3" t="s">
        <v>1</v>
      </c>
      <c r="N6" s="3" t="s">
        <v>12</v>
      </c>
      <c r="O6" s="3" t="s">
        <v>4</v>
      </c>
      <c r="P6" s="3" t="s">
        <v>49</v>
      </c>
      <c r="Q6" s="3" t="s">
        <v>47</v>
      </c>
      <c r="R6" s="3" t="s">
        <v>138</v>
      </c>
      <c r="S6" s="3" t="s">
        <v>1354</v>
      </c>
      <c r="T6" s="3" t="s">
        <v>1355</v>
      </c>
      <c r="U6" s="3" t="s">
        <v>1356</v>
      </c>
      <c r="V6" s="3" t="s">
        <v>13</v>
      </c>
    </row>
    <row r="7" spans="1:22" x14ac:dyDescent="0.25">
      <c r="A7" s="8" t="str">
        <f>'All Players'!C191</f>
        <v>GK</v>
      </c>
      <c r="B7" s="8" t="str">
        <f>'All Players'!D191</f>
        <v>Batbold</v>
      </c>
      <c r="C7" s="8" t="str">
        <f>'All Players'!E191</f>
        <v>Bayar</v>
      </c>
      <c r="D7" s="8" t="str">
        <f>'All Players'!F191</f>
        <v>B. Bayar</v>
      </c>
      <c r="E7" s="8" t="str">
        <f>'All Players'!G191</f>
        <v>Bat</v>
      </c>
      <c r="F7" s="8">
        <f>'All Players'!H191</f>
        <v>32</v>
      </c>
      <c r="G7" s="8">
        <f>'All Players'!I191</f>
        <v>64</v>
      </c>
      <c r="H7" s="8">
        <f>'All Players'!J191</f>
        <v>83</v>
      </c>
      <c r="I7" s="8">
        <f>'All Players'!K191</f>
        <v>57</v>
      </c>
      <c r="J7" s="5">
        <f t="shared" ref="J7:J17" si="2">AVERAGE(F7:I7)</f>
        <v>59</v>
      </c>
      <c r="K7" s="8">
        <f>'All Players'!M191</f>
        <v>54</v>
      </c>
      <c r="L7" s="8">
        <f>'All Players'!N191</f>
        <v>80</v>
      </c>
      <c r="M7" s="4">
        <f>AVERAGE(F7:I7)*0</f>
        <v>0</v>
      </c>
      <c r="N7" s="5">
        <f>O7</f>
        <v>52.05</v>
      </c>
      <c r="O7" s="11">
        <f>F7*Formuals!B2+G7*Formuals!C2+H7*Formuals!D2+I7*Formuals!E2</f>
        <v>52.05</v>
      </c>
      <c r="P7" s="10">
        <f>((M7/SUM($M$7:$M$17)))</f>
        <v>0</v>
      </c>
      <c r="Q7" s="10">
        <f t="shared" ref="Q7:Q17" si="3">((M7/100)*(L7/100))*3</f>
        <v>0</v>
      </c>
      <c r="R7" s="8" t="str">
        <f>'All Players'!T191</f>
        <v>Mongolia</v>
      </c>
      <c r="S7" s="8">
        <f>'All Players'!U191</f>
        <v>25</v>
      </c>
      <c r="T7" s="8">
        <f>'All Players'!V191</f>
        <v>58</v>
      </c>
      <c r="U7" s="49">
        <f t="shared" ref="U7:U17" si="4">IF((O7*0.5)+((T7*0.5)-((S7-18)*0.1))-40&lt;0,"0",(O7*0.5)+((T7*0.5)-((S7-18)*0.1))-40)</f>
        <v>14.325000000000003</v>
      </c>
      <c r="V7" s="6" t="str">
        <f>A24</f>
        <v>Known for his commanding presence and quick reflexes, as strong and reliable as a Mongolian bat (strong).</v>
      </c>
    </row>
    <row r="8" spans="1:22" x14ac:dyDescent="0.25">
      <c r="A8" s="8" t="str">
        <f>'All Players'!C192</f>
        <v>LB</v>
      </c>
      <c r="B8" s="8" t="str">
        <f>'All Players'!D192</f>
        <v>Temuujin</v>
      </c>
      <c r="C8" s="8" t="str">
        <f>'All Players'!E192</f>
        <v>Erdene</v>
      </c>
      <c r="D8" s="8" t="str">
        <f>'All Players'!F192</f>
        <v>T. Erdene</v>
      </c>
      <c r="E8" s="8" t="str">
        <f>'All Players'!G192</f>
        <v>Temur</v>
      </c>
      <c r="F8" s="8">
        <f>'All Players'!H192</f>
        <v>29</v>
      </c>
      <c r="G8" s="8">
        <f>'All Players'!I192</f>
        <v>71</v>
      </c>
      <c r="H8" s="8">
        <f>'All Players'!J192</f>
        <v>68</v>
      </c>
      <c r="I8" s="8">
        <f>'All Players'!K192</f>
        <v>79</v>
      </c>
      <c r="J8" s="5">
        <f t="shared" si="2"/>
        <v>61.75</v>
      </c>
      <c r="K8" s="8">
        <f>'All Players'!M192</f>
        <v>50</v>
      </c>
      <c r="L8" s="8">
        <f>'All Players'!N192</f>
        <v>89</v>
      </c>
      <c r="M8" s="5">
        <f>0.4*O8</f>
        <v>26.42</v>
      </c>
      <c r="N8" s="5">
        <f>0.9*O8</f>
        <v>59.445</v>
      </c>
      <c r="O8" s="11">
        <f>F8*Formuals!B3+G8*Formuals!C3+H8*Formuals!D3+I8*Formuals!E3</f>
        <v>66.05</v>
      </c>
      <c r="P8" s="10">
        <f t="shared" ref="P8:P10" si="5">((M8/SUM($M$7:$M$17)))*0.67</f>
        <v>4.3181782144403595E-2</v>
      </c>
      <c r="Q8" s="10">
        <f t="shared" si="3"/>
        <v>0.70541399999999999</v>
      </c>
      <c r="R8" s="8" t="str">
        <f>'All Players'!T192</f>
        <v>Mongolia</v>
      </c>
      <c r="S8" s="8">
        <f>'All Players'!U192</f>
        <v>25</v>
      </c>
      <c r="T8" s="8">
        <f>'All Players'!V192</f>
        <v>81</v>
      </c>
      <c r="U8" s="49">
        <f t="shared" si="4"/>
        <v>32.824999999999989</v>
      </c>
      <c r="V8" s="6" t="str">
        <f>A27</f>
        <v>His resilient and powerful play mirrors that of Temujin, the birth name of Genghis Khan.</v>
      </c>
    </row>
    <row r="9" spans="1:22" x14ac:dyDescent="0.25">
      <c r="A9" s="8" t="str">
        <f>'All Players'!C193</f>
        <v>CB</v>
      </c>
      <c r="B9" s="8" t="str">
        <f>'All Players'!D193</f>
        <v>Bataar</v>
      </c>
      <c r="C9" s="8" t="str">
        <f>'All Players'!E193</f>
        <v>Ochir</v>
      </c>
      <c r="D9" s="8" t="str">
        <f>'All Players'!F193</f>
        <v>B. Ochir</v>
      </c>
      <c r="E9" s="8" t="str">
        <f>'All Players'!G193</f>
        <v>Baatar</v>
      </c>
      <c r="F9" s="8">
        <f>'All Players'!H193</f>
        <v>50</v>
      </c>
      <c r="G9" s="8">
        <f>'All Players'!I193</f>
        <v>79</v>
      </c>
      <c r="H9" s="8">
        <f>'All Players'!J193</f>
        <v>80</v>
      </c>
      <c r="I9" s="8">
        <f>'All Players'!K193</f>
        <v>74</v>
      </c>
      <c r="J9" s="5">
        <f t="shared" si="2"/>
        <v>70.75</v>
      </c>
      <c r="K9" s="8">
        <f>'All Players'!M193</f>
        <v>55</v>
      </c>
      <c r="L9" s="8">
        <f>'All Players'!N193</f>
        <v>80</v>
      </c>
      <c r="M9" s="5">
        <f>O9*0.3</f>
        <v>22.559999999999995</v>
      </c>
      <c r="N9" s="5">
        <f>O9</f>
        <v>75.199999999999989</v>
      </c>
      <c r="O9" s="11">
        <f>F9*Formuals!B4+G9*Formuals!C4+H9*Formuals!D4+I9*Formuals!E4</f>
        <v>75.199999999999989</v>
      </c>
      <c r="P9" s="10">
        <f t="shared" si="5"/>
        <v>3.6872861664562634E-2</v>
      </c>
      <c r="Q9" s="10">
        <f t="shared" si="3"/>
        <v>0.54143999999999992</v>
      </c>
      <c r="R9" s="8" t="str">
        <f>'All Players'!T193</f>
        <v>Mongolia</v>
      </c>
      <c r="S9" s="8">
        <f>'All Players'!U193</f>
        <v>28</v>
      </c>
      <c r="T9" s="8">
        <f>'All Players'!V193</f>
        <v>84</v>
      </c>
      <c r="U9" s="49">
        <f t="shared" si="4"/>
        <v>38.599999999999994</v>
      </c>
      <c r="V9" s="6" t="str">
        <f>A30</f>
        <v>Sturdy and fearless in defense, living up to his name Baatar, meaning 'hero'.</v>
      </c>
    </row>
    <row r="10" spans="1:22" x14ac:dyDescent="0.25">
      <c r="A10" s="8" t="str">
        <f>'All Players'!C194</f>
        <v>CB</v>
      </c>
      <c r="B10" s="8" t="str">
        <f>'All Players'!D194</f>
        <v>Sukh</v>
      </c>
      <c r="C10" s="8" t="str">
        <f>'All Players'!E194</f>
        <v>Bat</v>
      </c>
      <c r="D10" s="8" t="str">
        <f>'All Players'!F194</f>
        <v>S. Bat</v>
      </c>
      <c r="E10" s="8" t="str">
        <f>'All Players'!G194</f>
        <v>Sükh</v>
      </c>
      <c r="F10" s="8">
        <f>'All Players'!H194</f>
        <v>46</v>
      </c>
      <c r="G10" s="8">
        <f>'All Players'!I194</f>
        <v>44</v>
      </c>
      <c r="H10" s="8">
        <f>'All Players'!J194</f>
        <v>75</v>
      </c>
      <c r="I10" s="8">
        <f>'All Players'!K194</f>
        <v>71</v>
      </c>
      <c r="J10" s="5">
        <f t="shared" si="2"/>
        <v>59</v>
      </c>
      <c r="K10" s="8">
        <f>'All Players'!M194</f>
        <v>59</v>
      </c>
      <c r="L10" s="8">
        <f>'All Players'!N194</f>
        <v>83</v>
      </c>
      <c r="M10" s="5">
        <f>O10*0.3</f>
        <v>19.837499999999999</v>
      </c>
      <c r="N10" s="5">
        <f>O10</f>
        <v>66.125</v>
      </c>
      <c r="O10" s="11">
        <f>F10*Formuals!B5+G10*Formuals!C5+H10*Formuals!D5+I10*Formuals!E5</f>
        <v>66.125</v>
      </c>
      <c r="P10" s="10">
        <f t="shared" si="5"/>
        <v>3.2423111403845808E-2</v>
      </c>
      <c r="Q10" s="10">
        <f t="shared" si="3"/>
        <v>0.49395374999999997</v>
      </c>
      <c r="R10" s="8" t="str">
        <f>'All Players'!T194</f>
        <v>Mongolia</v>
      </c>
      <c r="S10" s="8">
        <f>'All Players'!U194</f>
        <v>33</v>
      </c>
      <c r="T10" s="8">
        <f>'All Players'!V194</f>
        <v>67</v>
      </c>
      <c r="U10" s="49">
        <f t="shared" si="4"/>
        <v>25.0625</v>
      </c>
      <c r="V10" s="6" t="str">
        <f>A33</f>
        <v>Calm and composed under pressure, his playstyle embodies sükh (axe), a symbol of strength.</v>
      </c>
    </row>
    <row r="11" spans="1:22" x14ac:dyDescent="0.25">
      <c r="A11" s="8" t="str">
        <f>'All Players'!C195</f>
        <v>RB</v>
      </c>
      <c r="B11" s="8" t="str">
        <f>'All Players'!D195</f>
        <v>Gal</v>
      </c>
      <c r="C11" s="8" t="str">
        <f>'All Players'!E195</f>
        <v>Altan</v>
      </c>
      <c r="D11" s="8" t="str">
        <f>'All Players'!F195</f>
        <v>G. Altan</v>
      </c>
      <c r="E11" s="8" t="str">
        <f>'All Players'!G195</f>
        <v>Galaa</v>
      </c>
      <c r="F11" s="8">
        <f>'All Players'!H195</f>
        <v>52</v>
      </c>
      <c r="G11" s="8">
        <f>'All Players'!I195</f>
        <v>68</v>
      </c>
      <c r="H11" s="8">
        <f>'All Players'!J195</f>
        <v>90</v>
      </c>
      <c r="I11" s="8">
        <f>'All Players'!K195</f>
        <v>64</v>
      </c>
      <c r="J11" s="5">
        <f t="shared" si="2"/>
        <v>68.5</v>
      </c>
      <c r="K11" s="8">
        <f>'All Players'!M195</f>
        <v>57</v>
      </c>
      <c r="L11" s="8">
        <f>'All Players'!N195</f>
        <v>80</v>
      </c>
      <c r="M11" s="5">
        <f>0.4*O11</f>
        <v>28.84</v>
      </c>
      <c r="N11" s="5">
        <f>0.9*O11</f>
        <v>64.89</v>
      </c>
      <c r="O11" s="11">
        <f>F11*Formuals!B6+G11*Formuals!C6+H11*Formuals!D6+I11*Formuals!E6</f>
        <v>72.099999999999994</v>
      </c>
      <c r="P11" s="10">
        <f>((M11/SUM($M$7:$M$17)))*0.67</f>
        <v>4.7137115709485221E-2</v>
      </c>
      <c r="Q11" s="10">
        <f t="shared" si="3"/>
        <v>0.69216</v>
      </c>
      <c r="R11" s="8" t="str">
        <f>'All Players'!T195</f>
        <v>Mongolia</v>
      </c>
      <c r="S11" s="8">
        <f>'All Players'!U195</f>
        <v>28</v>
      </c>
      <c r="T11" s="8">
        <f>'All Players'!V195</f>
        <v>84</v>
      </c>
      <c r="U11" s="49">
        <f t="shared" si="4"/>
        <v>37.049999999999997</v>
      </c>
      <c r="V11" s="6" t="str">
        <f>A36</f>
        <v>Quick and agile, his movements are as fluid as the word 'galaa' suggests, meaning fire.</v>
      </c>
    </row>
    <row r="12" spans="1:22" x14ac:dyDescent="0.25">
      <c r="A12" s="8" t="str">
        <f>'All Players'!C196</f>
        <v>CDM</v>
      </c>
      <c r="B12" s="8" t="str">
        <f>'All Players'!D196</f>
        <v>Chuluun</v>
      </c>
      <c r="C12" s="8" t="str">
        <f>'All Players'!E196</f>
        <v>Naran</v>
      </c>
      <c r="D12" s="8" t="str">
        <f>'All Players'!F196</f>
        <v>C. Naran</v>
      </c>
      <c r="E12" s="8" t="str">
        <f>'All Players'!G196</f>
        <v>Chi</v>
      </c>
      <c r="F12" s="8">
        <f>'All Players'!H196</f>
        <v>53</v>
      </c>
      <c r="G12" s="8">
        <f>'All Players'!I196</f>
        <v>69</v>
      </c>
      <c r="H12" s="8">
        <f>'All Players'!J196</f>
        <v>63</v>
      </c>
      <c r="I12" s="8">
        <f>'All Players'!K196</f>
        <v>70</v>
      </c>
      <c r="J12" s="5">
        <f t="shared" si="2"/>
        <v>63.75</v>
      </c>
      <c r="K12" s="8">
        <f>'All Players'!M196</f>
        <v>50</v>
      </c>
      <c r="L12" s="8">
        <f>'All Players'!N196</f>
        <v>88</v>
      </c>
      <c r="M12" s="5">
        <f>O12*0.6</f>
        <v>38.609999999999992</v>
      </c>
      <c r="N12" s="5">
        <f>O12*0.9</f>
        <v>57.914999999999999</v>
      </c>
      <c r="O12" s="11">
        <f>F12*Formuals!B7+G12*Formuals!C7+H12*Formuals!D7+I12*Formuals!E7</f>
        <v>64.349999999999994</v>
      </c>
      <c r="P12" s="10">
        <f t="shared" ref="P12:P14" si="6">((M12/SUM($M$7:$M$17)))</f>
        <v>9.4187386794006248E-2</v>
      </c>
      <c r="Q12" s="10">
        <f t="shared" si="3"/>
        <v>1.019304</v>
      </c>
      <c r="R12" s="8" t="str">
        <f>'All Players'!T196</f>
        <v>Mongolia</v>
      </c>
      <c r="S12" s="8">
        <f>'All Players'!U196</f>
        <v>29</v>
      </c>
      <c r="T12" s="8">
        <f>'All Players'!V196</f>
        <v>73</v>
      </c>
      <c r="U12" s="49">
        <f t="shared" si="4"/>
        <v>27.574999999999989</v>
      </c>
      <c r="V12" s="6" t="str">
        <f>A39</f>
        <v>Solid as a rock (chuluun), he's the backbone of the midfield with his unwavering play.</v>
      </c>
    </row>
    <row r="13" spans="1:22" x14ac:dyDescent="0.25">
      <c r="A13" s="8" t="str">
        <f>'All Players'!C197</f>
        <v>CM</v>
      </c>
      <c r="B13" s="8" t="str">
        <f>'All Players'!D197</f>
        <v>Togtokh</v>
      </c>
      <c r="C13" s="8" t="str">
        <f>'All Players'!E197</f>
        <v>Bolor</v>
      </c>
      <c r="D13" s="8" t="str">
        <f>'All Players'!F197</f>
        <v>T. Bolor</v>
      </c>
      <c r="E13" s="8" t="str">
        <f>'All Players'!G197</f>
        <v>Tog</v>
      </c>
      <c r="F13" s="8">
        <f>'All Players'!H197</f>
        <v>38</v>
      </c>
      <c r="G13" s="8">
        <f>'All Players'!I197</f>
        <v>51</v>
      </c>
      <c r="H13" s="8">
        <f>'All Players'!J197</f>
        <v>77</v>
      </c>
      <c r="I13" s="8">
        <f>'All Players'!K197</f>
        <v>66</v>
      </c>
      <c r="J13" s="5">
        <f t="shared" si="2"/>
        <v>58</v>
      </c>
      <c r="K13" s="8">
        <f>'All Players'!M197</f>
        <v>57</v>
      </c>
      <c r="L13" s="8">
        <f>'All Players'!N197</f>
        <v>86</v>
      </c>
      <c r="M13" s="5">
        <f>O13*0.75</f>
        <v>40.424999999999997</v>
      </c>
      <c r="N13" s="5">
        <f>O13*0.75</f>
        <v>40.424999999999997</v>
      </c>
      <c r="O13" s="11">
        <f>F13*Formuals!B8+G13*Formuals!C8+H13*Formuals!D8+I13*Formuals!E8</f>
        <v>53.9</v>
      </c>
      <c r="P13" s="10">
        <f t="shared" si="6"/>
        <v>9.8614998993724501E-2</v>
      </c>
      <c r="Q13" s="10">
        <f t="shared" si="3"/>
        <v>1.0429649999999999</v>
      </c>
      <c r="R13" s="8" t="str">
        <f>'All Players'!T197</f>
        <v>Mongolia</v>
      </c>
      <c r="S13" s="8">
        <f>'All Players'!U197</f>
        <v>28</v>
      </c>
      <c r="T13" s="8">
        <f>'All Players'!V197</f>
        <v>62</v>
      </c>
      <c r="U13" s="49">
        <f t="shared" si="4"/>
        <v>16.950000000000003</v>
      </c>
      <c r="V13" s="6" t="str">
        <f>A42</f>
        <v>Strong and dynamic, his name means 'steel', reflecting his robust style of play.</v>
      </c>
    </row>
    <row r="14" spans="1:22" x14ac:dyDescent="0.25">
      <c r="A14" s="8" t="str">
        <f>'All Players'!C198</f>
        <v>CAM</v>
      </c>
      <c r="B14" s="8" t="str">
        <f>'All Players'!D198</f>
        <v>Nergui</v>
      </c>
      <c r="C14" s="8" t="str">
        <f>'All Players'!E198</f>
        <v>Enkh</v>
      </c>
      <c r="D14" s="8" t="str">
        <f>'All Players'!F198</f>
        <v>N. Enkh</v>
      </c>
      <c r="E14" s="8" t="str">
        <f>'All Players'!G198</f>
        <v>Nergüi</v>
      </c>
      <c r="F14" s="8">
        <f>'All Players'!H198</f>
        <v>51</v>
      </c>
      <c r="G14" s="8">
        <f>'All Players'!I198</f>
        <v>52</v>
      </c>
      <c r="H14" s="8">
        <f>'All Players'!J198</f>
        <v>74</v>
      </c>
      <c r="I14" s="8">
        <f>'All Players'!K198</f>
        <v>64</v>
      </c>
      <c r="J14" s="5">
        <f t="shared" si="2"/>
        <v>60.25</v>
      </c>
      <c r="K14" s="8">
        <f>'All Players'!M198</f>
        <v>58</v>
      </c>
      <c r="L14" s="8">
        <f>'All Players'!N198</f>
        <v>82</v>
      </c>
      <c r="M14" s="5">
        <f>O14*0.9</f>
        <v>49.635000000000005</v>
      </c>
      <c r="N14" s="5">
        <f>O14*0.6</f>
        <v>33.090000000000003</v>
      </c>
      <c r="O14" s="11">
        <f>F14*Formuals!B9+G14*Formuals!C9+H14*Formuals!D9+I14*Formuals!E9</f>
        <v>55.150000000000006</v>
      </c>
      <c r="P14" s="10">
        <f t="shared" si="6"/>
        <v>0.12108238651956751</v>
      </c>
      <c r="Q14" s="10">
        <f t="shared" si="3"/>
        <v>1.2210209999999999</v>
      </c>
      <c r="R14" s="8" t="str">
        <f>'All Players'!T198</f>
        <v>Mongolia</v>
      </c>
      <c r="S14" s="8">
        <f>'All Players'!U198</f>
        <v>20</v>
      </c>
      <c r="T14" s="8">
        <f>'All Players'!V198</f>
        <v>60</v>
      </c>
      <c r="U14" s="49">
        <f t="shared" si="4"/>
        <v>17.375</v>
      </c>
      <c r="V14" s="6" t="str">
        <f>A45</f>
        <v>Fearless and creative, Nergüi meaning 'no fear', he's the creative force of the team.</v>
      </c>
    </row>
    <row r="15" spans="1:22" x14ac:dyDescent="0.25">
      <c r="A15" s="8" t="str">
        <f>'All Players'!C199</f>
        <v>LW</v>
      </c>
      <c r="B15" s="8" t="str">
        <f>'All Players'!D199</f>
        <v>Jargal</v>
      </c>
      <c r="C15" s="8" t="str">
        <f>'All Players'!E199</f>
        <v>Saikhan</v>
      </c>
      <c r="D15" s="8" t="str">
        <f>'All Players'!F199</f>
        <v>J. Saikhan</v>
      </c>
      <c r="E15" s="8" t="str">
        <f>'All Players'!G199</f>
        <v>Jargalant</v>
      </c>
      <c r="F15" s="8">
        <f>'All Players'!H199</f>
        <v>48</v>
      </c>
      <c r="G15" s="8">
        <f>'All Players'!I199</f>
        <v>59</v>
      </c>
      <c r="H15" s="8">
        <f>'All Players'!J199</f>
        <v>73</v>
      </c>
      <c r="I15" s="8">
        <f>'All Players'!K199</f>
        <v>76</v>
      </c>
      <c r="J15" s="5">
        <f t="shared" si="2"/>
        <v>64</v>
      </c>
      <c r="K15" s="8">
        <f>'All Players'!M199</f>
        <v>55</v>
      </c>
      <c r="L15" s="8">
        <f>'All Players'!N199</f>
        <v>83</v>
      </c>
      <c r="M15" s="5">
        <f>O15</f>
        <v>63.5</v>
      </c>
      <c r="N15" s="5">
        <f>O15*0.3</f>
        <v>19.05</v>
      </c>
      <c r="O15" s="11">
        <f>F15*Formuals!B10+G15*Formuals!C10+H15*Formuals!D10+I15*Formuals!E10</f>
        <v>63.5</v>
      </c>
      <c r="P15" s="10">
        <f>((M15/SUM($M$7:$M$17)))*1.33</f>
        <v>0.20602423599295</v>
      </c>
      <c r="Q15" s="10">
        <f t="shared" si="3"/>
        <v>1.5811500000000001</v>
      </c>
      <c r="R15" s="8" t="str">
        <f>'All Players'!T199</f>
        <v>Mongolia</v>
      </c>
      <c r="S15" s="8">
        <f>'All Players'!U199</f>
        <v>25</v>
      </c>
      <c r="T15" s="8">
        <f>'All Players'!V199</f>
        <v>75</v>
      </c>
      <c r="U15" s="49">
        <f t="shared" si="4"/>
        <v>28.549999999999997</v>
      </c>
      <c r="V15" s="6" t="str">
        <f>A48</f>
        <v>His joyful (jargal) and victorious (saikhan) spirit energizes the team's attacks.</v>
      </c>
    </row>
    <row r="16" spans="1:22" x14ac:dyDescent="0.25">
      <c r="A16" s="8" t="str">
        <f>'All Players'!C200</f>
        <v>ST</v>
      </c>
      <c r="B16" s="8" t="str">
        <f>'All Players'!D200</f>
        <v>Ariun</v>
      </c>
      <c r="C16" s="8" t="str">
        <f>'All Players'!E200</f>
        <v>Bold</v>
      </c>
      <c r="D16" s="8" t="str">
        <f>'All Players'!F200</f>
        <v>A. Bold</v>
      </c>
      <c r="E16" s="8" t="str">
        <f>'All Players'!G200</f>
        <v>Ari</v>
      </c>
      <c r="F16" s="8">
        <f>'All Players'!H200</f>
        <v>42</v>
      </c>
      <c r="G16" s="8">
        <f>'All Players'!I200</f>
        <v>70</v>
      </c>
      <c r="H16" s="8">
        <f>'All Players'!J200</f>
        <v>70</v>
      </c>
      <c r="I16" s="8">
        <f>'All Players'!K200</f>
        <v>69</v>
      </c>
      <c r="J16" s="5">
        <f t="shared" si="2"/>
        <v>62.75</v>
      </c>
      <c r="K16" s="8">
        <f>'All Players'!M200</f>
        <v>51</v>
      </c>
      <c r="L16" s="8">
        <f>'All Players'!N200</f>
        <v>87</v>
      </c>
      <c r="M16" s="5">
        <f>O16</f>
        <v>59.900000000000006</v>
      </c>
      <c r="N16" s="5">
        <f t="shared" ref="N16:N17" si="7">O16*0.3</f>
        <v>17.970000000000002</v>
      </c>
      <c r="O16" s="11">
        <f>F16*Formuals!B11+G16*Formuals!C11+H16*Formuals!D11+I16*Formuals!E11</f>
        <v>59.900000000000006</v>
      </c>
      <c r="P16" s="10">
        <f t="shared" ref="P16:P17" si="8">((M16/SUM($M$7:$M$17)))*1.33</f>
        <v>0.19434412182642055</v>
      </c>
      <c r="Q16" s="10">
        <f t="shared" si="3"/>
        <v>1.5633900000000003</v>
      </c>
      <c r="R16" s="8" t="str">
        <f>'All Players'!T200</f>
        <v>Mongolia</v>
      </c>
      <c r="S16" s="8">
        <f>'All Players'!U200</f>
        <v>34</v>
      </c>
      <c r="T16" s="8">
        <f>'All Players'!V200</f>
        <v>61</v>
      </c>
      <c r="U16" s="49">
        <f t="shared" si="4"/>
        <v>18.850000000000001</v>
      </c>
      <c r="V16" s="6" t="str">
        <f>A51</f>
        <v>Pure (ariun) and brave (bold), his sharp skills make him a key player in offensive maneuvers.</v>
      </c>
    </row>
    <row r="17" spans="1:22" x14ac:dyDescent="0.25">
      <c r="A17" s="8" t="str">
        <f>'All Players'!C201</f>
        <v>RW</v>
      </c>
      <c r="B17" s="8" t="str">
        <f>'All Players'!D201</f>
        <v>Khulan</v>
      </c>
      <c r="C17" s="8" t="str">
        <f>'All Players'!E201</f>
        <v>Ganbold</v>
      </c>
      <c r="D17" s="8" t="str">
        <f>'All Players'!F201</f>
        <v>K. Ganbold</v>
      </c>
      <c r="E17" s="8" t="str">
        <f>'All Players'!G201</f>
        <v>Khu</v>
      </c>
      <c r="F17" s="8">
        <f>'All Players'!H201</f>
        <v>45</v>
      </c>
      <c r="G17" s="8">
        <f>'All Players'!I201</f>
        <v>80</v>
      </c>
      <c r="H17" s="8">
        <f>'All Players'!J201</f>
        <v>55</v>
      </c>
      <c r="I17" s="8">
        <f>'All Players'!K201</f>
        <v>66</v>
      </c>
      <c r="J17" s="5">
        <f t="shared" si="2"/>
        <v>61.5</v>
      </c>
      <c r="K17" s="8">
        <f>'All Players'!M201</f>
        <v>56</v>
      </c>
      <c r="L17" s="8">
        <f>'All Players'!N201</f>
        <v>85</v>
      </c>
      <c r="M17" s="5">
        <f>O17</f>
        <v>60.2</v>
      </c>
      <c r="N17" s="5">
        <f t="shared" si="7"/>
        <v>18.059999999999999</v>
      </c>
      <c r="O17" s="11">
        <f>F17*Formuals!B12+G17*Formuals!C12+H17*Formuals!D12+I17*Formuals!E12</f>
        <v>60.2</v>
      </c>
      <c r="P17" s="10">
        <f t="shared" si="8"/>
        <v>0.19531746467363134</v>
      </c>
      <c r="Q17" s="10">
        <f t="shared" si="3"/>
        <v>1.5350999999999999</v>
      </c>
      <c r="R17" s="8" t="str">
        <f>'All Players'!T201</f>
        <v>Mongolia</v>
      </c>
      <c r="S17" s="8">
        <f>'All Players'!U201</f>
        <v>30</v>
      </c>
      <c r="T17" s="8">
        <f>'All Players'!V201</f>
        <v>65</v>
      </c>
      <c r="U17" s="49">
        <f t="shared" si="4"/>
        <v>21.400000000000006</v>
      </c>
      <c r="V17" s="6" t="str">
        <f>A54</f>
        <v>Swift and strong like a wild horse (khulan), he's a constant goal threat.</v>
      </c>
    </row>
    <row r="18" spans="1:22" x14ac:dyDescent="0.25">
      <c r="F18" s="18">
        <f t="shared" ref="F18:G18" si="9">LARGE(F7:F17,1) - SMALL(F7:F17,1)</f>
        <v>24</v>
      </c>
      <c r="G18" s="18">
        <f t="shared" si="9"/>
        <v>36</v>
      </c>
      <c r="H18" s="18">
        <f>LARGE(H7:H17,1) - SMALL(H7:H17,1)</f>
        <v>35</v>
      </c>
      <c r="I18" s="18">
        <f>LARGE(I7:I17,1) - SMALL(I7:I17,1)</f>
        <v>22</v>
      </c>
      <c r="J18" s="19">
        <f t="shared" ref="J18:L18" si="10">LARGE(J7:J17,1) - SMALL(J7:J17,1)</f>
        <v>12.75</v>
      </c>
      <c r="K18" s="18">
        <f t="shared" si="10"/>
        <v>9</v>
      </c>
      <c r="L18" s="18">
        <f t="shared" si="10"/>
        <v>9</v>
      </c>
      <c r="O18" s="19">
        <f t="shared" ref="O18" si="11">LARGE(O7:O17,1) - SMALL(O7:O17,1)</f>
        <v>23.149999999999991</v>
      </c>
      <c r="P18" s="48">
        <f>SUM(P7:P17)</f>
        <v>1.0691854657225974</v>
      </c>
      <c r="S18">
        <f>AVERAGE(S7:S17)</f>
        <v>27.727272727272727</v>
      </c>
      <c r="T18">
        <f>AVERAGE(T7:T17)</f>
        <v>70</v>
      </c>
      <c r="U18" s="50">
        <f>SUM(U7:U17)</f>
        <v>278.5625</v>
      </c>
    </row>
    <row r="19" spans="1:22" x14ac:dyDescent="0.25">
      <c r="B19" s="3" t="s">
        <v>1</v>
      </c>
      <c r="C19" s="3" t="s">
        <v>2</v>
      </c>
      <c r="D19" s="3" t="s">
        <v>3</v>
      </c>
    </row>
    <row r="20" spans="1:22" x14ac:dyDescent="0.25">
      <c r="A20" s="3" t="s">
        <v>4</v>
      </c>
      <c r="B20" s="2">
        <f>AVERAGE(O7:O12)*0.1+AVERAGE(O13:O17)*0.9</f>
        <v>59.274916666666677</v>
      </c>
      <c r="C20" s="2">
        <f>AVERAGE(O7:O12)*0.9+AVERAGE(O13:O17)*0.1</f>
        <v>65.234250000000003</v>
      </c>
      <c r="D20" s="2">
        <f>AVERAGE(K7:K17)*0.5+AVERAGE(L7:L17)*0.5</f>
        <v>69.318181818181813</v>
      </c>
      <c r="E20" s="7" t="e">
        <f t="shared" ref="E20" si="12">MID(A53, FIND("""", A53) + 1, FIND("""", A53, FIND("""", A53) + 1) - FIND("""", A53) - 1)</f>
        <v>#VALUE!</v>
      </c>
    </row>
    <row r="22" spans="1:22" x14ac:dyDescent="0.25">
      <c r="A22" t="s">
        <v>331</v>
      </c>
    </row>
    <row r="24" spans="1:22" x14ac:dyDescent="0.25">
      <c r="A24" t="s">
        <v>320</v>
      </c>
    </row>
    <row r="25" spans="1:22" x14ac:dyDescent="0.25">
      <c r="A25" t="s">
        <v>332</v>
      </c>
    </row>
    <row r="27" spans="1:22" x14ac:dyDescent="0.25">
      <c r="A27" t="s">
        <v>321</v>
      </c>
    </row>
    <row r="28" spans="1:22" x14ac:dyDescent="0.25">
      <c r="A28" t="s">
        <v>333</v>
      </c>
    </row>
    <row r="30" spans="1:22" x14ac:dyDescent="0.25">
      <c r="A30" t="s">
        <v>322</v>
      </c>
    </row>
    <row r="31" spans="1:22" x14ac:dyDescent="0.25">
      <c r="A31" t="s">
        <v>334</v>
      </c>
    </row>
    <row r="33" spans="1:1" x14ac:dyDescent="0.25">
      <c r="A33" t="s">
        <v>323</v>
      </c>
    </row>
    <row r="34" spans="1:1" x14ac:dyDescent="0.25">
      <c r="A34" t="s">
        <v>335</v>
      </c>
    </row>
    <row r="36" spans="1:1" x14ac:dyDescent="0.25">
      <c r="A36" t="s">
        <v>324</v>
      </c>
    </row>
    <row r="37" spans="1:1" x14ac:dyDescent="0.25">
      <c r="A37" t="s">
        <v>336</v>
      </c>
    </row>
    <row r="39" spans="1:1" x14ac:dyDescent="0.25">
      <c r="A39" t="s">
        <v>325</v>
      </c>
    </row>
    <row r="40" spans="1:1" x14ac:dyDescent="0.25">
      <c r="A40" t="s">
        <v>337</v>
      </c>
    </row>
    <row r="42" spans="1:1" x14ac:dyDescent="0.25">
      <c r="A42" t="s">
        <v>326</v>
      </c>
    </row>
    <row r="43" spans="1:1" x14ac:dyDescent="0.25">
      <c r="A43" t="s">
        <v>338</v>
      </c>
    </row>
    <row r="45" spans="1:1" x14ac:dyDescent="0.25">
      <c r="A45" t="s">
        <v>327</v>
      </c>
    </row>
    <row r="46" spans="1:1" x14ac:dyDescent="0.25">
      <c r="A46" t="s">
        <v>339</v>
      </c>
    </row>
    <row r="48" spans="1:1" x14ac:dyDescent="0.25">
      <c r="A48" t="s">
        <v>328</v>
      </c>
    </row>
    <row r="49" spans="1:1" x14ac:dyDescent="0.25">
      <c r="A49" t="s">
        <v>340</v>
      </c>
    </row>
    <row r="51" spans="1:1" x14ac:dyDescent="0.25">
      <c r="A51" t="s">
        <v>329</v>
      </c>
    </row>
    <row r="52" spans="1:1" x14ac:dyDescent="0.25">
      <c r="A52" t="s">
        <v>341</v>
      </c>
    </row>
    <row r="54" spans="1:1" x14ac:dyDescent="0.25">
      <c r="A54" t="s">
        <v>330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E659B-560B-4668-A4D5-7A1577108FFE}">
  <sheetPr codeName="Sheet23">
    <tabColor theme="6"/>
  </sheetPr>
  <dimension ref="A1:V54"/>
  <sheetViews>
    <sheetView workbookViewId="0">
      <selection activeCell="L4" sqref="L4"/>
    </sheetView>
  </sheetViews>
  <sheetFormatPr defaultRowHeight="15" x14ac:dyDescent="0.25"/>
  <sheetData>
    <row r="1" spans="1:22" x14ac:dyDescent="0.25">
      <c r="A1" s="3" t="s">
        <v>19</v>
      </c>
      <c r="B1" s="6" t="s">
        <v>41</v>
      </c>
      <c r="K1">
        <f ca="1">RANDBETWEEN(K$4-5,K$4+5)</f>
        <v>79</v>
      </c>
      <c r="L1">
        <f ca="1">RANDBETWEEN(L$4-5,L$4+5)</f>
        <v>81</v>
      </c>
    </row>
    <row r="2" spans="1:22" x14ac:dyDescent="0.25">
      <c r="A2" s="3" t="s">
        <v>20</v>
      </c>
      <c r="B2" s="6" t="s">
        <v>365</v>
      </c>
    </row>
    <row r="3" spans="1:22" x14ac:dyDescent="0.25">
      <c r="A3" s="3" t="s">
        <v>138</v>
      </c>
      <c r="B3" s="6" t="str">
        <f>VLOOKUP(B1,STATS!L1:AA21,16,FALSE)</f>
        <v>Pakistan</v>
      </c>
    </row>
    <row r="4" spans="1:22" x14ac:dyDescent="0.25">
      <c r="A4" s="3" t="s">
        <v>22</v>
      </c>
      <c r="B4" s="1">
        <f>((B20+C20)/2)*((D20+50)/100)</f>
        <v>47.479502840909085</v>
      </c>
      <c r="F4">
        <f>VLOOKUP($B$1,STATS!$L$1:$Q$21,3,FALSE)</f>
        <v>15</v>
      </c>
      <c r="G4">
        <f>VLOOKUP($B$1,STATS!$L$1:$Q$21,4,FALSE)</f>
        <v>20</v>
      </c>
      <c r="H4">
        <f>VLOOKUP($B$1,STATS!$L$1:$Q$21,5,FALSE)</f>
        <v>85</v>
      </c>
      <c r="I4">
        <f>VLOOKUP($B$1,STATS!$L$1:$Q$21,6,FALSE)</f>
        <v>30</v>
      </c>
      <c r="J4">
        <f>AVERAGE(F4:I4)</f>
        <v>37.5</v>
      </c>
      <c r="K4">
        <v>75</v>
      </c>
      <c r="L4">
        <v>80</v>
      </c>
    </row>
    <row r="5" spans="1:22" x14ac:dyDescent="0.25">
      <c r="F5" s="12">
        <f t="shared" ref="F5:H5" si="0">AVERAGE(F7:F17)</f>
        <v>19.818181818181817</v>
      </c>
      <c r="G5" s="12">
        <f t="shared" si="0"/>
        <v>23.727272727272727</v>
      </c>
      <c r="H5" s="12">
        <f t="shared" si="0"/>
        <v>84.181818181818187</v>
      </c>
      <c r="I5" s="12">
        <f>AVERAGE(I7:I17)</f>
        <v>28.272727272727273</v>
      </c>
      <c r="J5" s="12">
        <f>AVERAGE(J7:J17)</f>
        <v>39</v>
      </c>
      <c r="K5" s="12">
        <f t="shared" ref="K5:M5" si="1">AVERAGE(K7:K17)</f>
        <v>73.818181818181813</v>
      </c>
      <c r="L5" s="12">
        <f t="shared" si="1"/>
        <v>79.36363636363636</v>
      </c>
      <c r="M5" s="12">
        <f t="shared" si="1"/>
        <v>19.862272727272728</v>
      </c>
      <c r="N5" s="12">
        <f>AVERAGE(N7:N17)</f>
        <v>31.148409090909094</v>
      </c>
      <c r="O5" s="12">
        <f>AVERAGE(O7:O17)</f>
        <v>38.647727272727273</v>
      </c>
    </row>
    <row r="6" spans="1:22" x14ac:dyDescent="0.25">
      <c r="A6" s="3" t="s">
        <v>7</v>
      </c>
      <c r="B6" s="3" t="s">
        <v>8</v>
      </c>
      <c r="C6" s="3" t="s">
        <v>9</v>
      </c>
      <c r="D6" s="3" t="s">
        <v>44</v>
      </c>
      <c r="E6" s="3" t="s">
        <v>50</v>
      </c>
      <c r="F6" s="3" t="s">
        <v>17</v>
      </c>
      <c r="G6" s="3" t="s">
        <v>14</v>
      </c>
      <c r="H6" s="3" t="s">
        <v>15</v>
      </c>
      <c r="I6" s="3" t="s">
        <v>16</v>
      </c>
      <c r="J6" s="3" t="s">
        <v>48</v>
      </c>
      <c r="K6" s="3" t="s">
        <v>3</v>
      </c>
      <c r="L6" s="3" t="s">
        <v>10</v>
      </c>
      <c r="M6" s="3" t="s">
        <v>1</v>
      </c>
      <c r="N6" s="3" t="s">
        <v>12</v>
      </c>
      <c r="O6" s="3" t="s">
        <v>4</v>
      </c>
      <c r="P6" s="3" t="s">
        <v>49</v>
      </c>
      <c r="Q6" s="3" t="s">
        <v>47</v>
      </c>
      <c r="R6" s="3" t="s">
        <v>138</v>
      </c>
      <c r="S6" s="3" t="s">
        <v>1354</v>
      </c>
      <c r="T6" s="3" t="s">
        <v>1355</v>
      </c>
      <c r="U6" s="3" t="s">
        <v>1356</v>
      </c>
      <c r="V6" s="3" t="s">
        <v>13</v>
      </c>
    </row>
    <row r="7" spans="1:22" x14ac:dyDescent="0.25">
      <c r="A7" s="8" t="str">
        <f>'All Players'!C202</f>
        <v>GK</v>
      </c>
      <c r="B7" s="8" t="str">
        <f>'All Players'!D202</f>
        <v>Aamir</v>
      </c>
      <c r="C7" s="8" t="str">
        <f>'All Players'!E202</f>
        <v>Ali</v>
      </c>
      <c r="D7" s="8" t="str">
        <f>'All Players'!F202</f>
        <v>A. Ali</v>
      </c>
      <c r="E7" s="8" t="str">
        <f>'All Players'!G202</f>
        <v>Anmol</v>
      </c>
      <c r="F7" s="8">
        <f>'All Players'!H202</f>
        <v>26</v>
      </c>
      <c r="G7" s="8">
        <f>'All Players'!I202</f>
        <v>38</v>
      </c>
      <c r="H7" s="8">
        <f>'All Players'!J202</f>
        <v>67</v>
      </c>
      <c r="I7" s="8">
        <f>'All Players'!K202</f>
        <v>37</v>
      </c>
      <c r="J7" s="5">
        <f t="shared" ref="J7:J17" si="2">AVERAGE(F7:I7)</f>
        <v>42</v>
      </c>
      <c r="K7" s="8">
        <f>'All Players'!M202</f>
        <v>71</v>
      </c>
      <c r="L7" s="8">
        <f>'All Players'!N202</f>
        <v>85</v>
      </c>
      <c r="M7" s="4">
        <f>AVERAGE(F7:I7)*0</f>
        <v>0</v>
      </c>
      <c r="N7" s="5">
        <f>O7</f>
        <v>35.949999999999996</v>
      </c>
      <c r="O7" s="11">
        <f>F7*Formuals!B2+G7*Formuals!C2+H7*Formuals!D2+I7*Formuals!E2</f>
        <v>35.949999999999996</v>
      </c>
      <c r="P7" s="10">
        <f>((M7/SUM($M$7:$M$17)))</f>
        <v>0</v>
      </c>
      <c r="Q7" s="10">
        <f t="shared" ref="Q7:Q17" si="3">((M7/100)*(L7/100))*3</f>
        <v>0</v>
      </c>
      <c r="R7" s="8" t="str">
        <f>'All Players'!T202</f>
        <v>Pakistan</v>
      </c>
      <c r="S7" s="8">
        <f>'All Players'!U202</f>
        <v>18</v>
      </c>
      <c r="T7" s="8">
        <f>'All Players'!V202</f>
        <v>45</v>
      </c>
      <c r="U7" s="49">
        <f t="shared" ref="U7:U17" si="4">IF((O7*0.5)+((T7*0.5)-((S7-18)*0.1))-40&lt;0,"0",(O7*0.5)+((T7*0.5)-((S7-18)*0.1))-40)</f>
        <v>0.47499999999999432</v>
      </c>
      <c r="V7" s="6" t="str">
        <f>A24</f>
        <v>Known for his invaluable ('anmol') saves and solid presence in goal.</v>
      </c>
    </row>
    <row r="8" spans="1:22" x14ac:dyDescent="0.25">
      <c r="A8" s="8" t="str">
        <f>'All Players'!C203</f>
        <v>LB</v>
      </c>
      <c r="B8" s="8" t="str">
        <f>'All Players'!D203</f>
        <v>Bilal</v>
      </c>
      <c r="C8" s="8" t="str">
        <f>'All Players'!E203</f>
        <v>Bashir</v>
      </c>
      <c r="D8" s="8" t="str">
        <f>'All Players'!F203</f>
        <v>B. Bashir</v>
      </c>
      <c r="E8" s="8" t="str">
        <f>'All Players'!G203</f>
        <v>Barq</v>
      </c>
      <c r="F8" s="8">
        <f>'All Players'!H203</f>
        <v>24</v>
      </c>
      <c r="G8" s="8">
        <f>'All Players'!I203</f>
        <v>35</v>
      </c>
      <c r="H8" s="8">
        <f>'All Players'!J203</f>
        <v>81</v>
      </c>
      <c r="I8" s="8">
        <f>'All Players'!K203</f>
        <v>45</v>
      </c>
      <c r="J8" s="5">
        <f t="shared" si="2"/>
        <v>46.25</v>
      </c>
      <c r="K8" s="8">
        <f>'All Players'!M203</f>
        <v>70</v>
      </c>
      <c r="L8" s="8">
        <f>'All Players'!N203</f>
        <v>77</v>
      </c>
      <c r="M8" s="5">
        <f>0.4*O8</f>
        <v>20.98</v>
      </c>
      <c r="N8" s="5">
        <f>0.9*O8</f>
        <v>47.204999999999998</v>
      </c>
      <c r="O8" s="11">
        <f>F8*Formuals!B3+G8*Formuals!C3+H8*Formuals!D3+I8*Formuals!E3</f>
        <v>52.449999999999996</v>
      </c>
      <c r="P8" s="10">
        <f t="shared" ref="P8:P10" si="5">((M8/SUM($M$7:$M$17)))*0.67</f>
        <v>6.4336682152092817E-2</v>
      </c>
      <c r="Q8" s="10">
        <f t="shared" si="3"/>
        <v>0.48463800000000007</v>
      </c>
      <c r="R8" s="8" t="str">
        <f>'All Players'!T203</f>
        <v>Pakistan</v>
      </c>
      <c r="S8" s="8">
        <f>'All Players'!U203</f>
        <v>24</v>
      </c>
      <c r="T8" s="8">
        <f>'All Players'!V203</f>
        <v>54</v>
      </c>
      <c r="U8" s="49">
        <f t="shared" si="4"/>
        <v>12.625</v>
      </c>
      <c r="V8" s="6" t="str">
        <f>A27</f>
        <v>His lightning ('barq') quick pace and sharp tackles make him a formidable defender.</v>
      </c>
    </row>
    <row r="9" spans="1:22" x14ac:dyDescent="0.25">
      <c r="A9" s="8" t="str">
        <f>'All Players'!C204</f>
        <v>CB</v>
      </c>
      <c r="B9" s="8" t="str">
        <f>'All Players'!D204</f>
        <v>Fahad</v>
      </c>
      <c r="C9" s="8" t="str">
        <f>'All Players'!E204</f>
        <v>Farooq</v>
      </c>
      <c r="D9" s="8" t="str">
        <f>'All Players'!F204</f>
        <v>F. Farooq</v>
      </c>
      <c r="E9" s="8" t="str">
        <f>'All Players'!G204</f>
        <v>Faulad</v>
      </c>
      <c r="F9" s="8">
        <f>'All Players'!H204</f>
        <v>24</v>
      </c>
      <c r="G9" s="8">
        <f>'All Players'!I204</f>
        <v>15</v>
      </c>
      <c r="H9" s="8">
        <f>'All Players'!J204</f>
        <v>86</v>
      </c>
      <c r="I9" s="8">
        <f>'All Players'!K204</f>
        <v>29</v>
      </c>
      <c r="J9" s="5">
        <f t="shared" si="2"/>
        <v>38.5</v>
      </c>
      <c r="K9" s="8">
        <f>'All Players'!M204</f>
        <v>71</v>
      </c>
      <c r="L9" s="8">
        <f>'All Players'!N204</f>
        <v>75</v>
      </c>
      <c r="M9" s="5">
        <f>O9*0.3</f>
        <v>17.715</v>
      </c>
      <c r="N9" s="5">
        <f>O9</f>
        <v>59.05</v>
      </c>
      <c r="O9" s="11">
        <f>F9*Formuals!B4+G9*Formuals!C4+H9*Formuals!D4+I9*Formuals!E4</f>
        <v>59.05</v>
      </c>
      <c r="P9" s="10">
        <f t="shared" si="5"/>
        <v>5.4324324324324325E-2</v>
      </c>
      <c r="Q9" s="10">
        <f t="shared" si="3"/>
        <v>0.39858749999999998</v>
      </c>
      <c r="R9" s="8" t="str">
        <f>'All Players'!T204</f>
        <v>Pakistan</v>
      </c>
      <c r="S9" s="8">
        <f>'All Players'!U204</f>
        <v>27</v>
      </c>
      <c r="T9" s="8">
        <f>'All Players'!V204</f>
        <v>62</v>
      </c>
      <c r="U9" s="49">
        <f t="shared" si="4"/>
        <v>19.625</v>
      </c>
      <c r="V9" s="6" t="str">
        <f>A30</f>
        <v>Strong as steel ('faulad'), he is the unbreakable backbone of the team's defense.</v>
      </c>
    </row>
    <row r="10" spans="1:22" x14ac:dyDescent="0.25">
      <c r="A10" s="8" t="str">
        <f>'All Players'!C205</f>
        <v>CB</v>
      </c>
      <c r="B10" s="8" t="str">
        <f>'All Players'!D205</f>
        <v>Imran</v>
      </c>
      <c r="C10" s="8" t="str">
        <f>'All Players'!E205</f>
        <v>Iqbal</v>
      </c>
      <c r="D10" s="8" t="str">
        <f>'All Players'!F205</f>
        <v>I. Iqbal</v>
      </c>
      <c r="E10" s="8" t="str">
        <f>'All Players'!G205</f>
        <v>Ijaz</v>
      </c>
      <c r="F10" s="8">
        <f>'All Players'!H205</f>
        <v>0</v>
      </c>
      <c r="G10" s="8">
        <f>'All Players'!I205</f>
        <v>14</v>
      </c>
      <c r="H10" s="8">
        <f>'All Players'!J205</f>
        <v>91</v>
      </c>
      <c r="I10" s="8">
        <f>'All Players'!K205</f>
        <v>34</v>
      </c>
      <c r="J10" s="5">
        <f t="shared" si="2"/>
        <v>34.75</v>
      </c>
      <c r="K10" s="8">
        <f>'All Players'!M205</f>
        <v>70</v>
      </c>
      <c r="L10" s="8">
        <f>'All Players'!N205</f>
        <v>83</v>
      </c>
      <c r="M10" s="5">
        <f>O10*0.3</f>
        <v>17.857499999999998</v>
      </c>
      <c r="N10" s="5">
        <f>O10</f>
        <v>59.524999999999999</v>
      </c>
      <c r="O10" s="11">
        <f>F10*Formuals!B5+G10*Formuals!C5+H10*Formuals!D5+I10*Formuals!E5</f>
        <v>59.524999999999999</v>
      </c>
      <c r="P10" s="10">
        <f t="shared" si="5"/>
        <v>5.4761310845138106E-2</v>
      </c>
      <c r="Q10" s="10">
        <f t="shared" si="3"/>
        <v>0.4446517499999999</v>
      </c>
      <c r="R10" s="8" t="str">
        <f>'All Players'!T205</f>
        <v>Pakistan</v>
      </c>
      <c r="S10" s="8">
        <f>'All Players'!U205</f>
        <v>18</v>
      </c>
      <c r="T10" s="8">
        <f>'All Players'!V205</f>
        <v>88</v>
      </c>
      <c r="U10" s="49">
        <f t="shared" si="4"/>
        <v>33.762500000000003</v>
      </c>
      <c r="V10" s="6" t="str">
        <f>A33</f>
        <v>His game is marked by excellence ('ijaz') in aerial duels and interceptions.</v>
      </c>
    </row>
    <row r="11" spans="1:22" x14ac:dyDescent="0.25">
      <c r="A11" s="8" t="str">
        <f>'All Players'!C206</f>
        <v>RB</v>
      </c>
      <c r="B11" s="8" t="str">
        <f>'All Players'!D206</f>
        <v>Khalid</v>
      </c>
      <c r="C11" s="8" t="str">
        <f>'All Players'!E206</f>
        <v>Khan</v>
      </c>
      <c r="D11" s="8" t="str">
        <f>'All Players'!F206</f>
        <v>K. Khan</v>
      </c>
      <c r="E11" s="8" t="str">
        <f>'All Players'!G206</f>
        <v>Kamiyab</v>
      </c>
      <c r="F11" s="8">
        <f>'All Players'!H206</f>
        <v>22</v>
      </c>
      <c r="G11" s="8">
        <f>'All Players'!I206</f>
        <v>41</v>
      </c>
      <c r="H11" s="8">
        <f>'All Players'!J206</f>
        <v>82</v>
      </c>
      <c r="I11" s="8">
        <f>'All Players'!K206</f>
        <v>23</v>
      </c>
      <c r="J11" s="5">
        <f t="shared" si="2"/>
        <v>42</v>
      </c>
      <c r="K11" s="8">
        <f>'All Players'!M206</f>
        <v>79</v>
      </c>
      <c r="L11" s="8">
        <f>'All Players'!N206</f>
        <v>75</v>
      </c>
      <c r="M11" s="5">
        <f>0.4*O11</f>
        <v>18.84</v>
      </c>
      <c r="N11" s="5">
        <f>0.9*O11</f>
        <v>42.39</v>
      </c>
      <c r="O11" s="11">
        <f>F11*Formuals!B6+G11*Formuals!C6+H11*Formuals!D6+I11*Formuals!E6</f>
        <v>47.1</v>
      </c>
      <c r="P11" s="10">
        <f>((M11/SUM($M$7:$M$17)))*0.67</f>
        <v>5.7774217909696314E-2</v>
      </c>
      <c r="Q11" s="10">
        <f t="shared" si="3"/>
        <v>0.42390000000000005</v>
      </c>
      <c r="R11" s="8" t="str">
        <f>'All Players'!T206</f>
        <v>Pakistan</v>
      </c>
      <c r="S11" s="8">
        <f>'All Players'!U206</f>
        <v>18</v>
      </c>
      <c r="T11" s="8">
        <f>'All Players'!V206</f>
        <v>54</v>
      </c>
      <c r="U11" s="49">
        <f t="shared" si="4"/>
        <v>10.549999999999997</v>
      </c>
      <c r="V11" s="6" t="str">
        <f>A36</f>
        <v>His successful ('kamiyab') runs and crosses from the left make him a key offensive player.</v>
      </c>
    </row>
    <row r="12" spans="1:22" x14ac:dyDescent="0.25">
      <c r="A12" s="8" t="str">
        <f>'All Players'!C207</f>
        <v>CDM</v>
      </c>
      <c r="B12" s="8" t="str">
        <f>'All Players'!D207</f>
        <v>Nadeem</v>
      </c>
      <c r="C12" s="8" t="str">
        <f>'All Players'!E207</f>
        <v>Niazi</v>
      </c>
      <c r="D12" s="8" t="str">
        <f>'All Players'!F207</f>
        <v>N. Niazi</v>
      </c>
      <c r="E12" s="8" t="str">
        <f>'All Players'!G207</f>
        <v>Nayab</v>
      </c>
      <c r="F12" s="8">
        <f>'All Players'!H207</f>
        <v>28</v>
      </c>
      <c r="G12" s="8">
        <f>'All Players'!I207</f>
        <v>24</v>
      </c>
      <c r="H12" s="8">
        <f>'All Players'!J207</f>
        <v>76</v>
      </c>
      <c r="I12" s="8">
        <f>'All Players'!K207</f>
        <v>30</v>
      </c>
      <c r="J12" s="5">
        <f t="shared" si="2"/>
        <v>39.5</v>
      </c>
      <c r="K12" s="8">
        <f>'All Players'!M207</f>
        <v>79</v>
      </c>
      <c r="L12" s="8">
        <f>'All Players'!N207</f>
        <v>85</v>
      </c>
      <c r="M12" s="5">
        <f>O12*0.6</f>
        <v>27.779999999999998</v>
      </c>
      <c r="N12" s="5">
        <f>O12*0.9</f>
        <v>41.67</v>
      </c>
      <c r="O12" s="11">
        <f>F12*Formuals!B7+G12*Formuals!C7+H12*Formuals!D7+I12*Formuals!E7</f>
        <v>46.3</v>
      </c>
      <c r="P12" s="10">
        <f t="shared" ref="P12:P14" si="6">((M12/SUM($M$7:$M$17)))</f>
        <v>0.12714831681808819</v>
      </c>
      <c r="Q12" s="10">
        <f t="shared" si="3"/>
        <v>0.70838999999999996</v>
      </c>
      <c r="R12" s="8" t="str">
        <f>'All Players'!T207</f>
        <v>Pakistan</v>
      </c>
      <c r="S12" s="8">
        <f>'All Players'!U207</f>
        <v>32</v>
      </c>
      <c r="T12" s="8">
        <f>'All Players'!V207</f>
        <v>48</v>
      </c>
      <c r="U12" s="49">
        <f t="shared" si="4"/>
        <v>5.75</v>
      </c>
      <c r="V12" s="6" t="str">
        <f>A39</f>
        <v>Rare ('nayab') in his ability to read the game and intercept plays, he's a vital part of the midfield.</v>
      </c>
    </row>
    <row r="13" spans="1:22" x14ac:dyDescent="0.25">
      <c r="A13" s="8" t="str">
        <f>'All Players'!C208</f>
        <v>CM</v>
      </c>
      <c r="B13" s="8" t="str">
        <f>'All Players'!D208</f>
        <v>Omar</v>
      </c>
      <c r="C13" s="8" t="str">
        <f>'All Players'!E208</f>
        <v>Osman</v>
      </c>
      <c r="D13" s="8" t="str">
        <f>'All Players'!F208</f>
        <v>O. Osman</v>
      </c>
      <c r="E13" s="8" t="str">
        <f>'All Players'!G208</f>
        <v>Owais</v>
      </c>
      <c r="F13" s="8">
        <f>'All Players'!H208</f>
        <v>13</v>
      </c>
      <c r="G13" s="8">
        <f>'All Players'!I208</f>
        <v>22</v>
      </c>
      <c r="H13" s="8">
        <f>'All Players'!J208</f>
        <v>90</v>
      </c>
      <c r="I13" s="8">
        <f>'All Players'!K208</f>
        <v>20</v>
      </c>
      <c r="J13" s="5">
        <f t="shared" si="2"/>
        <v>36.25</v>
      </c>
      <c r="K13" s="8">
        <f>'All Players'!M208</f>
        <v>70</v>
      </c>
      <c r="L13" s="8">
        <f>'All Players'!N208</f>
        <v>75</v>
      </c>
      <c r="M13" s="5">
        <f>O13*0.75</f>
        <v>22.237499999999997</v>
      </c>
      <c r="N13" s="5">
        <f>O13*0.75</f>
        <v>22.237499999999997</v>
      </c>
      <c r="O13" s="11">
        <f>F13*Formuals!B8+G13*Formuals!C8+H13*Formuals!D8+I13*Formuals!E8</f>
        <v>29.65</v>
      </c>
      <c r="P13" s="10">
        <f t="shared" si="6"/>
        <v>0.10178044259331302</v>
      </c>
      <c r="Q13" s="10">
        <f t="shared" si="3"/>
        <v>0.50034374999999986</v>
      </c>
      <c r="R13" s="8" t="str">
        <f>'All Players'!T208</f>
        <v>Pakistan</v>
      </c>
      <c r="S13" s="8">
        <f>'All Players'!U208</f>
        <v>29</v>
      </c>
      <c r="T13" s="8">
        <f>'All Players'!V208</f>
        <v>33</v>
      </c>
      <c r="U13" s="49" t="str">
        <f t="shared" si="4"/>
        <v>0</v>
      </c>
      <c r="V13" s="6" t="str">
        <f>A42</f>
        <v>Skilled like the legendary Owais of Arabia, his play is both creative and strategic.</v>
      </c>
    </row>
    <row r="14" spans="1:22" x14ac:dyDescent="0.25">
      <c r="A14" s="8" t="str">
        <f>'All Players'!C209</f>
        <v>CAM</v>
      </c>
      <c r="B14" s="8" t="str">
        <f>'All Players'!D209</f>
        <v>Rashid</v>
      </c>
      <c r="C14" s="8" t="str">
        <f>'All Players'!E209</f>
        <v>Rahman</v>
      </c>
      <c r="D14" s="8" t="str">
        <f>'All Players'!F209</f>
        <v>R. Rahman</v>
      </c>
      <c r="E14" s="8" t="str">
        <f>'All Players'!G209</f>
        <v>Raees</v>
      </c>
      <c r="F14" s="8">
        <f>'All Players'!H209</f>
        <v>21</v>
      </c>
      <c r="G14" s="8">
        <f>'All Players'!I209</f>
        <v>5</v>
      </c>
      <c r="H14" s="8">
        <f>'All Players'!J209</f>
        <v>78</v>
      </c>
      <c r="I14" s="8">
        <f>'All Players'!K209</f>
        <v>35</v>
      </c>
      <c r="J14" s="5">
        <f t="shared" si="2"/>
        <v>34.75</v>
      </c>
      <c r="K14" s="8">
        <f>'All Players'!M209</f>
        <v>74</v>
      </c>
      <c r="L14" s="8">
        <f>'All Players'!N209</f>
        <v>76</v>
      </c>
      <c r="M14" s="5">
        <f>O14*0.9</f>
        <v>18.225000000000001</v>
      </c>
      <c r="N14" s="5">
        <f>O14*0.6</f>
        <v>12.15</v>
      </c>
      <c r="O14" s="11">
        <f>F14*Formuals!B9+G14*Formuals!C9+H14*Formuals!D9+I14*Formuals!E9</f>
        <v>20.25</v>
      </c>
      <c r="P14" s="10">
        <f t="shared" si="6"/>
        <v>8.3415337437352674E-2</v>
      </c>
      <c r="Q14" s="10">
        <f t="shared" si="3"/>
        <v>0.41553000000000007</v>
      </c>
      <c r="R14" s="8" t="str">
        <f>'All Players'!T209</f>
        <v>Pakistan</v>
      </c>
      <c r="S14" s="8">
        <f>'All Players'!U209</f>
        <v>35</v>
      </c>
      <c r="T14" s="8">
        <f>'All Players'!V209</f>
        <v>21</v>
      </c>
      <c r="U14" s="49" t="str">
        <f t="shared" si="4"/>
        <v>0</v>
      </c>
      <c r="V14" s="6" t="str">
        <f>A45</f>
        <v>Noble ('raees') in his playmaking ability, orchestrating the team's offensive maneuvers.</v>
      </c>
    </row>
    <row r="15" spans="1:22" x14ac:dyDescent="0.25">
      <c r="A15" s="8" t="str">
        <f>'All Players'!C210</f>
        <v>LW</v>
      </c>
      <c r="B15" s="8" t="str">
        <f>'All Players'!D210</f>
        <v>Saqib</v>
      </c>
      <c r="C15" s="8" t="str">
        <f>'All Players'!E210</f>
        <v>Saleem</v>
      </c>
      <c r="D15" s="8" t="str">
        <f>'All Players'!F210</f>
        <v>S. Saleem</v>
      </c>
      <c r="E15" s="8" t="str">
        <f>'All Players'!G210</f>
        <v>Saqi</v>
      </c>
      <c r="F15" s="8">
        <f>'All Players'!H210</f>
        <v>30</v>
      </c>
      <c r="G15" s="8">
        <f>'All Players'!I210</f>
        <v>18</v>
      </c>
      <c r="H15" s="8">
        <f>'All Players'!J210</f>
        <v>89</v>
      </c>
      <c r="I15" s="8">
        <f>'All Players'!K210</f>
        <v>12</v>
      </c>
      <c r="J15" s="5">
        <f t="shared" si="2"/>
        <v>37.25</v>
      </c>
      <c r="K15" s="8">
        <f>'All Players'!M210</f>
        <v>74</v>
      </c>
      <c r="L15" s="8">
        <f>'All Players'!N210</f>
        <v>79</v>
      </c>
      <c r="M15" s="5">
        <f>O15</f>
        <v>23.049999999999997</v>
      </c>
      <c r="N15" s="5">
        <f>O15*0.3</f>
        <v>6.9149999999999991</v>
      </c>
      <c r="O15" s="11">
        <f>F15*Formuals!B10+G15*Formuals!C10+H15*Formuals!D10+I15*Formuals!E10</f>
        <v>23.049999999999997</v>
      </c>
      <c r="P15" s="10">
        <f>((M15/SUM($M$7:$M$17)))*1.33</f>
        <v>0.14031398036478476</v>
      </c>
      <c r="Q15" s="10">
        <f t="shared" si="3"/>
        <v>0.54628500000000002</v>
      </c>
      <c r="R15" s="8" t="str">
        <f>'All Players'!T210</f>
        <v>Pakistan</v>
      </c>
      <c r="S15" s="8">
        <f>'All Players'!U210</f>
        <v>31</v>
      </c>
      <c r="T15" s="8">
        <f>'All Players'!V210</f>
        <v>29</v>
      </c>
      <c r="U15" s="49" t="str">
        <f t="shared" si="4"/>
        <v>0</v>
      </c>
      <c r="V15" s="6" t="str">
        <f>A48</f>
        <v>His fluid dribbling and pace are like that of a 'saqi' (cupbearer), serving up opportunities for the team.</v>
      </c>
    </row>
    <row r="16" spans="1:22" x14ac:dyDescent="0.25">
      <c r="A16" s="8" t="str">
        <f>'All Players'!C211</f>
        <v>ST</v>
      </c>
      <c r="B16" s="8" t="str">
        <f>'All Players'!D211</f>
        <v>Tariq</v>
      </c>
      <c r="C16" s="8" t="str">
        <f>'All Players'!E211</f>
        <v>Talib</v>
      </c>
      <c r="D16" s="8" t="str">
        <f>'All Players'!F211</f>
        <v>T. Talib</v>
      </c>
      <c r="E16" s="8" t="str">
        <f>'All Players'!G211</f>
        <v>Taqat</v>
      </c>
      <c r="F16" s="8">
        <f>'All Players'!H211</f>
        <v>12</v>
      </c>
      <c r="G16" s="8">
        <f>'All Players'!I211</f>
        <v>31</v>
      </c>
      <c r="H16" s="8">
        <f>'All Players'!J211</f>
        <v>89</v>
      </c>
      <c r="I16" s="8">
        <f>'All Players'!K211</f>
        <v>24</v>
      </c>
      <c r="J16" s="5">
        <f t="shared" si="2"/>
        <v>39</v>
      </c>
      <c r="K16" s="8">
        <f>'All Players'!M211</f>
        <v>76</v>
      </c>
      <c r="L16" s="8">
        <f>'All Players'!N211</f>
        <v>79</v>
      </c>
      <c r="M16" s="5">
        <f>O16</f>
        <v>28.05</v>
      </c>
      <c r="N16" s="5">
        <f t="shared" ref="N16:N17" si="7">O16*0.3</f>
        <v>8.4149999999999991</v>
      </c>
      <c r="O16" s="11">
        <f>F16*Formuals!B11+G16*Formuals!C11+H16*Formuals!D11+I16*Formuals!E11</f>
        <v>28.05</v>
      </c>
      <c r="P16" s="10">
        <f t="shared" ref="P16:P17" si="8">((M16/SUM($M$7:$M$17)))*1.33</f>
        <v>0.17075085246126734</v>
      </c>
      <c r="Q16" s="10">
        <f t="shared" si="3"/>
        <v>0.66478500000000018</v>
      </c>
      <c r="R16" s="8" t="str">
        <f>'All Players'!T211</f>
        <v>Pakistan</v>
      </c>
      <c r="S16" s="8">
        <f>'All Players'!U211</f>
        <v>19</v>
      </c>
      <c r="T16" s="8">
        <f>'All Players'!V211</f>
        <v>41</v>
      </c>
      <c r="U16" s="49" t="str">
        <f t="shared" si="4"/>
        <v>0</v>
      </c>
      <c r="V16" s="6" t="str">
        <f>A51</f>
        <v>Strong ('taqat') and determined, his runs down the wing are vital for creating scoring chances.</v>
      </c>
    </row>
    <row r="17" spans="1:22" x14ac:dyDescent="0.25">
      <c r="A17" s="8" t="str">
        <f>'All Players'!C212</f>
        <v>RW</v>
      </c>
      <c r="B17" s="8" t="str">
        <f>'All Players'!D212</f>
        <v>Zubair</v>
      </c>
      <c r="C17" s="8" t="str">
        <f>'All Players'!E212</f>
        <v>Zafar</v>
      </c>
      <c r="D17" s="8" t="str">
        <f>'All Players'!F212</f>
        <v>Z. Zafar</v>
      </c>
      <c r="E17" s="8" t="str">
        <f>'All Players'!G212</f>
        <v>Zarif</v>
      </c>
      <c r="F17" s="8">
        <f>'All Players'!H212</f>
        <v>18</v>
      </c>
      <c r="G17" s="8">
        <f>'All Players'!I212</f>
        <v>18</v>
      </c>
      <c r="H17" s="8">
        <f>'All Players'!J212</f>
        <v>97</v>
      </c>
      <c r="I17" s="8">
        <f>'All Players'!K212</f>
        <v>22</v>
      </c>
      <c r="J17" s="5">
        <f t="shared" si="2"/>
        <v>38.75</v>
      </c>
      <c r="K17" s="8">
        <f>'All Players'!M212</f>
        <v>78</v>
      </c>
      <c r="L17" s="8">
        <f>'All Players'!N212</f>
        <v>84</v>
      </c>
      <c r="M17" s="5">
        <f>O17</f>
        <v>23.75</v>
      </c>
      <c r="N17" s="5">
        <f t="shared" si="7"/>
        <v>7.125</v>
      </c>
      <c r="O17" s="11">
        <f>F17*Formuals!B12+G17*Formuals!C12+H17*Formuals!D12+I17*Formuals!E12</f>
        <v>23.75</v>
      </c>
      <c r="P17" s="10">
        <f t="shared" si="8"/>
        <v>0.14457514245829231</v>
      </c>
      <c r="Q17" s="10">
        <f t="shared" si="3"/>
        <v>0.59849999999999992</v>
      </c>
      <c r="R17" s="8" t="str">
        <f>'All Players'!T212</f>
        <v>Pakistan</v>
      </c>
      <c r="S17" s="8">
        <f>'All Players'!U212</f>
        <v>24</v>
      </c>
      <c r="T17" s="8">
        <f>'All Players'!V212</f>
        <v>26</v>
      </c>
      <c r="U17" s="49" t="str">
        <f t="shared" si="4"/>
        <v>0</v>
      </c>
      <c r="V17" s="6" t="str">
        <f>A54</f>
        <v>Elegant ('zarif') in his technique and finishing, he's a constant threat in front of goal.</v>
      </c>
    </row>
    <row r="18" spans="1:22" x14ac:dyDescent="0.25">
      <c r="F18" s="18">
        <f t="shared" ref="F18:G18" si="9">LARGE(F7:F17,1) - SMALL(F7:F17,1)</f>
        <v>30</v>
      </c>
      <c r="G18" s="18">
        <f t="shared" si="9"/>
        <v>36</v>
      </c>
      <c r="H18" s="18">
        <f>LARGE(H7:H17,1) - SMALL(H7:H17,1)</f>
        <v>30</v>
      </c>
      <c r="I18" s="18">
        <f>LARGE(I7:I17,1) - SMALL(I7:I17,1)</f>
        <v>33</v>
      </c>
      <c r="J18" s="19">
        <f t="shared" ref="J18:L18" si="10">LARGE(J7:J17,1) - SMALL(J7:J17,1)</f>
        <v>11.5</v>
      </c>
      <c r="K18" s="18">
        <f t="shared" si="10"/>
        <v>9</v>
      </c>
      <c r="L18" s="18">
        <f t="shared" si="10"/>
        <v>10</v>
      </c>
      <c r="O18" s="19">
        <f t="shared" ref="O18" si="11">LARGE(O7:O17,1) - SMALL(O7:O17,1)</f>
        <v>39.274999999999999</v>
      </c>
      <c r="P18" s="48">
        <f>SUM(P7:P17)</f>
        <v>0.99918060736434977</v>
      </c>
      <c r="S18">
        <f>AVERAGE(S7:S17)</f>
        <v>25</v>
      </c>
      <c r="T18">
        <f>AVERAGE(T7:T17)</f>
        <v>45.545454545454547</v>
      </c>
      <c r="U18" s="50">
        <f>SUM(U7:U17)</f>
        <v>82.787499999999994</v>
      </c>
    </row>
    <row r="19" spans="1:22" x14ac:dyDescent="0.25">
      <c r="B19" s="3" t="s">
        <v>1</v>
      </c>
      <c r="C19" s="3" t="s">
        <v>2</v>
      </c>
      <c r="D19" s="3" t="s">
        <v>3</v>
      </c>
    </row>
    <row r="20" spans="1:22" x14ac:dyDescent="0.25">
      <c r="A20" s="3" t="s">
        <v>4</v>
      </c>
      <c r="B20" s="2">
        <f>AVERAGE(O7:O12)*0.1+AVERAGE(O13:O17)*0.9</f>
        <v>27.46125</v>
      </c>
      <c r="C20" s="2">
        <f>AVERAGE(O7:O12)*0.9+AVERAGE(O13:O17)*0.1</f>
        <v>47.551249999999996</v>
      </c>
      <c r="D20" s="2">
        <f>AVERAGE(K7:K17)*0.5+AVERAGE(L7:L17)*0.5</f>
        <v>76.590909090909093</v>
      </c>
    </row>
    <row r="22" spans="1:22" x14ac:dyDescent="0.25">
      <c r="A22" t="s">
        <v>354</v>
      </c>
    </row>
    <row r="24" spans="1:22" x14ac:dyDescent="0.25">
      <c r="A24" t="s">
        <v>343</v>
      </c>
    </row>
    <row r="25" spans="1:22" x14ac:dyDescent="0.25">
      <c r="A25" t="s">
        <v>355</v>
      </c>
    </row>
    <row r="27" spans="1:22" x14ac:dyDescent="0.25">
      <c r="A27" t="s">
        <v>344</v>
      </c>
    </row>
    <row r="28" spans="1:22" x14ac:dyDescent="0.25">
      <c r="A28" t="s">
        <v>356</v>
      </c>
    </row>
    <row r="30" spans="1:22" x14ac:dyDescent="0.25">
      <c r="A30" t="s">
        <v>345</v>
      </c>
    </row>
    <row r="31" spans="1:22" x14ac:dyDescent="0.25">
      <c r="A31" t="s">
        <v>357</v>
      </c>
    </row>
    <row r="33" spans="1:1" x14ac:dyDescent="0.25">
      <c r="A33" t="s">
        <v>346</v>
      </c>
    </row>
    <row r="34" spans="1:1" x14ac:dyDescent="0.25">
      <c r="A34" t="s">
        <v>358</v>
      </c>
    </row>
    <row r="36" spans="1:1" x14ac:dyDescent="0.25">
      <c r="A36" t="s">
        <v>347</v>
      </c>
    </row>
    <row r="37" spans="1:1" x14ac:dyDescent="0.25">
      <c r="A37" t="s">
        <v>359</v>
      </c>
    </row>
    <row r="39" spans="1:1" x14ac:dyDescent="0.25">
      <c r="A39" t="s">
        <v>348</v>
      </c>
    </row>
    <row r="40" spans="1:1" x14ac:dyDescent="0.25">
      <c r="A40" t="s">
        <v>360</v>
      </c>
    </row>
    <row r="42" spans="1:1" x14ac:dyDescent="0.25">
      <c r="A42" t="s">
        <v>349</v>
      </c>
    </row>
    <row r="43" spans="1:1" x14ac:dyDescent="0.25">
      <c r="A43" t="s">
        <v>361</v>
      </c>
    </row>
    <row r="45" spans="1:1" x14ac:dyDescent="0.25">
      <c r="A45" t="s">
        <v>350</v>
      </c>
    </row>
    <row r="46" spans="1:1" x14ac:dyDescent="0.25">
      <c r="A46" t="s">
        <v>362</v>
      </c>
    </row>
    <row r="48" spans="1:1" x14ac:dyDescent="0.25">
      <c r="A48" t="s">
        <v>351</v>
      </c>
    </row>
    <row r="49" spans="1:1" x14ac:dyDescent="0.25">
      <c r="A49" t="s">
        <v>363</v>
      </c>
    </row>
    <row r="51" spans="1:1" x14ac:dyDescent="0.25">
      <c r="A51" t="s">
        <v>352</v>
      </c>
    </row>
    <row r="52" spans="1:1" x14ac:dyDescent="0.25">
      <c r="A52" t="s">
        <v>364</v>
      </c>
    </row>
    <row r="54" spans="1:1" x14ac:dyDescent="0.25">
      <c r="A54" t="s">
        <v>353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7B05-BBED-4941-87A1-FF8925389D62}">
  <sheetPr codeName="Sheet24">
    <tabColor theme="6"/>
  </sheetPr>
  <dimension ref="A1:V54"/>
  <sheetViews>
    <sheetView workbookViewId="0">
      <selection activeCell="L4" sqref="L4"/>
    </sheetView>
  </sheetViews>
  <sheetFormatPr defaultRowHeight="15" x14ac:dyDescent="0.25"/>
  <cols>
    <col min="2" max="2" width="10.5703125" bestFit="1" customWidth="1"/>
    <col min="3" max="3" width="11.7109375" bestFit="1" customWidth="1"/>
    <col min="4" max="4" width="14" bestFit="1" customWidth="1"/>
    <col min="5" max="5" width="9.28515625" bestFit="1" customWidth="1"/>
  </cols>
  <sheetData>
    <row r="1" spans="1:22" x14ac:dyDescent="0.25">
      <c r="A1" s="3" t="s">
        <v>19</v>
      </c>
      <c r="B1" s="6" t="s">
        <v>42</v>
      </c>
      <c r="K1">
        <f ca="1">RANDBETWEEN(K$4-5,K$4+5)</f>
        <v>13</v>
      </c>
      <c r="L1">
        <f ca="1">RANDBETWEEN(L$4-5,L$4+5)</f>
        <v>75</v>
      </c>
    </row>
    <row r="2" spans="1:22" x14ac:dyDescent="0.25">
      <c r="A2" s="3" t="s">
        <v>20</v>
      </c>
      <c r="B2" s="6" t="s">
        <v>366</v>
      </c>
    </row>
    <row r="3" spans="1:22" x14ac:dyDescent="0.25">
      <c r="A3" s="3" t="s">
        <v>138</v>
      </c>
      <c r="B3" s="6" t="str">
        <f>VLOOKUP(B1,STATS!L1:AA21,16,FALSE)</f>
        <v>Gabon</v>
      </c>
    </row>
    <row r="4" spans="1:22" x14ac:dyDescent="0.25">
      <c r="A4" s="3" t="s">
        <v>22</v>
      </c>
      <c r="B4" s="1">
        <f>((B20+C20)/2)*((D20+50)/100)</f>
        <v>64.923488636363643</v>
      </c>
      <c r="F4">
        <f>VLOOKUP($B$1,STATS!$L$1:$Q$21,3,FALSE)</f>
        <v>60</v>
      </c>
      <c r="G4">
        <f>VLOOKUP($B$1,STATS!$L$1:$Q$21,4,FALSE)</f>
        <v>90</v>
      </c>
      <c r="H4">
        <f>VLOOKUP($B$1,STATS!$L$1:$Q$21,5,FALSE)</f>
        <v>95</v>
      </c>
      <c r="I4">
        <f>VLOOKUP($B$1,STATS!$L$1:$Q$21,6,FALSE)</f>
        <v>40</v>
      </c>
      <c r="J4">
        <f>AVERAGE(F4:I4)</f>
        <v>71.25</v>
      </c>
      <c r="K4">
        <v>10</v>
      </c>
      <c r="L4">
        <v>75</v>
      </c>
    </row>
    <row r="5" spans="1:22" x14ac:dyDescent="0.25">
      <c r="F5" s="12">
        <f t="shared" ref="F5:H5" si="0">AVERAGE(F7:F17)</f>
        <v>58.454545454545453</v>
      </c>
      <c r="G5" s="12">
        <f t="shared" si="0"/>
        <v>93.181818181818187</v>
      </c>
      <c r="H5" s="12">
        <f t="shared" si="0"/>
        <v>95.818181818181813</v>
      </c>
      <c r="I5" s="12">
        <f>AVERAGE(I7:I17)</f>
        <v>36.81818181818182</v>
      </c>
      <c r="J5" s="12">
        <f>AVERAGE(J7:J17)</f>
        <v>71.068181818181813</v>
      </c>
      <c r="K5" s="12">
        <f t="shared" ref="K5:M5" si="1">AVERAGE(K7:K17)</f>
        <v>9.0909090909090917</v>
      </c>
      <c r="L5" s="12">
        <f t="shared" si="1"/>
        <v>74.545454545454547</v>
      </c>
      <c r="M5" s="12">
        <f t="shared" si="1"/>
        <v>41.438863636363642</v>
      </c>
      <c r="N5" s="12">
        <f>AVERAGE(N7:N17)</f>
        <v>53.685454545454554</v>
      </c>
      <c r="O5" s="12">
        <f>AVERAGE(O7:O17)</f>
        <v>71.315909090909088</v>
      </c>
    </row>
    <row r="6" spans="1:22" x14ac:dyDescent="0.25">
      <c r="A6" s="3" t="s">
        <v>7</v>
      </c>
      <c r="B6" s="3" t="s">
        <v>8</v>
      </c>
      <c r="C6" s="3" t="s">
        <v>9</v>
      </c>
      <c r="D6" s="3" t="s">
        <v>44</v>
      </c>
      <c r="E6" s="3" t="s">
        <v>50</v>
      </c>
      <c r="F6" s="3" t="s">
        <v>17</v>
      </c>
      <c r="G6" s="3" t="s">
        <v>14</v>
      </c>
      <c r="H6" s="3" t="s">
        <v>15</v>
      </c>
      <c r="I6" s="3" t="s">
        <v>16</v>
      </c>
      <c r="J6" s="3" t="s">
        <v>48</v>
      </c>
      <c r="K6" s="3" t="s">
        <v>3</v>
      </c>
      <c r="L6" s="3" t="s">
        <v>10</v>
      </c>
      <c r="M6" s="3" t="s">
        <v>1</v>
      </c>
      <c r="N6" s="3" t="s">
        <v>12</v>
      </c>
      <c r="O6" s="3" t="s">
        <v>4</v>
      </c>
      <c r="P6" s="3" t="s">
        <v>49</v>
      </c>
      <c r="Q6" s="3" t="s">
        <v>47</v>
      </c>
      <c r="R6" s="3" t="s">
        <v>138</v>
      </c>
      <c r="S6" s="3" t="s">
        <v>1354</v>
      </c>
      <c r="T6" s="3" t="s">
        <v>1355</v>
      </c>
      <c r="U6" s="3" t="s">
        <v>1356</v>
      </c>
      <c r="V6" s="3" t="s">
        <v>13</v>
      </c>
    </row>
    <row r="7" spans="1:22" x14ac:dyDescent="0.25">
      <c r="A7" s="8" t="str">
        <f>'All Players'!C213</f>
        <v>GK</v>
      </c>
      <c r="B7" s="8" t="str">
        <f>'All Players'!D213</f>
        <v>Yann</v>
      </c>
      <c r="C7" s="8" t="str">
        <f>'All Players'!E213</f>
        <v>Ndong</v>
      </c>
      <c r="D7" s="8" t="str">
        <f>'All Players'!F213</f>
        <v>Y. Ndong</v>
      </c>
      <c r="E7" s="8" t="str">
        <f>'All Players'!G213</f>
        <v>Yaya</v>
      </c>
      <c r="F7" s="8">
        <f>'All Players'!H213</f>
        <v>50</v>
      </c>
      <c r="G7" s="8">
        <f>'All Players'!I213</f>
        <v>88</v>
      </c>
      <c r="H7" s="8">
        <f>'All Players'!J213</f>
        <v>97</v>
      </c>
      <c r="I7" s="8">
        <f>'All Players'!K213</f>
        <v>22</v>
      </c>
      <c r="J7" s="5">
        <f t="shared" ref="J7:J17" si="2">AVERAGE(F7:I7)</f>
        <v>64.25</v>
      </c>
      <c r="K7" s="8">
        <f>'All Players'!M213</f>
        <v>7</v>
      </c>
      <c r="L7" s="8">
        <f>'All Players'!N213</f>
        <v>71</v>
      </c>
      <c r="M7" s="4">
        <f>AVERAGE(F7:I7)*0</f>
        <v>0</v>
      </c>
      <c r="N7" s="5">
        <f>O7</f>
        <v>63.8</v>
      </c>
      <c r="O7" s="11">
        <f>F7*Formuals!B2+G7*Formuals!C2+H7*Formuals!D2+I7*Formuals!E2</f>
        <v>63.8</v>
      </c>
      <c r="P7" s="10">
        <f>((M7/SUM($M$7:$M$17)))</f>
        <v>0</v>
      </c>
      <c r="Q7" s="10">
        <f t="shared" ref="Q7:Q17" si="3">((M7/100)*(L7/100))*3</f>
        <v>0</v>
      </c>
      <c r="R7" s="8" t="str">
        <f>'All Players'!T213</f>
        <v>Gabon</v>
      </c>
      <c r="S7" s="8">
        <f>'All Players'!U213</f>
        <v>27</v>
      </c>
      <c r="T7" s="8">
        <f>'All Players'!V213</f>
        <v>77</v>
      </c>
      <c r="U7" s="49">
        <f t="shared" ref="U7:U17" si="4">IF((O7*0.5)+((T7*0.5)-((S7-18)*0.1))-40&lt;0,"0",(O7*0.5)+((T7*0.5)-((S7-18)*0.1))-40)</f>
        <v>29.5</v>
      </c>
      <c r="V7" s="6" t="str">
        <f>A24</f>
        <v>His imposing presence in goal is as commanding as a gorilla's, making him a key defensive asset.</v>
      </c>
    </row>
    <row r="8" spans="1:22" x14ac:dyDescent="0.25">
      <c r="A8" s="8" t="str">
        <f>'All Players'!C214</f>
        <v>LB</v>
      </c>
      <c r="B8" s="8" t="str">
        <f>'All Players'!D214</f>
        <v>Jean</v>
      </c>
      <c r="C8" s="8" t="str">
        <f>'All Players'!E214</f>
        <v>M'ba</v>
      </c>
      <c r="D8" s="8" t="str">
        <f>'All Players'!F214</f>
        <v>J. M'ba</v>
      </c>
      <c r="E8" s="8" t="str">
        <f>'All Players'!G214</f>
        <v>Jungle</v>
      </c>
      <c r="F8" s="8">
        <f>'All Players'!H214</f>
        <v>45</v>
      </c>
      <c r="G8" s="8">
        <f>'All Players'!I214</f>
        <v>93</v>
      </c>
      <c r="H8" s="8">
        <f>'All Players'!J214</f>
        <v>100</v>
      </c>
      <c r="I8" s="8">
        <f>'All Players'!K214</f>
        <v>26</v>
      </c>
      <c r="J8" s="5">
        <f t="shared" si="2"/>
        <v>66</v>
      </c>
      <c r="K8" s="8">
        <f>'All Players'!M214</f>
        <v>8</v>
      </c>
      <c r="L8" s="8">
        <f>'All Players'!N214</f>
        <v>72</v>
      </c>
      <c r="M8" s="5">
        <f>0.4*O8</f>
        <v>27.260000000000005</v>
      </c>
      <c r="N8" s="5">
        <f>0.9*O8</f>
        <v>61.335000000000008</v>
      </c>
      <c r="O8" s="11">
        <f>F8*Formuals!B3+G8*Formuals!C3+H8*Formuals!D3+I8*Formuals!E3</f>
        <v>68.150000000000006</v>
      </c>
      <c r="P8" s="10">
        <f t="shared" ref="P8:P10" si="5">((M8/SUM($M$7:$M$17)))*0.67</f>
        <v>4.0068227564155304E-2</v>
      </c>
      <c r="Q8" s="10">
        <f t="shared" si="3"/>
        <v>0.58881600000000012</v>
      </c>
      <c r="R8" s="8" t="str">
        <f>'All Players'!T214</f>
        <v>Gabon</v>
      </c>
      <c r="S8" s="8">
        <f>'All Players'!U214</f>
        <v>26</v>
      </c>
      <c r="T8" s="8">
        <f>'All Players'!V214</f>
        <v>69</v>
      </c>
      <c r="U8" s="49">
        <f t="shared" si="4"/>
        <v>27.775000000000006</v>
      </c>
      <c r="V8" s="6" t="str">
        <f>A27</f>
        <v>Agile and robust, his play mirrors the versatility of moving through a dense jungle.</v>
      </c>
    </row>
    <row r="9" spans="1:22" x14ac:dyDescent="0.25">
      <c r="A9" s="8" t="str">
        <f>'All Players'!C215</f>
        <v>CB</v>
      </c>
      <c r="B9" s="8" t="str">
        <f>'All Players'!D215</f>
        <v>Cédric</v>
      </c>
      <c r="C9" s="8" t="str">
        <f>'All Players'!E215</f>
        <v>Ondo</v>
      </c>
      <c r="D9" s="8" t="str">
        <f>'All Players'!F215</f>
        <v>C. Ondo</v>
      </c>
      <c r="E9" s="8" t="str">
        <f>'All Players'!G215</f>
        <v>Climber</v>
      </c>
      <c r="F9" s="8">
        <f>'All Players'!H215</f>
        <v>64</v>
      </c>
      <c r="G9" s="8">
        <f>'All Players'!I215</f>
        <v>99</v>
      </c>
      <c r="H9" s="8">
        <f>'All Players'!J215</f>
        <v>100</v>
      </c>
      <c r="I9" s="8">
        <f>'All Players'!K215</f>
        <v>35</v>
      </c>
      <c r="J9" s="5">
        <f t="shared" si="2"/>
        <v>74.5</v>
      </c>
      <c r="K9" s="8">
        <f>'All Players'!M215</f>
        <v>10</v>
      </c>
      <c r="L9" s="8">
        <f>'All Players'!N215</f>
        <v>76</v>
      </c>
      <c r="M9" s="5">
        <f>O9*0.3</f>
        <v>25.679999999999996</v>
      </c>
      <c r="N9" s="5">
        <f>O9</f>
        <v>85.6</v>
      </c>
      <c r="O9" s="11">
        <f>F9*Formuals!B4+G9*Formuals!C4+H9*Formuals!D4+I9*Formuals!E4</f>
        <v>85.6</v>
      </c>
      <c r="P9" s="10">
        <f t="shared" si="5"/>
        <v>3.7745857808052383E-2</v>
      </c>
      <c r="Q9" s="10">
        <f t="shared" si="3"/>
        <v>0.58550399999999991</v>
      </c>
      <c r="R9" s="8" t="str">
        <f>'All Players'!T215</f>
        <v>Gabon</v>
      </c>
      <c r="S9" s="8">
        <f>'All Players'!U215</f>
        <v>21</v>
      </c>
      <c r="T9" s="8">
        <f>'All Players'!V215</f>
        <v>93</v>
      </c>
      <c r="U9" s="49">
        <f t="shared" si="4"/>
        <v>49</v>
      </c>
      <c r="V9" s="6" t="str">
        <f>A30</f>
        <v>Strong in aerial battles and tenacious in defense, much like a gorilla climbing through the forest.</v>
      </c>
    </row>
    <row r="10" spans="1:22" x14ac:dyDescent="0.25">
      <c r="A10" s="8" t="str">
        <f>'All Players'!C216</f>
        <v>CB</v>
      </c>
      <c r="B10" s="8" t="str">
        <f>'All Players'!D216</f>
        <v>Pierre</v>
      </c>
      <c r="C10" s="8" t="str">
        <f>'All Players'!E216</f>
        <v>Kanga</v>
      </c>
      <c r="D10" s="8" t="str">
        <f>'All Players'!F216</f>
        <v>P. Kanga</v>
      </c>
      <c r="E10" s="8" t="str">
        <f>'All Players'!G216</f>
        <v>Prowess</v>
      </c>
      <c r="F10" s="8">
        <f>'All Players'!H216</f>
        <v>61</v>
      </c>
      <c r="G10" s="8">
        <f>'All Players'!I216</f>
        <v>100</v>
      </c>
      <c r="H10" s="8">
        <f>'All Players'!J216</f>
        <v>96</v>
      </c>
      <c r="I10" s="8">
        <f>'All Players'!K216</f>
        <v>33</v>
      </c>
      <c r="J10" s="5">
        <f t="shared" si="2"/>
        <v>72.5</v>
      </c>
      <c r="K10" s="8">
        <f>'All Players'!M216</f>
        <v>11</v>
      </c>
      <c r="L10" s="8">
        <f>'All Players'!N216</f>
        <v>71</v>
      </c>
      <c r="M10" s="5">
        <f>O10*0.3</f>
        <v>24.832499999999996</v>
      </c>
      <c r="N10" s="5">
        <f>O10</f>
        <v>82.774999999999991</v>
      </c>
      <c r="O10" s="11">
        <f>F10*Formuals!B5+G10*Formuals!C5+H10*Formuals!D5+I10*Formuals!E5</f>
        <v>82.774999999999991</v>
      </c>
      <c r="P10" s="10">
        <f t="shared" si="5"/>
        <v>3.6500156309130088E-2</v>
      </c>
      <c r="Q10" s="10">
        <f t="shared" si="3"/>
        <v>0.52893224999999988</v>
      </c>
      <c r="R10" s="8" t="str">
        <f>'All Players'!T216</f>
        <v>Gabon</v>
      </c>
      <c r="S10" s="8">
        <f>'All Players'!U216</f>
        <v>19</v>
      </c>
      <c r="T10" s="8">
        <f>'All Players'!V216</f>
        <v>89</v>
      </c>
      <c r="U10" s="49">
        <f t="shared" si="4"/>
        <v>45.787499999999994</v>
      </c>
      <c r="V10" s="6" t="str">
        <f>A33</f>
        <v>His tactical prowess and physical strength make him a cornerstone of the defense.</v>
      </c>
    </row>
    <row r="11" spans="1:22" x14ac:dyDescent="0.25">
      <c r="A11" s="8" t="str">
        <f>'All Players'!C217</f>
        <v>RB</v>
      </c>
      <c r="B11" s="8" t="str">
        <f>'All Players'!D217</f>
        <v>Thierry</v>
      </c>
      <c r="C11" s="8" t="str">
        <f>'All Players'!E217</f>
        <v>Bongo</v>
      </c>
      <c r="D11" s="8" t="str">
        <f>'All Players'!F217</f>
        <v>T. Bongo</v>
      </c>
      <c r="E11" s="8" t="str">
        <f>'All Players'!G217</f>
        <v>Thunder</v>
      </c>
      <c r="F11" s="8">
        <f>'All Players'!H217</f>
        <v>67</v>
      </c>
      <c r="G11" s="8">
        <f>'All Players'!I217</f>
        <v>100</v>
      </c>
      <c r="H11" s="8">
        <f>'All Players'!J217</f>
        <v>100</v>
      </c>
      <c r="I11" s="8">
        <f>'All Players'!K217</f>
        <v>40</v>
      </c>
      <c r="J11" s="5">
        <f t="shared" si="2"/>
        <v>76.75</v>
      </c>
      <c r="K11" s="8">
        <f>'All Players'!M217</f>
        <v>7</v>
      </c>
      <c r="L11" s="8">
        <f>'All Players'!N217</f>
        <v>72</v>
      </c>
      <c r="M11" s="5">
        <f>0.4*O11</f>
        <v>30.82</v>
      </c>
      <c r="N11" s="5">
        <f>0.9*O11</f>
        <v>69.344999999999999</v>
      </c>
      <c r="O11" s="11">
        <f>F11*Formuals!B6+G11*Formuals!C6+H11*Formuals!D6+I11*Formuals!E6</f>
        <v>77.05</v>
      </c>
      <c r="P11" s="10">
        <f>((M11/SUM($M$7:$M$17)))*0.67</f>
        <v>4.5300908786766923E-2</v>
      </c>
      <c r="Q11" s="10">
        <f t="shared" si="3"/>
        <v>0.66571200000000008</v>
      </c>
      <c r="R11" s="8" t="str">
        <f>'All Players'!T217</f>
        <v>Gabon</v>
      </c>
      <c r="S11" s="8">
        <f>'All Players'!U217</f>
        <v>25</v>
      </c>
      <c r="T11" s="8">
        <f>'All Players'!V217</f>
        <v>92</v>
      </c>
      <c r="U11" s="49">
        <f t="shared" si="4"/>
        <v>43.824999999999989</v>
      </c>
      <c r="V11" s="6" t="str">
        <f>A36</f>
        <v>Known for his thunderous pace and solid tackles, he's a vital part of the team's back line.</v>
      </c>
    </row>
    <row r="12" spans="1:22" x14ac:dyDescent="0.25">
      <c r="A12" s="8" t="str">
        <f>'All Players'!C218</f>
        <v>CDM</v>
      </c>
      <c r="B12" s="8" t="str">
        <f>'All Players'!D218</f>
        <v>Louis</v>
      </c>
      <c r="C12" s="8" t="str">
        <f>'All Players'!E218</f>
        <v>Mouketou</v>
      </c>
      <c r="D12" s="8" t="str">
        <f>'All Players'!F218</f>
        <v>L. Mouketou</v>
      </c>
      <c r="E12" s="8" t="str">
        <f>'All Players'!G218</f>
        <v>Leader</v>
      </c>
      <c r="F12" s="8">
        <f>'All Players'!H218</f>
        <v>59</v>
      </c>
      <c r="G12" s="8">
        <f>'All Players'!I218</f>
        <v>100</v>
      </c>
      <c r="H12" s="8">
        <f>'All Players'!J218</f>
        <v>100</v>
      </c>
      <c r="I12" s="8">
        <f>'All Players'!K218</f>
        <v>54</v>
      </c>
      <c r="J12" s="5">
        <f t="shared" si="2"/>
        <v>78.25</v>
      </c>
      <c r="K12" s="8">
        <f>'All Players'!M218</f>
        <v>7</v>
      </c>
      <c r="L12" s="8">
        <f>'All Players'!N218</f>
        <v>77</v>
      </c>
      <c r="M12" s="5">
        <f>O12*0.6</f>
        <v>52.169999999999995</v>
      </c>
      <c r="N12" s="5">
        <f>O12*0.9</f>
        <v>78.254999999999995</v>
      </c>
      <c r="O12" s="11">
        <f>F12*Formuals!B7+G12*Formuals!C7+H12*Formuals!D7+I12*Formuals!E7</f>
        <v>86.949999999999989</v>
      </c>
      <c r="P12" s="10">
        <f t="shared" ref="P12:P14" si="6">((M12/SUM($M$7:$M$17)))</f>
        <v>0.11445119041742763</v>
      </c>
      <c r="Q12" s="10">
        <f t="shared" si="3"/>
        <v>1.2051270000000001</v>
      </c>
      <c r="R12" s="8" t="str">
        <f>'All Players'!T218</f>
        <v>Gabon</v>
      </c>
      <c r="S12" s="8">
        <f>'All Players'!U218</f>
        <v>25</v>
      </c>
      <c r="T12" s="8">
        <f>'All Players'!V218</f>
        <v>106</v>
      </c>
      <c r="U12" s="49">
        <f t="shared" si="4"/>
        <v>55.774999999999991</v>
      </c>
      <c r="V12" s="6" t="str">
        <f>A39</f>
        <v>As the team's leader, he orchestrates the play with intelligence and strength.</v>
      </c>
    </row>
    <row r="13" spans="1:22" x14ac:dyDescent="0.25">
      <c r="A13" s="8" t="str">
        <f>'All Players'!C219</f>
        <v>CM</v>
      </c>
      <c r="B13" s="8" t="str">
        <f>'All Players'!D219</f>
        <v>Didier</v>
      </c>
      <c r="C13" s="8" t="str">
        <f>'All Players'!E219</f>
        <v>Makaga</v>
      </c>
      <c r="D13" s="8" t="str">
        <f>'All Players'!F219</f>
        <v>D. Makaga</v>
      </c>
      <c r="E13" s="8" t="str">
        <f>'All Players'!G219</f>
        <v>Daring</v>
      </c>
      <c r="F13" s="8">
        <f>'All Players'!H219</f>
        <v>54</v>
      </c>
      <c r="G13" s="8">
        <f>'All Players'!I219</f>
        <v>92</v>
      </c>
      <c r="H13" s="8">
        <f>'All Players'!J219</f>
        <v>81</v>
      </c>
      <c r="I13" s="8">
        <f>'All Players'!K219</f>
        <v>39</v>
      </c>
      <c r="J13" s="5">
        <f t="shared" si="2"/>
        <v>66.5</v>
      </c>
      <c r="K13" s="8">
        <f>'All Players'!M219</f>
        <v>6</v>
      </c>
      <c r="L13" s="8">
        <f>'All Players'!N219</f>
        <v>80</v>
      </c>
      <c r="M13" s="5">
        <f>O13*0.75</f>
        <v>54.674999999999997</v>
      </c>
      <c r="N13" s="5">
        <f>O13*0.75</f>
        <v>54.674999999999997</v>
      </c>
      <c r="O13" s="11">
        <f>F13*Formuals!B8+G13*Formuals!C8+H13*Formuals!D8+I13*Formuals!E8</f>
        <v>72.899999999999991</v>
      </c>
      <c r="P13" s="10">
        <f t="shared" si="6"/>
        <v>0.11994669035984006</v>
      </c>
      <c r="Q13" s="10">
        <f t="shared" si="3"/>
        <v>1.3122</v>
      </c>
      <c r="R13" s="8" t="str">
        <f>'All Players'!T219</f>
        <v>Gabon</v>
      </c>
      <c r="S13" s="8">
        <f>'All Players'!U219</f>
        <v>22</v>
      </c>
      <c r="T13" s="8">
        <f>'All Players'!V219</f>
        <v>93</v>
      </c>
      <c r="U13" s="49">
        <f t="shared" si="4"/>
        <v>42.55</v>
      </c>
      <c r="V13" s="6" t="str">
        <f>A42</f>
        <v>His daring runs and robust playstyle drive the heart of the team's midfield.</v>
      </c>
    </row>
    <row r="14" spans="1:22" x14ac:dyDescent="0.25">
      <c r="A14" s="8" t="str">
        <f>'All Players'!C220</f>
        <v>CAM</v>
      </c>
      <c r="B14" s="8" t="str">
        <f>'All Players'!D220</f>
        <v>Étienne</v>
      </c>
      <c r="C14" s="8" t="str">
        <f>'All Players'!E220</f>
        <v>Engonga</v>
      </c>
      <c r="D14" s="8" t="str">
        <f>'All Players'!F220</f>
        <v>É. Engonga</v>
      </c>
      <c r="E14" s="8" t="str">
        <f>'All Players'!G220</f>
        <v>Energy</v>
      </c>
      <c r="F14" s="8">
        <f>'All Players'!H220</f>
        <v>77</v>
      </c>
      <c r="G14" s="8">
        <f>'All Players'!I220</f>
        <v>78</v>
      </c>
      <c r="H14" s="8">
        <f>'All Players'!J220</f>
        <v>93</v>
      </c>
      <c r="I14" s="8">
        <f>'All Players'!K220</f>
        <v>29</v>
      </c>
      <c r="J14" s="5">
        <f t="shared" si="2"/>
        <v>69.25</v>
      </c>
      <c r="K14" s="8">
        <f>'All Players'!M220</f>
        <v>7</v>
      </c>
      <c r="L14" s="8">
        <f>'All Players'!N220</f>
        <v>70</v>
      </c>
      <c r="M14" s="5">
        <f>O14*0.9</f>
        <v>61.740000000000009</v>
      </c>
      <c r="N14" s="5">
        <f>O14*0.6</f>
        <v>41.160000000000004</v>
      </c>
      <c r="O14" s="11">
        <f>F14*Formuals!B9+G14*Formuals!C9+H14*Formuals!D9+I14*Formuals!E9</f>
        <v>68.600000000000009</v>
      </c>
      <c r="P14" s="10">
        <f t="shared" si="6"/>
        <v>0.13544597462856015</v>
      </c>
      <c r="Q14" s="10">
        <f t="shared" si="3"/>
        <v>1.29654</v>
      </c>
      <c r="R14" s="8" t="str">
        <f>'All Players'!T220</f>
        <v>Gabon</v>
      </c>
      <c r="S14" s="8">
        <f>'All Players'!U220</f>
        <v>33</v>
      </c>
      <c r="T14" s="8">
        <f>'All Players'!V220</f>
        <v>71</v>
      </c>
      <c r="U14" s="49">
        <f t="shared" si="4"/>
        <v>28.300000000000011</v>
      </c>
      <c r="V14" s="6" t="str">
        <f>A45</f>
        <v>His boundless energy and creativity fuel the team's offensive moves.</v>
      </c>
    </row>
    <row r="15" spans="1:22" x14ac:dyDescent="0.25">
      <c r="A15" s="8" t="str">
        <f>'All Players'!C221</f>
        <v>LW</v>
      </c>
      <c r="B15" s="8" t="str">
        <f>'All Players'!D221</f>
        <v>Bruno</v>
      </c>
      <c r="C15" s="8" t="str">
        <f>'All Players'!E221</f>
        <v>Boussougou</v>
      </c>
      <c r="D15" s="8" t="str">
        <f>'All Players'!F221</f>
        <v>B. Boussougou</v>
      </c>
      <c r="E15" s="8" t="str">
        <f>'All Players'!G221</f>
        <v>Brawn</v>
      </c>
      <c r="F15" s="8">
        <f>'All Players'!H221</f>
        <v>57</v>
      </c>
      <c r="G15" s="8">
        <f>'All Players'!I221</f>
        <v>90</v>
      </c>
      <c r="H15" s="8">
        <f>'All Players'!J221</f>
        <v>90</v>
      </c>
      <c r="I15" s="8">
        <f>'All Players'!K221</f>
        <v>57</v>
      </c>
      <c r="J15" s="5">
        <f t="shared" si="2"/>
        <v>73.5</v>
      </c>
      <c r="K15" s="8">
        <f>'All Players'!M221</f>
        <v>13</v>
      </c>
      <c r="L15" s="8">
        <f>'All Players'!N221</f>
        <v>79</v>
      </c>
      <c r="M15" s="5">
        <f>O15</f>
        <v>63.600000000000009</v>
      </c>
      <c r="N15" s="5">
        <f>O15*0.3</f>
        <v>19.080000000000002</v>
      </c>
      <c r="O15" s="11">
        <f>F15*Formuals!B10+G15*Formuals!C10+H15*Formuals!D10+I15*Formuals!E10</f>
        <v>63.600000000000009</v>
      </c>
      <c r="P15" s="10">
        <f>((M15/SUM($M$7:$M$17)))*1.33</f>
        <v>0.18557019925300691</v>
      </c>
      <c r="Q15" s="10">
        <f t="shared" si="3"/>
        <v>1.5073200000000004</v>
      </c>
      <c r="R15" s="8" t="str">
        <f>'All Players'!T221</f>
        <v>Gabon</v>
      </c>
      <c r="S15" s="8">
        <f>'All Players'!U221</f>
        <v>18</v>
      </c>
      <c r="T15" s="8">
        <f>'All Players'!V221</f>
        <v>82</v>
      </c>
      <c r="U15" s="49">
        <f t="shared" si="4"/>
        <v>32.800000000000011</v>
      </c>
      <c r="V15" s="6" t="str">
        <f>A48</f>
        <v>Powerful and skillful, his brawny play is key in breaking down defenses.</v>
      </c>
    </row>
    <row r="16" spans="1:22" x14ac:dyDescent="0.25">
      <c r="A16" s="8" t="str">
        <f>'All Players'!C222</f>
        <v>ST</v>
      </c>
      <c r="B16" s="8" t="str">
        <f>'All Players'!D222</f>
        <v>Samuel</v>
      </c>
      <c r="C16" s="8" t="str">
        <f>'All Players'!E222</f>
        <v>Mvé</v>
      </c>
      <c r="D16" s="8" t="str">
        <f>'All Players'!F222</f>
        <v>S. Mvé</v>
      </c>
      <c r="E16" s="8" t="str">
        <f>'All Players'!G222</f>
        <v>Swift</v>
      </c>
      <c r="F16" s="8">
        <f>'All Players'!H222</f>
        <v>54</v>
      </c>
      <c r="G16" s="8">
        <f>'All Players'!I222</f>
        <v>91</v>
      </c>
      <c r="H16" s="8">
        <f>'All Players'!J222</f>
        <v>100</v>
      </c>
      <c r="I16" s="8">
        <f>'All Players'!K222</f>
        <v>42</v>
      </c>
      <c r="J16" s="5">
        <f t="shared" si="2"/>
        <v>71.75</v>
      </c>
      <c r="K16" s="8">
        <f>'All Players'!M222</f>
        <v>12</v>
      </c>
      <c r="L16" s="8">
        <f>'All Players'!N222</f>
        <v>80</v>
      </c>
      <c r="M16" s="5">
        <f>O16</f>
        <v>64.25</v>
      </c>
      <c r="N16" s="5">
        <f t="shared" ref="N16:N17" si="7">O16*0.3</f>
        <v>19.274999999999999</v>
      </c>
      <c r="O16" s="11">
        <f>F16*Formuals!B11+G16*Formuals!C11+H16*Formuals!D11+I16*Formuals!E11</f>
        <v>64.25</v>
      </c>
      <c r="P16" s="10">
        <f t="shared" ref="P16:P17" si="8">((M16/SUM($M$7:$M$17)))*1.33</f>
        <v>0.18746675003153604</v>
      </c>
      <c r="Q16" s="10">
        <f t="shared" si="3"/>
        <v>1.542</v>
      </c>
      <c r="R16" s="8" t="str">
        <f>'All Players'!T222</f>
        <v>Gabon</v>
      </c>
      <c r="S16" s="8">
        <f>'All Players'!U222</f>
        <v>24</v>
      </c>
      <c r="T16" s="8">
        <f>'All Players'!V222</f>
        <v>69</v>
      </c>
      <c r="U16" s="49">
        <f t="shared" si="4"/>
        <v>26.025000000000006</v>
      </c>
      <c r="V16" s="6" t="str">
        <f>A51</f>
        <v>Swift and cunning on the wing, he's a constant threat to the opposition.</v>
      </c>
    </row>
    <row r="17" spans="1:22" x14ac:dyDescent="0.25">
      <c r="A17" s="8" t="str">
        <f>'All Players'!C223</f>
        <v>RW</v>
      </c>
      <c r="B17" s="8" t="str">
        <f>'All Players'!D223</f>
        <v>Marc</v>
      </c>
      <c r="C17" s="8" t="str">
        <f>'All Players'!E223</f>
        <v>Assoumou</v>
      </c>
      <c r="D17" s="8" t="str">
        <f>'All Players'!F223</f>
        <v>M. Assoumou</v>
      </c>
      <c r="E17" s="8" t="str">
        <f>'All Players'!G223</f>
        <v>Might</v>
      </c>
      <c r="F17" s="8">
        <f>'All Players'!H223</f>
        <v>55</v>
      </c>
      <c r="G17" s="8">
        <f>'All Players'!I223</f>
        <v>94</v>
      </c>
      <c r="H17" s="8">
        <f>'All Players'!J223</f>
        <v>97</v>
      </c>
      <c r="I17" s="8">
        <f>'All Players'!K223</f>
        <v>28</v>
      </c>
      <c r="J17" s="5">
        <f t="shared" si="2"/>
        <v>68.5</v>
      </c>
      <c r="K17" s="8">
        <f>'All Players'!M223</f>
        <v>12</v>
      </c>
      <c r="L17" s="8">
        <f>'All Players'!N223</f>
        <v>72</v>
      </c>
      <c r="M17" s="5">
        <f>O17</f>
        <v>50.800000000000004</v>
      </c>
      <c r="N17" s="5">
        <f t="shared" si="7"/>
        <v>15.24</v>
      </c>
      <c r="O17" s="11">
        <f>F17*Formuals!B12+G17*Formuals!C12+H17*Formuals!D12+I17*Formuals!E12</f>
        <v>50.800000000000004</v>
      </c>
      <c r="P17" s="10">
        <f t="shared" si="8"/>
        <v>0.148222737768125</v>
      </c>
      <c r="Q17" s="10">
        <f t="shared" si="3"/>
        <v>1.09728</v>
      </c>
      <c r="R17" s="8" t="str">
        <f>'All Players'!T223</f>
        <v>Gabon</v>
      </c>
      <c r="S17" s="8">
        <f>'All Players'!U223</f>
        <v>34</v>
      </c>
      <c r="T17" s="8">
        <f>'All Players'!V223</f>
        <v>51</v>
      </c>
      <c r="U17" s="49">
        <f t="shared" si="4"/>
        <v>9.2999999999999972</v>
      </c>
      <c r="V17" s="6" t="str">
        <f>A54</f>
        <v>His might in front of goal and ability to find scoring opportunities are unmatched.</v>
      </c>
    </row>
    <row r="18" spans="1:22" x14ac:dyDescent="0.25">
      <c r="F18" s="18">
        <f t="shared" ref="F18:G18" si="9">LARGE(F7:F17,1) - SMALL(F7:F17,1)</f>
        <v>32</v>
      </c>
      <c r="G18" s="18">
        <f t="shared" si="9"/>
        <v>22</v>
      </c>
      <c r="H18" s="18">
        <f>LARGE(H7:H17,1) - SMALL(H7:H17,1)</f>
        <v>19</v>
      </c>
      <c r="I18" s="18">
        <f>LARGE(I7:I17,1) - SMALL(I7:I17,1)</f>
        <v>35</v>
      </c>
      <c r="J18" s="19">
        <f t="shared" ref="J18:L18" si="10">LARGE(J7:J17,1) - SMALL(J7:J17,1)</f>
        <v>14</v>
      </c>
      <c r="K18" s="18">
        <f t="shared" si="10"/>
        <v>7</v>
      </c>
      <c r="L18" s="18">
        <f t="shared" si="10"/>
        <v>10</v>
      </c>
      <c r="O18" s="19">
        <f t="shared" ref="O18" si="11">LARGE(O7:O17,1) - SMALL(O7:O17,1)</f>
        <v>36.149999999999984</v>
      </c>
      <c r="P18" s="48">
        <f>SUM(P7:P17)</f>
        <v>1.0507186929266004</v>
      </c>
      <c r="S18">
        <f>AVERAGE(S7:S17)</f>
        <v>24.90909090909091</v>
      </c>
      <c r="T18">
        <f>AVERAGE(T7:T17)</f>
        <v>81.090909090909093</v>
      </c>
      <c r="U18" s="50">
        <f>SUM(U7:U17)</f>
        <v>390.63749999999999</v>
      </c>
    </row>
    <row r="19" spans="1:22" x14ac:dyDescent="0.25">
      <c r="B19" s="3" t="s">
        <v>1</v>
      </c>
      <c r="C19" s="3" t="s">
        <v>2</v>
      </c>
      <c r="D19" s="3" t="s">
        <v>3</v>
      </c>
    </row>
    <row r="20" spans="1:22" x14ac:dyDescent="0.25">
      <c r="A20" s="3" t="s">
        <v>4</v>
      </c>
      <c r="B20" s="2">
        <f>AVERAGE(O7:O12)*0.1+AVERAGE(O13:O17)*0.9</f>
        <v>65.365750000000006</v>
      </c>
      <c r="C20" s="2">
        <f>AVERAGE(O7:O12)*0.9+AVERAGE(O13:O17)*0.1</f>
        <v>76.051750000000013</v>
      </c>
      <c r="D20" s="2">
        <f>AVERAGE(K7:K17)*0.5+AVERAGE(L7:L17)*0.5</f>
        <v>41.81818181818182</v>
      </c>
    </row>
    <row r="22" spans="1:22" x14ac:dyDescent="0.25">
      <c r="A22" t="s">
        <v>378</v>
      </c>
    </row>
    <row r="24" spans="1:22" x14ac:dyDescent="0.25">
      <c r="A24" t="s">
        <v>367</v>
      </c>
    </row>
    <row r="25" spans="1:22" x14ac:dyDescent="0.25">
      <c r="A25" t="s">
        <v>379</v>
      </c>
    </row>
    <row r="27" spans="1:22" x14ac:dyDescent="0.25">
      <c r="A27" t="s">
        <v>368</v>
      </c>
    </row>
    <row r="28" spans="1:22" x14ac:dyDescent="0.25">
      <c r="A28" t="s">
        <v>380</v>
      </c>
    </row>
    <row r="30" spans="1:22" x14ac:dyDescent="0.25">
      <c r="A30" t="s">
        <v>369</v>
      </c>
    </row>
    <row r="31" spans="1:22" x14ac:dyDescent="0.25">
      <c r="A31" t="s">
        <v>381</v>
      </c>
    </row>
    <row r="33" spans="1:1" x14ac:dyDescent="0.25">
      <c r="A33" t="s">
        <v>370</v>
      </c>
    </row>
    <row r="34" spans="1:1" x14ac:dyDescent="0.25">
      <c r="A34" t="s">
        <v>382</v>
      </c>
    </row>
    <row r="36" spans="1:1" x14ac:dyDescent="0.25">
      <c r="A36" t="s">
        <v>371</v>
      </c>
    </row>
    <row r="37" spans="1:1" x14ac:dyDescent="0.25">
      <c r="A37" t="s">
        <v>383</v>
      </c>
    </row>
    <row r="39" spans="1:1" x14ac:dyDescent="0.25">
      <c r="A39" t="s">
        <v>372</v>
      </c>
    </row>
    <row r="40" spans="1:1" x14ac:dyDescent="0.25">
      <c r="A40" t="s">
        <v>384</v>
      </c>
    </row>
    <row r="42" spans="1:1" x14ac:dyDescent="0.25">
      <c r="A42" t="s">
        <v>373</v>
      </c>
    </row>
    <row r="43" spans="1:1" x14ac:dyDescent="0.25">
      <c r="A43" t="s">
        <v>385</v>
      </c>
    </row>
    <row r="45" spans="1:1" x14ac:dyDescent="0.25">
      <c r="A45" t="s">
        <v>374</v>
      </c>
    </row>
    <row r="46" spans="1:1" x14ac:dyDescent="0.25">
      <c r="A46" t="s">
        <v>386</v>
      </c>
    </row>
    <row r="48" spans="1:1" x14ac:dyDescent="0.25">
      <c r="A48" t="s">
        <v>375</v>
      </c>
    </row>
    <row r="49" spans="1:1" x14ac:dyDescent="0.25">
      <c r="A49" t="s">
        <v>387</v>
      </c>
    </row>
    <row r="51" spans="1:1" x14ac:dyDescent="0.25">
      <c r="A51" t="s">
        <v>376</v>
      </c>
    </row>
    <row r="52" spans="1:1" x14ac:dyDescent="0.25">
      <c r="A52" t="s">
        <v>388</v>
      </c>
    </row>
    <row r="54" spans="1:1" x14ac:dyDescent="0.25">
      <c r="A54" t="s">
        <v>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DATA</vt:lpstr>
      <vt:lpstr>Formuals</vt:lpstr>
      <vt:lpstr>STATS</vt:lpstr>
      <vt:lpstr>Ranks</vt:lpstr>
      <vt:lpstr>All Players</vt:lpstr>
      <vt:lpstr>Retirees</vt:lpstr>
      <vt:lpstr>New Generation</vt:lpstr>
      <vt:lpstr>Rhino Rampage</vt:lpstr>
      <vt:lpstr>Season 1 - League Table</vt:lpstr>
      <vt:lpstr>Season 1 - Player Stats</vt:lpstr>
      <vt:lpstr>Season 1 - Offseason</vt:lpstr>
      <vt:lpstr>Season 2 - Preseason</vt:lpstr>
      <vt:lpstr>Eagle Eyed United</vt:lpstr>
      <vt:lpstr>Lionheart Rovers</vt:lpstr>
      <vt:lpstr>Cobra Strike FC</vt:lpstr>
      <vt:lpstr>Falcon Flyers</vt:lpstr>
      <vt:lpstr>Sharkfin Athletic</vt:lpstr>
      <vt:lpstr>Panther Prowlers</vt:lpstr>
      <vt:lpstr>Wolfpack Wanderers</vt:lpstr>
      <vt:lpstr>Tiger Tacklers</vt:lpstr>
      <vt:lpstr>Bear Brigade</vt:lpstr>
      <vt:lpstr>Hawk Haven</vt:lpstr>
      <vt:lpstr>Python Power</vt:lpstr>
      <vt:lpstr>Dolphin Dribblers</vt:lpstr>
      <vt:lpstr>Jaguar Juggernauts</vt:lpstr>
      <vt:lpstr>Elephant Elites</vt:lpstr>
      <vt:lpstr>Cheetah Chasers</vt:lpstr>
      <vt:lpstr>Raven Raiders</vt:lpstr>
      <vt:lpstr>Stallion Strikers</vt:lpstr>
      <vt:lpstr>Buffalo Battlers</vt:lpstr>
      <vt:lpstr>Gorilla Goalscorers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Richards</dc:creator>
  <cp:lastModifiedBy>Ryan Richards</cp:lastModifiedBy>
  <dcterms:created xsi:type="dcterms:W3CDTF">2023-11-14T13:02:26Z</dcterms:created>
  <dcterms:modified xsi:type="dcterms:W3CDTF">2024-03-01T15:22:30Z</dcterms:modified>
</cp:coreProperties>
</file>