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ink/ink1.xml" ContentType="application/inkml+xml"/>
  <Override PartName="/xl/ink/ink2.xml" ContentType="application/inkml+xml"/>
  <Override PartName="/xl/ink/ink3.xml" ContentType="application/inkml+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ink/ink4.xml" ContentType="application/inkml+xml"/>
  <Override PartName="/xl/ink/ink5.xml" ContentType="application/inkml+xml"/>
  <Override PartName="/xl/ink/ink6.xml" ContentType="application/inkml+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ce4e9057fa51e59/Documents/"/>
    </mc:Choice>
  </mc:AlternateContent>
  <xr:revisionPtr revIDLastSave="0" documentId="8_{18BA209E-A97D-4B28-A431-54C0C7B4C952}" xr6:coauthVersionLast="47" xr6:coauthVersionMax="47" xr10:uidLastSave="{00000000-0000-0000-0000-000000000000}"/>
  <bookViews>
    <workbookView xWindow="-120" yWindow="-120" windowWidth="29040" windowHeight="15840" firstSheet="4" activeTab="7" xr2:uid="{B3F21C72-DD30-4A1F-AE88-FDC88C87F05D}"/>
  </bookViews>
  <sheets>
    <sheet name="planning" sheetId="13" r:id="rId1"/>
    <sheet name="Données" sheetId="3" r:id="rId2"/>
    <sheet name="Ecart de soufflage" sheetId="2" r:id="rId3"/>
    <sheet name="Climatisation  sans recyclage" sheetId="12" r:id="rId4"/>
    <sheet name="Climatisation avec recyclage" sheetId="5" r:id="rId5"/>
    <sheet name="Clim récupérateur à roue" sheetId="6" r:id="rId6"/>
    <sheet name="Clim récupérateur à plaques" sheetId="7" r:id="rId7"/>
    <sheet name="Ventilo convecteur" sheetId="9" r:id="rId8"/>
    <sheet name="Récap" sheetId="8" r:id="rId9"/>
    <sheet name="Climatisation brouillon" sheetId="1"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2" l="1"/>
  <c r="I20" i="2"/>
  <c r="H20" i="2"/>
  <c r="J15" i="12"/>
  <c r="J35" i="12"/>
  <c r="J36" i="12"/>
  <c r="C26" i="12"/>
  <c r="I11" i="9"/>
  <c r="G11" i="9"/>
  <c r="E30" i="2"/>
  <c r="U17" i="6"/>
  <c r="V17" i="6"/>
  <c r="W17" i="6"/>
  <c r="X17" i="6"/>
  <c r="Y17" i="6"/>
  <c r="Z17" i="6"/>
  <c r="AA17" i="6"/>
  <c r="AC9" i="12"/>
  <c r="R18" i="9"/>
  <c r="Q18" i="9"/>
  <c r="O18" i="9"/>
  <c r="P18" i="9"/>
  <c r="R17" i="9"/>
  <c r="P17" i="9"/>
  <c r="O17" i="9"/>
  <c r="P11" i="9"/>
  <c r="O11" i="9"/>
  <c r="F23" i="9"/>
  <c r="G23" i="9" s="1"/>
  <c r="F24" i="9"/>
  <c r="H24" i="9"/>
  <c r="M17" i="2"/>
  <c r="M18" i="2"/>
  <c r="M19" i="2"/>
  <c r="L11" i="2"/>
  <c r="L12" i="2"/>
  <c r="L13" i="2"/>
  <c r="L14" i="2"/>
  <c r="L15" i="2"/>
  <c r="L16" i="2"/>
  <c r="L17" i="2"/>
  <c r="L18" i="2"/>
  <c r="L19" i="2"/>
  <c r="L10" i="2"/>
  <c r="M11" i="2"/>
  <c r="F17" i="9"/>
  <c r="F16" i="9"/>
  <c r="F13" i="9"/>
  <c r="G13" i="9" s="1"/>
  <c r="H21" i="9"/>
  <c r="H17" i="9"/>
  <c r="H4" i="12"/>
  <c r="H11" i="2"/>
  <c r="D6" i="7" s="1"/>
  <c r="M10" i="2"/>
  <c r="Q11" i="5"/>
  <c r="V9" i="3"/>
  <c r="U28" i="3"/>
  <c r="W7" i="3"/>
  <c r="U7" i="3"/>
  <c r="L28" i="3"/>
  <c r="I29" i="3"/>
  <c r="W28" i="3"/>
  <c r="I3" i="9"/>
  <c r="I13" i="9"/>
  <c r="F11" i="9"/>
  <c r="H11" i="9"/>
  <c r="Y8" i="9"/>
  <c r="Y9" i="9"/>
  <c r="Y10" i="9"/>
  <c r="Y11" i="9"/>
  <c r="Y12" i="9"/>
  <c r="Y13" i="9"/>
  <c r="Y14" i="9"/>
  <c r="Y15" i="9"/>
  <c r="Y7" i="9"/>
  <c r="I15" i="9"/>
  <c r="I16" i="9"/>
  <c r="G15" i="9"/>
  <c r="I28" i="9"/>
  <c r="I27" i="9"/>
  <c r="I22" i="9"/>
  <c r="I20" i="9"/>
  <c r="I17" i="9"/>
  <c r="I14" i="9"/>
  <c r="G24" i="9"/>
  <c r="G28" i="9"/>
  <c r="G27" i="9"/>
  <c r="G22" i="9"/>
  <c r="G20" i="9"/>
  <c r="G18" i="9"/>
  <c r="G17" i="9"/>
  <c r="G16" i="9"/>
  <c r="G14" i="9"/>
  <c r="H23" i="9"/>
  <c r="I23" i="9"/>
  <c r="H18" i="9"/>
  <c r="I18" i="9"/>
  <c r="F21" i="9"/>
  <c r="G21" i="9" s="1"/>
  <c r="I21" i="9"/>
  <c r="F18" i="9"/>
  <c r="X11" i="9"/>
  <c r="X8" i="9"/>
  <c r="X9" i="9"/>
  <c r="X10" i="9"/>
  <c r="X12" i="9"/>
  <c r="X13" i="9"/>
  <c r="X14" i="9"/>
  <c r="X15" i="9"/>
  <c r="X16" i="9"/>
  <c r="X17" i="9"/>
  <c r="X7" i="9"/>
  <c r="G6" i="9"/>
  <c r="J6" i="9"/>
  <c r="J7" i="9"/>
  <c r="J5" i="9"/>
  <c r="G5" i="9"/>
  <c r="G4" i="9"/>
  <c r="Q5" i="7"/>
  <c r="Q6" i="7"/>
  <c r="Q7" i="7"/>
  <c r="Q8" i="7"/>
  <c r="Q9" i="7"/>
  <c r="Q10" i="7"/>
  <c r="Q11" i="7"/>
  <c r="Q12" i="7"/>
  <c r="Q13" i="7"/>
  <c r="Q14" i="7"/>
  <c r="Q15" i="7"/>
  <c r="Q16" i="7"/>
  <c r="Q17" i="7"/>
  <c r="Q18" i="7"/>
  <c r="Q19" i="7"/>
  <c r="Q20" i="7"/>
  <c r="Q21" i="7"/>
  <c r="Q22" i="7"/>
  <c r="Q23" i="7"/>
  <c r="Q24" i="7"/>
  <c r="Q4" i="7"/>
  <c r="Q4" i="6"/>
  <c r="D28" i="9"/>
  <c r="E28" i="9"/>
  <c r="D29" i="9"/>
  <c r="E29" i="9"/>
  <c r="D30" i="9"/>
  <c r="E30" i="9"/>
  <c r="F4" i="12"/>
  <c r="G4" i="6"/>
  <c r="M66" i="7"/>
  <c r="U14" i="6"/>
  <c r="Y14" i="6"/>
  <c r="L22" i="2"/>
  <c r="V14" i="6"/>
  <c r="I24" i="6"/>
  <c r="V26" i="6"/>
  <c r="W26" i="6"/>
  <c r="X26" i="6"/>
  <c r="Y26" i="6"/>
  <c r="Y25" i="6"/>
  <c r="V25" i="6"/>
  <c r="W25" i="6"/>
  <c r="Y24" i="6"/>
  <c r="V24" i="6"/>
  <c r="Y22" i="6"/>
  <c r="V22" i="6"/>
  <c r="W22" i="6"/>
  <c r="Y16" i="6"/>
  <c r="V16" i="6"/>
  <c r="W16" i="6"/>
  <c r="U15" i="6"/>
  <c r="Y15" i="6"/>
  <c r="V15" i="6"/>
  <c r="W15" i="6"/>
  <c r="I23" i="6"/>
  <c r="W14" i="6"/>
  <c r="E23" i="6"/>
  <c r="V26" i="7"/>
  <c r="W26" i="7"/>
  <c r="X26" i="7"/>
  <c r="Y26" i="7"/>
  <c r="Y25" i="7"/>
  <c r="V25" i="7"/>
  <c r="V24" i="7"/>
  <c r="W25" i="7"/>
  <c r="Y24" i="7"/>
  <c r="N63" i="7"/>
  <c r="AC62" i="6"/>
  <c r="AB78" i="6"/>
  <c r="W15" i="7"/>
  <c r="Y16" i="7"/>
  <c r="V15" i="7"/>
  <c r="AC18" i="12"/>
  <c r="D22" i="6"/>
  <c r="L22" i="6"/>
  <c r="D23" i="6"/>
  <c r="L23" i="6"/>
  <c r="D24" i="6"/>
  <c r="L24" i="6"/>
  <c r="D22" i="7"/>
  <c r="L22" i="7"/>
  <c r="D23" i="7"/>
  <c r="L23" i="7"/>
  <c r="D24" i="7"/>
  <c r="L24" i="7"/>
  <c r="R10" i="2"/>
  <c r="S9" i="2"/>
  <c r="L29" i="12"/>
  <c r="I24" i="9"/>
  <c r="I22" i="6"/>
  <c r="E22" i="6"/>
  <c r="E24" i="6"/>
  <c r="D9" i="2"/>
  <c r="R9" i="2" s="1"/>
  <c r="W18" i="12"/>
  <c r="Y19" i="12"/>
  <c r="V19" i="12"/>
  <c r="W19" i="12"/>
  <c r="X19" i="12"/>
  <c r="U11" i="12"/>
  <c r="AA11" i="12"/>
  <c r="W9" i="12"/>
  <c r="W8" i="12"/>
  <c r="X8" i="12"/>
  <c r="Y8" i="12"/>
  <c r="U8" i="12"/>
  <c r="V9" i="12"/>
  <c r="H16" i="12"/>
  <c r="U9" i="12"/>
  <c r="Y9" i="12"/>
  <c r="V10" i="12"/>
  <c r="Y11" i="12"/>
  <c r="X11" i="12"/>
  <c r="W11" i="12"/>
  <c r="V11" i="12"/>
  <c r="R23" i="2"/>
  <c r="O5" i="12"/>
  <c r="O6" i="12"/>
  <c r="O7" i="12"/>
  <c r="O8" i="12"/>
  <c r="O9" i="12"/>
  <c r="O10" i="12"/>
  <c r="O11" i="12"/>
  <c r="O12" i="12"/>
  <c r="O13" i="12"/>
  <c r="O14" i="12"/>
  <c r="O15" i="12"/>
  <c r="O16" i="12"/>
  <c r="O17" i="12"/>
  <c r="O18" i="12"/>
  <c r="O19" i="12"/>
  <c r="O20" i="12"/>
  <c r="O21" i="12"/>
  <c r="O22" i="12"/>
  <c r="O23" i="12"/>
  <c r="O24" i="12"/>
  <c r="O4" i="12"/>
  <c r="BV19" i="12"/>
  <c r="BX19" i="12"/>
  <c r="BW19" i="12"/>
  <c r="BS19" i="12"/>
  <c r="BT19" i="12"/>
  <c r="CF19" i="12"/>
  <c r="CH19" i="12"/>
  <c r="CG19" i="12"/>
  <c r="CC19" i="12"/>
  <c r="CD19" i="12"/>
  <c r="BV21" i="12"/>
  <c r="BX21" i="12"/>
  <c r="BW21" i="12"/>
  <c r="BS21" i="12"/>
  <c r="CF22" i="12"/>
  <c r="CH22" i="12"/>
  <c r="CG22" i="12"/>
  <c r="CC22" i="12"/>
  <c r="BV10" i="12"/>
  <c r="BX10" i="12"/>
  <c r="BW10" i="12"/>
  <c r="BS10" i="12"/>
  <c r="BV13" i="12"/>
  <c r="BX13" i="12"/>
  <c r="BW13" i="12"/>
  <c r="BS13" i="12"/>
  <c r="Y7" i="12"/>
  <c r="AA7" i="12"/>
  <c r="Z7" i="12"/>
  <c r="W7" i="12"/>
  <c r="V8" i="12"/>
  <c r="Z8" i="12"/>
  <c r="AA8" i="12"/>
  <c r="W10" i="12"/>
  <c r="Y10" i="12"/>
  <c r="AA10" i="12"/>
  <c r="Z10" i="12"/>
  <c r="Z11" i="12"/>
  <c r="V16" i="12"/>
  <c r="W16" i="12"/>
  <c r="Y16" i="12"/>
  <c r="AA16" i="12"/>
  <c r="Z16" i="12"/>
  <c r="V17" i="12"/>
  <c r="Y17" i="12"/>
  <c r="V18" i="12"/>
  <c r="Y18" i="12"/>
  <c r="AA18" i="12"/>
  <c r="Z18" i="12"/>
  <c r="Z19" i="12"/>
  <c r="R26" i="2"/>
  <c r="Q12" i="5"/>
  <c r="O12" i="5"/>
  <c r="N15" i="5"/>
  <c r="R15" i="5"/>
  <c r="Q15" i="5"/>
  <c r="Q14" i="5"/>
  <c r="S14" i="5"/>
  <c r="R14" i="5"/>
  <c r="N14" i="5"/>
  <c r="O14" i="5"/>
  <c r="Q13" i="5"/>
  <c r="N13" i="5"/>
  <c r="R13" i="5"/>
  <c r="S13" i="5"/>
  <c r="M13" i="5"/>
  <c r="O13" i="5"/>
  <c r="S11" i="5"/>
  <c r="R11" i="5"/>
  <c r="N11" i="5"/>
  <c r="O11" i="5"/>
  <c r="R13" i="2"/>
  <c r="S29" i="2"/>
  <c r="S28" i="2"/>
  <c r="S27" i="2"/>
  <c r="S26" i="2"/>
  <c r="S25" i="2"/>
  <c r="S24" i="2"/>
  <c r="S23" i="2"/>
  <c r="S22" i="2"/>
  <c r="S21" i="2"/>
  <c r="S20" i="2"/>
  <c r="S16" i="2"/>
  <c r="S15" i="2"/>
  <c r="S14" i="2"/>
  <c r="S13" i="2"/>
  <c r="S12" i="2"/>
  <c r="S11" i="2"/>
  <c r="S10" i="2"/>
  <c r="R29" i="2"/>
  <c r="R12" i="2"/>
  <c r="R14" i="2"/>
  <c r="R15" i="2"/>
  <c r="R16" i="2"/>
  <c r="R18" i="2"/>
  <c r="R20" i="2"/>
  <c r="R21" i="2"/>
  <c r="R22" i="2"/>
  <c r="R24" i="2"/>
  <c r="R25" i="2"/>
  <c r="R27" i="2"/>
  <c r="R28" i="2"/>
  <c r="F23" i="5"/>
  <c r="F24" i="5"/>
  <c r="F25" i="5"/>
  <c r="F24" i="12"/>
  <c r="F15" i="12"/>
  <c r="F23" i="12"/>
  <c r="D10" i="12"/>
  <c r="F10" i="12"/>
  <c r="F9" i="12"/>
  <c r="F7" i="12"/>
  <c r="D13" i="12"/>
  <c r="D19" i="12"/>
  <c r="D20" i="12"/>
  <c r="D15" i="12"/>
  <c r="D16" i="12"/>
  <c r="D24" i="12"/>
  <c r="D9" i="12"/>
  <c r="D4" i="12"/>
  <c r="D11" i="12"/>
  <c r="D12" i="12"/>
  <c r="D17" i="12"/>
  <c r="D18" i="12"/>
  <c r="D6" i="12"/>
  <c r="BS12" i="12"/>
  <c r="BW12" i="12"/>
  <c r="BX12" i="12"/>
  <c r="BR12" i="12"/>
  <c r="BT13" i="12"/>
  <c r="BS22" i="12"/>
  <c r="BT21" i="12"/>
  <c r="BS20" i="12"/>
  <c r="BW20" i="12"/>
  <c r="BX20" i="12"/>
  <c r="BR20" i="12"/>
  <c r="BT20" i="12"/>
  <c r="H9" i="12"/>
  <c r="Z9" i="12"/>
  <c r="AA9" i="12"/>
  <c r="H6" i="12"/>
  <c r="H5" i="12"/>
  <c r="F16" i="12"/>
  <c r="H15" i="12"/>
  <c r="H10" i="12"/>
  <c r="F6" i="12"/>
  <c r="F5" i="12"/>
  <c r="H24" i="12"/>
  <c r="K21" i="12"/>
  <c r="K18" i="12"/>
  <c r="H14" i="12"/>
  <c r="F21" i="12"/>
  <c r="H20" i="12"/>
  <c r="H19" i="12"/>
  <c r="F14" i="12"/>
  <c r="F13" i="12"/>
  <c r="H8" i="12"/>
  <c r="F22" i="12"/>
  <c r="H21" i="12"/>
  <c r="K22" i="12"/>
  <c r="F20" i="12"/>
  <c r="F19" i="12"/>
  <c r="H18" i="12"/>
  <c r="H17" i="12"/>
  <c r="H12" i="12"/>
  <c r="H11" i="12"/>
  <c r="F8" i="12"/>
  <c r="H7" i="12"/>
  <c r="H23" i="12"/>
  <c r="H22" i="12"/>
  <c r="H13" i="12"/>
  <c r="F18" i="12"/>
  <c r="F17" i="12"/>
  <c r="F12" i="12"/>
  <c r="F11" i="12"/>
  <c r="K10" i="12"/>
  <c r="BT12" i="12"/>
  <c r="BT11" i="12"/>
  <c r="BV12" i="12"/>
  <c r="BS11" i="12"/>
  <c r="BW11" i="12"/>
  <c r="BT10" i="12"/>
  <c r="CC23" i="12"/>
  <c r="BS14" i="12"/>
  <c r="CC21" i="12"/>
  <c r="CG21" i="12"/>
  <c r="CH21" i="12"/>
  <c r="CB21" i="12"/>
  <c r="Z17" i="12"/>
  <c r="AA17" i="12"/>
  <c r="U17" i="12"/>
  <c r="W17" i="12"/>
  <c r="CD22" i="12"/>
  <c r="U18" i="3"/>
  <c r="J9" i="2"/>
  <c r="D12" i="2"/>
  <c r="K27" i="2"/>
  <c r="K28" i="2"/>
  <c r="K29" i="2"/>
  <c r="J27" i="2"/>
  <c r="J28" i="2"/>
  <c r="J29" i="2"/>
  <c r="J26" i="2"/>
  <c r="K58" i="3"/>
  <c r="L58" i="3"/>
  <c r="M58" i="3"/>
  <c r="N58" i="3"/>
  <c r="O58" i="3"/>
  <c r="D10" i="2"/>
  <c r="D11" i="2"/>
  <c r="R11" i="2" s="1"/>
  <c r="D13" i="2"/>
  <c r="D14" i="2"/>
  <c r="D15" i="2"/>
  <c r="D16" i="2"/>
  <c r="D17" i="2"/>
  <c r="S17" i="2" s="1"/>
  <c r="D18" i="2"/>
  <c r="S18" i="2" s="1"/>
  <c r="D19" i="2"/>
  <c r="S19" i="2" s="1"/>
  <c r="D20" i="2"/>
  <c r="D21" i="2"/>
  <c r="D22" i="2"/>
  <c r="D23" i="2"/>
  <c r="D24" i="2"/>
  <c r="D25" i="2"/>
  <c r="D26" i="2"/>
  <c r="D27" i="2"/>
  <c r="E27" i="2"/>
  <c r="D28" i="2"/>
  <c r="E28" i="2"/>
  <c r="D29" i="2"/>
  <c r="E29" i="2"/>
  <c r="BV20" i="12"/>
  <c r="D8" i="12"/>
  <c r="D21" i="12"/>
  <c r="D22" i="12"/>
  <c r="D14" i="12"/>
  <c r="D7" i="12"/>
  <c r="D23" i="12"/>
  <c r="D5" i="12"/>
  <c r="BW22" i="12"/>
  <c r="M4" i="12"/>
  <c r="M6" i="12"/>
  <c r="M12" i="12"/>
  <c r="M9" i="12"/>
  <c r="M15" i="12"/>
  <c r="M11" i="12"/>
  <c r="M5" i="12"/>
  <c r="M10" i="12"/>
  <c r="M16" i="12"/>
  <c r="M7" i="12"/>
  <c r="M17" i="12"/>
  <c r="M19" i="12"/>
  <c r="M23" i="12"/>
  <c r="M8" i="12"/>
  <c r="M13" i="12"/>
  <c r="M21" i="12"/>
  <c r="M24" i="12"/>
  <c r="M14" i="12"/>
  <c r="M22" i="12"/>
  <c r="M18" i="12"/>
  <c r="M20" i="12"/>
  <c r="K12" i="12"/>
  <c r="K5" i="12"/>
  <c r="K24" i="12"/>
  <c r="K9" i="12"/>
  <c r="K23" i="12"/>
  <c r="K20" i="12"/>
  <c r="K6" i="12"/>
  <c r="K11" i="12"/>
  <c r="K14" i="12"/>
  <c r="K8" i="12"/>
  <c r="K7" i="12"/>
  <c r="K15" i="12"/>
  <c r="K19" i="12"/>
  <c r="K4" i="12"/>
  <c r="K17" i="12"/>
  <c r="K13" i="12"/>
  <c r="K16" i="12"/>
  <c r="CF21" i="12"/>
  <c r="CD21" i="12"/>
  <c r="BW14" i="12"/>
  <c r="CG23" i="12"/>
  <c r="BR11" i="12"/>
  <c r="H29" i="2"/>
  <c r="I29" i="2"/>
  <c r="I27" i="2"/>
  <c r="M27" i="2"/>
  <c r="H27" i="2"/>
  <c r="L27" i="2"/>
  <c r="H28" i="2"/>
  <c r="I28" i="2"/>
  <c r="E11" i="2"/>
  <c r="E10" i="2"/>
  <c r="I10" i="2"/>
  <c r="U8" i="3"/>
  <c r="U9" i="3"/>
  <c r="U10" i="3"/>
  <c r="U11" i="3"/>
  <c r="U12" i="3"/>
  <c r="U13" i="3"/>
  <c r="U14" i="3"/>
  <c r="U15" i="3"/>
  <c r="U16" i="3"/>
  <c r="U17" i="3"/>
  <c r="U19" i="3"/>
  <c r="U20" i="3"/>
  <c r="U21" i="3"/>
  <c r="U22" i="3"/>
  <c r="U23" i="3"/>
  <c r="U24" i="3"/>
  <c r="U25" i="3"/>
  <c r="U26" i="3"/>
  <c r="U27" i="3"/>
  <c r="T9" i="3"/>
  <c r="T17" i="3"/>
  <c r="T26" i="3"/>
  <c r="T27" i="3"/>
  <c r="T7" i="3"/>
  <c r="L7" i="3" a="1"/>
  <c r="W25" i="3"/>
  <c r="Y12" i="7"/>
  <c r="AA13" i="7"/>
  <c r="Z13" i="7"/>
  <c r="Y13" i="7"/>
  <c r="E9" i="2"/>
  <c r="H9" i="2" s="1"/>
  <c r="Z23" i="6"/>
  <c r="T18" i="9"/>
  <c r="T12" i="9"/>
  <c r="T17" i="9"/>
  <c r="S17" i="9"/>
  <c r="T11" i="9"/>
  <c r="S11" i="9"/>
  <c r="O12" i="9"/>
  <c r="R11" i="9"/>
  <c r="Z15" i="7"/>
  <c r="AA15" i="7"/>
  <c r="AA13" i="6"/>
  <c r="Z13" i="6"/>
  <c r="AA23" i="6"/>
  <c r="AA23" i="7"/>
  <c r="Z23" i="7"/>
  <c r="Y13" i="6"/>
  <c r="Y23" i="6"/>
  <c r="Y23" i="7"/>
  <c r="AA12" i="7"/>
  <c r="Z12" i="7"/>
  <c r="W12" i="7"/>
  <c r="Y22" i="7"/>
  <c r="Q255" i="7"/>
  <c r="AA25" i="6"/>
  <c r="Z25" i="6"/>
  <c r="AA22" i="6"/>
  <c r="Z22" i="6"/>
  <c r="AA16" i="6"/>
  <c r="Z16" i="6"/>
  <c r="AA12" i="6"/>
  <c r="Z12" i="6"/>
  <c r="V12" i="6"/>
  <c r="W12" i="6"/>
  <c r="Y12" i="6"/>
  <c r="AA25" i="7"/>
  <c r="Z25" i="7"/>
  <c r="AA22" i="7"/>
  <c r="Z22" i="7"/>
  <c r="AA16" i="7"/>
  <c r="AC16" i="7"/>
  <c r="R12" i="9"/>
  <c r="E4" i="6"/>
  <c r="Z26" i="7"/>
  <c r="V17" i="7"/>
  <c r="Z17" i="7"/>
  <c r="Z14" i="6"/>
  <c r="AA14" i="6"/>
  <c r="I15" i="6"/>
  <c r="I17" i="6"/>
  <c r="I12" i="6"/>
  <c r="I11" i="6"/>
  <c r="I10" i="6"/>
  <c r="I21" i="6"/>
  <c r="I20" i="6"/>
  <c r="I19" i="6"/>
  <c r="I18" i="6"/>
  <c r="I16" i="6"/>
  <c r="Z15" i="6"/>
  <c r="AA15" i="6"/>
  <c r="I13" i="6"/>
  <c r="I14" i="6"/>
  <c r="I9" i="6"/>
  <c r="I8" i="6"/>
  <c r="I7" i="6"/>
  <c r="I6" i="6"/>
  <c r="I5" i="6"/>
  <c r="I4" i="6"/>
  <c r="Z24" i="7"/>
  <c r="AA24" i="7"/>
  <c r="U24" i="7"/>
  <c r="W24" i="7"/>
  <c r="E15" i="6"/>
  <c r="E17" i="6"/>
  <c r="E9" i="6"/>
  <c r="E8" i="6"/>
  <c r="E7" i="6"/>
  <c r="E21" i="6"/>
  <c r="E20" i="6"/>
  <c r="E19" i="6"/>
  <c r="E18" i="6"/>
  <c r="E16" i="6"/>
  <c r="E13" i="6"/>
  <c r="E14" i="6"/>
  <c r="E12" i="6"/>
  <c r="E11" i="6"/>
  <c r="E10" i="6"/>
  <c r="E6" i="6"/>
  <c r="E5" i="6"/>
  <c r="E12" i="2"/>
  <c r="H12" i="2"/>
  <c r="E13" i="2"/>
  <c r="H13" i="2"/>
  <c r="E14" i="2"/>
  <c r="I14" i="2"/>
  <c r="E15" i="2"/>
  <c r="I15" i="2"/>
  <c r="E16" i="2"/>
  <c r="H16" i="2"/>
  <c r="E17" i="2"/>
  <c r="I17" i="2" s="1"/>
  <c r="E18" i="2"/>
  <c r="H18" i="2" s="1"/>
  <c r="E19" i="2"/>
  <c r="I19" i="2" s="1"/>
  <c r="E21" i="2"/>
  <c r="H21" i="2"/>
  <c r="I21" i="2"/>
  <c r="E22" i="2"/>
  <c r="H22" i="2"/>
  <c r="E23" i="2"/>
  <c r="I23" i="2"/>
  <c r="E24" i="2"/>
  <c r="H24" i="2"/>
  <c r="E26" i="2"/>
  <c r="E25" i="2"/>
  <c r="H25" i="2"/>
  <c r="C14" i="1"/>
  <c r="H14" i="2"/>
  <c r="K23" i="1"/>
  <c r="M23" i="1"/>
  <c r="L23" i="1"/>
  <c r="H23" i="1"/>
  <c r="I23" i="1"/>
  <c r="K25" i="1"/>
  <c r="C18" i="1"/>
  <c r="M25" i="1"/>
  <c r="L25" i="1"/>
  <c r="H25" i="1"/>
  <c r="H26" i="1"/>
  <c r="L26" i="1"/>
  <c r="M10" i="1"/>
  <c r="L10" i="1"/>
  <c r="M13" i="1"/>
  <c r="L13" i="1"/>
  <c r="H13" i="1"/>
  <c r="H14" i="1"/>
  <c r="L14" i="1"/>
  <c r="K10" i="1"/>
  <c r="K13" i="1"/>
  <c r="I13" i="1"/>
  <c r="C9" i="1"/>
  <c r="C12" i="1"/>
  <c r="G30" i="1"/>
  <c r="H24" i="1"/>
  <c r="L24" i="1"/>
  <c r="M24" i="1"/>
  <c r="G24" i="1"/>
  <c r="I25" i="1"/>
  <c r="H12" i="1"/>
  <c r="L12" i="1"/>
  <c r="M12" i="1"/>
  <c r="G12" i="1"/>
  <c r="C13" i="1"/>
  <c r="G14" i="1"/>
  <c r="H10" i="1"/>
  <c r="H11" i="1"/>
  <c r="C11" i="1"/>
  <c r="C17" i="1"/>
  <c r="G26" i="1"/>
  <c r="G17" i="1"/>
  <c r="L11" i="1"/>
  <c r="I12" i="1"/>
  <c r="I11" i="1"/>
  <c r="G11" i="1"/>
  <c r="K12" i="1"/>
  <c r="I24" i="1"/>
  <c r="G29" i="1"/>
  <c r="K24" i="1"/>
  <c r="I10" i="1"/>
  <c r="G18" i="1"/>
  <c r="M11" i="1"/>
  <c r="J11" i="1"/>
  <c r="K11" i="1"/>
  <c r="I26" i="1"/>
  <c r="G28" i="1"/>
  <c r="K26" i="1"/>
  <c r="M26" i="1"/>
  <c r="J26" i="1"/>
  <c r="M14" i="1"/>
  <c r="K14" i="1"/>
  <c r="I14" i="1"/>
  <c r="G16" i="1"/>
  <c r="J14" i="1"/>
  <c r="Q22" i="6"/>
  <c r="Q23" i="6"/>
  <c r="Q24" i="6"/>
  <c r="Q14" i="6"/>
  <c r="Q5" i="6"/>
  <c r="Q10" i="6"/>
  <c r="Q18" i="6"/>
  <c r="Q12" i="6"/>
  <c r="Q15" i="6"/>
  <c r="Z24" i="6"/>
  <c r="AA24" i="6"/>
  <c r="U24" i="6"/>
  <c r="W24" i="6"/>
  <c r="Q13" i="6"/>
  <c r="Q9" i="6"/>
  <c r="Q7" i="6"/>
  <c r="Q11" i="6"/>
  <c r="Q8" i="6"/>
  <c r="Q17" i="6"/>
  <c r="Q19" i="6"/>
  <c r="Q6" i="6"/>
  <c r="Q20" i="6"/>
  <c r="Q21" i="6"/>
  <c r="Q16" i="6"/>
  <c r="Z26" i="6"/>
  <c r="Z16" i="7"/>
  <c r="AB16" i="7"/>
  <c r="O9" i="7"/>
  <c r="O14" i="7"/>
  <c r="O12" i="7"/>
  <c r="O22" i="7"/>
  <c r="O24" i="7"/>
  <c r="O23" i="7"/>
  <c r="O4" i="7"/>
  <c r="O17" i="7"/>
  <c r="O20" i="7"/>
  <c r="O18" i="7"/>
  <c r="O10" i="7"/>
  <c r="O7" i="7"/>
  <c r="O13" i="7"/>
  <c r="O19" i="7"/>
  <c r="O21" i="7"/>
  <c r="O6" i="7"/>
  <c r="O5" i="7"/>
  <c r="O16" i="7"/>
  <c r="O15" i="7"/>
  <c r="O8" i="7"/>
  <c r="O11" i="7"/>
  <c r="V14" i="7"/>
  <c r="Y15" i="7"/>
  <c r="BV11" i="12"/>
  <c r="BX11" i="12"/>
  <c r="BU11" i="12"/>
  <c r="S12" i="9"/>
  <c r="I9" i="2"/>
  <c r="H26" i="2"/>
  <c r="L26" i="2"/>
  <c r="I26" i="2"/>
  <c r="L21" i="2"/>
  <c r="I13" i="2"/>
  <c r="L8" i="6"/>
  <c r="H15" i="2"/>
  <c r="L16" i="6"/>
  <c r="L8" i="7"/>
  <c r="D10" i="6"/>
  <c r="D9" i="7"/>
  <c r="I16" i="2"/>
  <c r="L11" i="6"/>
  <c r="I25" i="2"/>
  <c r="L20" i="6"/>
  <c r="L21" i="6"/>
  <c r="D21" i="6"/>
  <c r="D21" i="7"/>
  <c r="D19" i="7"/>
  <c r="D19" i="6"/>
  <c r="D11" i="7"/>
  <c r="D11" i="6"/>
  <c r="L10" i="6"/>
  <c r="L10" i="7"/>
  <c r="D7" i="7"/>
  <c r="D7" i="6"/>
  <c r="M20" i="2"/>
  <c r="I24" i="2"/>
  <c r="I12" i="2"/>
  <c r="L16" i="7"/>
  <c r="I18" i="2"/>
  <c r="V8" i="3"/>
  <c r="V27" i="3"/>
  <c r="V26" i="3"/>
  <c r="W27" i="3"/>
  <c r="D8" i="7"/>
  <c r="D8" i="6"/>
  <c r="L18" i="6"/>
  <c r="L18" i="7"/>
  <c r="D17" i="7"/>
  <c r="D17" i="6"/>
  <c r="L5" i="6"/>
  <c r="L5" i="7"/>
  <c r="D20" i="7"/>
  <c r="D20" i="6"/>
  <c r="D16" i="7"/>
  <c r="D16" i="6"/>
  <c r="D15" i="7"/>
  <c r="D15" i="6"/>
  <c r="L9" i="7"/>
  <c r="L9" i="6"/>
  <c r="H19" i="2"/>
  <c r="H10" i="2"/>
  <c r="H17" i="2"/>
  <c r="D9" i="6"/>
  <c r="I11" i="2"/>
  <c r="D10" i="7"/>
  <c r="I22" i="2"/>
  <c r="H23" i="2"/>
  <c r="V25" i="3"/>
  <c r="W26" i="3"/>
  <c r="L7" i="3"/>
  <c r="N7" i="3"/>
  <c r="C16" i="2"/>
  <c r="C24" i="2"/>
  <c r="T8" i="3"/>
  <c r="C19" i="2"/>
  <c r="C29" i="2"/>
  <c r="C15" i="2"/>
  <c r="C17" i="2"/>
  <c r="C25" i="2"/>
  <c r="C20" i="2"/>
  <c r="C10" i="2"/>
  <c r="C18" i="2"/>
  <c r="C26" i="2"/>
  <c r="C11" i="2"/>
  <c r="C27" i="2"/>
  <c r="C28" i="2"/>
  <c r="C13" i="2"/>
  <c r="C21" i="2"/>
  <c r="C14" i="2"/>
  <c r="C22" i="2"/>
  <c r="C23" i="2"/>
  <c r="C12" i="2"/>
  <c r="T25" i="3"/>
  <c r="N27" i="3"/>
  <c r="T18" i="3"/>
  <c r="V20" i="3"/>
  <c r="W22" i="3"/>
  <c r="J24" i="2"/>
  <c r="L24" i="2"/>
  <c r="W16" i="3"/>
  <c r="J18" i="2"/>
  <c r="D19" i="9"/>
  <c r="W12" i="3"/>
  <c r="J14" i="2"/>
  <c r="D15" i="9"/>
  <c r="N26" i="3"/>
  <c r="T14" i="3"/>
  <c r="V19" i="3"/>
  <c r="E22" i="9"/>
  <c r="V11" i="3"/>
  <c r="E14" i="9"/>
  <c r="W19" i="3"/>
  <c r="J21" i="2"/>
  <c r="D22" i="9"/>
  <c r="W13" i="3"/>
  <c r="J15" i="2"/>
  <c r="D16" i="9"/>
  <c r="N16" i="3"/>
  <c r="N25" i="3"/>
  <c r="T13" i="3"/>
  <c r="V18" i="3"/>
  <c r="E21" i="9"/>
  <c r="V10" i="3"/>
  <c r="E13" i="9"/>
  <c r="W9" i="3"/>
  <c r="J11" i="2"/>
  <c r="D12" i="9"/>
  <c r="V21" i="3"/>
  <c r="E24" i="9"/>
  <c r="N17" i="3"/>
  <c r="W8" i="3"/>
  <c r="J10" i="2"/>
  <c r="W11" i="3"/>
  <c r="J13" i="2"/>
  <c r="D14" i="9"/>
  <c r="N9" i="3"/>
  <c r="T24" i="3"/>
  <c r="T12" i="3"/>
  <c r="V17" i="3"/>
  <c r="E20" i="9"/>
  <c r="K11" i="2"/>
  <c r="T23" i="3"/>
  <c r="T11" i="3"/>
  <c r="V24" i="3"/>
  <c r="K26" i="2"/>
  <c r="M26" i="2"/>
  <c r="V16" i="3"/>
  <c r="E19" i="9"/>
  <c r="K10" i="2"/>
  <c r="W14" i="3"/>
  <c r="J16" i="2"/>
  <c r="V12" i="3"/>
  <c r="N8" i="3"/>
  <c r="T22" i="3"/>
  <c r="V23" i="3"/>
  <c r="V15" i="3"/>
  <c r="K17" i="2"/>
  <c r="T20" i="3"/>
  <c r="V22" i="3"/>
  <c r="K24" i="2"/>
  <c r="V14" i="3"/>
  <c r="E17" i="9"/>
  <c r="T19" i="3"/>
  <c r="V13" i="3"/>
  <c r="E16" i="9"/>
  <c r="W17" i="3"/>
  <c r="J19" i="2"/>
  <c r="D20" i="9"/>
  <c r="W15" i="3"/>
  <c r="J17" i="2"/>
  <c r="D18" i="9"/>
  <c r="N24" i="3"/>
  <c r="N15" i="3"/>
  <c r="N22" i="3"/>
  <c r="N14" i="3"/>
  <c r="N21" i="3"/>
  <c r="N13" i="3"/>
  <c r="W18" i="3"/>
  <c r="J20" i="2"/>
  <c r="L20" i="2"/>
  <c r="W24" i="3"/>
  <c r="D27" i="9"/>
  <c r="N11" i="3"/>
  <c r="W21" i="3"/>
  <c r="J23" i="2"/>
  <c r="D24" i="9"/>
  <c r="N18" i="3"/>
  <c r="N10" i="3"/>
  <c r="W10" i="3"/>
  <c r="J12" i="2"/>
  <c r="D13" i="9"/>
  <c r="N19" i="3"/>
  <c r="W20" i="3"/>
  <c r="J22" i="2"/>
  <c r="D23" i="9"/>
  <c r="N20" i="3"/>
  <c r="N12" i="3"/>
  <c r="W23" i="3"/>
  <c r="J25" i="2"/>
  <c r="D26" i="9"/>
  <c r="N23" i="3"/>
  <c r="I24" i="7"/>
  <c r="I22" i="7"/>
  <c r="I23" i="7"/>
  <c r="I21" i="7"/>
  <c r="I20" i="7"/>
  <c r="I6" i="7"/>
  <c r="I18" i="7"/>
  <c r="I4" i="7"/>
  <c r="I15" i="7"/>
  <c r="I16" i="7"/>
  <c r="Z14" i="7"/>
  <c r="I14" i="7"/>
  <c r="I17" i="7"/>
  <c r="I12" i="7"/>
  <c r="I11" i="7"/>
  <c r="I7" i="7"/>
  <c r="I5" i="7"/>
  <c r="I10" i="7"/>
  <c r="I8" i="7"/>
  <c r="I9" i="7"/>
  <c r="I19" i="7"/>
  <c r="I13" i="7"/>
  <c r="W14" i="7"/>
  <c r="L4" i="7"/>
  <c r="M24" i="2"/>
  <c r="L25" i="2"/>
  <c r="L23" i="2"/>
  <c r="L4" i="6"/>
  <c r="L13" i="7"/>
  <c r="L15" i="7"/>
  <c r="L20" i="7"/>
  <c r="M25" i="2"/>
  <c r="L11" i="7"/>
  <c r="L15" i="6"/>
  <c r="L21" i="7"/>
  <c r="K20" i="2"/>
  <c r="L13" i="6"/>
  <c r="L7" i="7"/>
  <c r="L7" i="6"/>
  <c r="L19" i="7"/>
  <c r="L19" i="6"/>
  <c r="D18" i="6"/>
  <c r="D18" i="7"/>
  <c r="L17" i="7"/>
  <c r="L17" i="6"/>
  <c r="D12" i="7"/>
  <c r="D12" i="6"/>
  <c r="D5" i="7"/>
  <c r="D5" i="6"/>
  <c r="D14" i="7"/>
  <c r="D14" i="6"/>
  <c r="L6" i="6"/>
  <c r="L6" i="7"/>
  <c r="D10" i="9"/>
  <c r="C9" i="2"/>
  <c r="V7" i="3"/>
  <c r="K21" i="2"/>
  <c r="M21" i="2"/>
  <c r="D17" i="9"/>
  <c r="D25" i="9"/>
  <c r="D11" i="9"/>
  <c r="K13" i="2"/>
  <c r="M13" i="2"/>
  <c r="E18" i="9"/>
  <c r="E12" i="9"/>
  <c r="E11" i="9"/>
  <c r="E25" i="9"/>
  <c r="K23" i="2"/>
  <c r="M23" i="2"/>
  <c r="K15" i="2"/>
  <c r="M15" i="2"/>
  <c r="K12" i="2"/>
  <c r="M12" i="2"/>
  <c r="D21" i="9"/>
  <c r="K18" i="2"/>
  <c r="E27" i="9"/>
  <c r="K19" i="2"/>
  <c r="E26" i="9"/>
  <c r="K25" i="2"/>
  <c r="E23" i="9"/>
  <c r="K22" i="2"/>
  <c r="M22" i="2"/>
  <c r="E15" i="9"/>
  <c r="K14" i="2"/>
  <c r="M14" i="2"/>
  <c r="K16" i="2"/>
  <c r="M16" i="2"/>
  <c r="K9" i="2"/>
  <c r="V28" i="3"/>
  <c r="O23" i="6"/>
  <c r="O24" i="6"/>
  <c r="O22" i="6"/>
  <c r="O13" i="6"/>
  <c r="O11" i="6"/>
  <c r="O14" i="6"/>
  <c r="O9" i="6"/>
  <c r="O7" i="6"/>
  <c r="O6" i="6"/>
  <c r="O15" i="6"/>
  <c r="O12" i="6"/>
  <c r="O21" i="6"/>
  <c r="O17" i="6"/>
  <c r="O19" i="6"/>
  <c r="O10" i="6"/>
  <c r="O8" i="6"/>
  <c r="O18" i="6"/>
  <c r="O16" i="6"/>
  <c r="O5" i="6"/>
  <c r="O4" i="6"/>
  <c r="O20" i="6"/>
  <c r="E22" i="7"/>
  <c r="E23" i="7"/>
  <c r="E24" i="7"/>
  <c r="E19" i="7"/>
  <c r="E10" i="7"/>
  <c r="E11" i="7"/>
  <c r="E17" i="7"/>
  <c r="E6" i="7"/>
  <c r="E13" i="7"/>
  <c r="E15" i="7"/>
  <c r="E5" i="7"/>
  <c r="E14" i="7"/>
  <c r="E4" i="7"/>
  <c r="E8" i="7"/>
  <c r="E7" i="7"/>
  <c r="E21" i="7"/>
  <c r="E16" i="7"/>
  <c r="E20" i="7"/>
  <c r="E12" i="7"/>
  <c r="E18" i="7"/>
  <c r="E9" i="7"/>
  <c r="E10" i="9"/>
  <c r="Y14" i="7"/>
  <c r="AA14" i="7"/>
  <c r="X14" i="7"/>
  <c r="G24" i="6"/>
  <c r="G23" i="6"/>
  <c r="G22" i="6"/>
  <c r="G7" i="6"/>
  <c r="G9" i="6"/>
  <c r="G10" i="6"/>
  <c r="G16" i="6"/>
  <c r="G6" i="6"/>
  <c r="G14" i="6"/>
  <c r="G12" i="6"/>
  <c r="G8" i="6"/>
  <c r="G17" i="6"/>
  <c r="G11" i="6"/>
  <c r="G15" i="6"/>
  <c r="G5" i="6"/>
  <c r="G19" i="6"/>
  <c r="G18" i="6"/>
  <c r="G21" i="6"/>
  <c r="G20" i="6"/>
  <c r="G13" i="6"/>
  <c r="M18" i="6"/>
  <c r="M22" i="6"/>
  <c r="M24" i="6"/>
  <c r="M23" i="6"/>
  <c r="M21" i="7"/>
  <c r="M22" i="7"/>
  <c r="M23" i="7"/>
  <c r="M24" i="7"/>
  <c r="G21" i="7"/>
  <c r="G24" i="7"/>
  <c r="G22" i="7"/>
  <c r="G23" i="7"/>
  <c r="G17" i="7"/>
  <c r="G12" i="7"/>
  <c r="G18" i="7"/>
  <c r="G10" i="7"/>
  <c r="G4" i="7"/>
  <c r="G16" i="7"/>
  <c r="G15" i="7"/>
  <c r="G9" i="7"/>
  <c r="G6" i="7"/>
  <c r="G14" i="7"/>
  <c r="G13" i="7"/>
  <c r="G19" i="7"/>
  <c r="G20" i="7"/>
  <c r="G11" i="7"/>
  <c r="M13" i="7"/>
  <c r="G7" i="7"/>
  <c r="G8" i="7"/>
  <c r="M7" i="7"/>
  <c r="G5" i="7"/>
  <c r="M18" i="7"/>
  <c r="M14" i="7"/>
  <c r="M6" i="7"/>
  <c r="M15" i="7"/>
  <c r="M16" i="7"/>
  <c r="M11" i="7"/>
  <c r="M19" i="7"/>
  <c r="M20" i="7"/>
  <c r="M10" i="7"/>
  <c r="M8" i="7"/>
  <c r="M17" i="7"/>
  <c r="M5" i="7"/>
  <c r="M4" i="7"/>
  <c r="M12" i="7"/>
  <c r="M9" i="7"/>
  <c r="M8" i="6"/>
  <c r="M13" i="6"/>
  <c r="M6" i="6"/>
  <c r="M17" i="6"/>
  <c r="M10" i="6"/>
  <c r="M11" i="6"/>
  <c r="M21" i="6"/>
  <c r="M5" i="6"/>
  <c r="M14" i="6"/>
  <c r="M7" i="6"/>
  <c r="M15" i="6"/>
  <c r="M9" i="6"/>
  <c r="M20" i="6"/>
  <c r="M12" i="6"/>
  <c r="M4" i="6"/>
  <c r="M16" i="6"/>
  <c r="M19" i="6"/>
  <c r="F21" i="5"/>
  <c r="D7" i="8"/>
  <c r="F19" i="5"/>
  <c r="F8" i="5"/>
  <c r="F13" i="5"/>
  <c r="F16" i="5"/>
  <c r="F14" i="5"/>
  <c r="F12" i="5"/>
  <c r="F10" i="5"/>
  <c r="F9" i="5"/>
  <c r="F15" i="5"/>
  <c r="F22" i="5"/>
  <c r="F11" i="5"/>
  <c r="F7" i="5"/>
  <c r="F20" i="5"/>
  <c r="F5" i="5"/>
  <c r="F17" i="5"/>
  <c r="F6" i="5"/>
  <c r="F18" i="5"/>
  <c r="M30" i="2" l="1"/>
  <c r="O4" i="2"/>
  <c r="L30" i="2"/>
  <c r="S18" i="9"/>
  <c r="O3" i="2"/>
  <c r="O22" i="2"/>
  <c r="O19" i="2"/>
  <c r="Q19" i="2" s="1"/>
  <c r="O10" i="2"/>
  <c r="O16" i="2"/>
  <c r="U19" i="12"/>
  <c r="AA19" i="12" s="1"/>
  <c r="O9" i="2"/>
  <c r="O11" i="2"/>
  <c r="U26" i="7"/>
  <c r="AA26" i="7" s="1"/>
  <c r="O26" i="2"/>
  <c r="O12" i="2"/>
  <c r="O18" i="2"/>
  <c r="U26" i="6"/>
  <c r="AA26" i="6" s="1"/>
  <c r="O28" i="2"/>
  <c r="CB23" i="12"/>
  <c r="O17" i="2"/>
  <c r="Q17" i="2" s="1"/>
  <c r="O14" i="2"/>
  <c r="M15" i="5"/>
  <c r="O20" i="2"/>
  <c r="O23" i="2"/>
  <c r="BR22" i="12"/>
  <c r="O21" i="2"/>
  <c r="Q21" i="2" s="1"/>
  <c r="O15" i="2"/>
  <c r="O13" i="2"/>
  <c r="O24" i="2"/>
  <c r="O29" i="2"/>
  <c r="O25" i="2"/>
  <c r="O27" i="2"/>
  <c r="D13" i="6"/>
  <c r="D13" i="7"/>
  <c r="L14" i="6"/>
  <c r="L14" i="7"/>
  <c r="L12" i="7"/>
  <c r="L25" i="7" s="1"/>
  <c r="L12" i="6"/>
  <c r="I30" i="2"/>
  <c r="O22" i="9" s="1"/>
  <c r="L25" i="6"/>
  <c r="S30" i="2"/>
  <c r="D4" i="7"/>
  <c r="D25" i="7" s="1"/>
  <c r="D220" i="9" s="1"/>
  <c r="H30" i="2"/>
  <c r="O21" i="9" s="1"/>
  <c r="D4" i="6"/>
  <c r="R19" i="2"/>
  <c r="R17" i="2"/>
  <c r="R30" i="2" s="1"/>
  <c r="D6" i="6"/>
  <c r="N19" i="2"/>
  <c r="N12" i="2"/>
  <c r="N18" i="2"/>
  <c r="N29" i="2"/>
  <c r="N13" i="2"/>
  <c r="N23" i="2"/>
  <c r="N11" i="2"/>
  <c r="N28" i="2"/>
  <c r="N20" i="2"/>
  <c r="N22" i="2"/>
  <c r="P22" i="2" s="1"/>
  <c r="U17" i="7"/>
  <c r="N16" i="2"/>
  <c r="N25" i="2"/>
  <c r="N17" i="2"/>
  <c r="N14" i="2"/>
  <c r="BR14" i="12"/>
  <c r="N26" i="2"/>
  <c r="N9" i="2"/>
  <c r="N21" i="2"/>
  <c r="N27" i="2"/>
  <c r="N24" i="2"/>
  <c r="D4" i="8"/>
  <c r="D221" i="9" l="1"/>
  <c r="C19" i="5"/>
  <c r="J18" i="12"/>
  <c r="J39" i="12" s="1"/>
  <c r="K18" i="6"/>
  <c r="K18" i="7"/>
  <c r="C7" i="5"/>
  <c r="Q11" i="2"/>
  <c r="K6" i="7"/>
  <c r="J6" i="12"/>
  <c r="K6" i="6"/>
  <c r="J4" i="12"/>
  <c r="K4" i="6"/>
  <c r="C5" i="5"/>
  <c r="K4" i="7"/>
  <c r="R4" i="7" s="1"/>
  <c r="Q9" i="2"/>
  <c r="O30" i="2"/>
  <c r="O6" i="2"/>
  <c r="S32" i="2" s="1"/>
  <c r="C17" i="5"/>
  <c r="K16" i="7"/>
  <c r="K16" i="6"/>
  <c r="J16" i="12"/>
  <c r="J37" i="12" s="1"/>
  <c r="C16" i="5"/>
  <c r="K15" i="6"/>
  <c r="K15" i="7"/>
  <c r="Q20" i="2"/>
  <c r="O15" i="5"/>
  <c r="S15" i="5"/>
  <c r="P15" i="5" s="1"/>
  <c r="C10" i="5"/>
  <c r="J9" i="12"/>
  <c r="J30" i="12" s="1"/>
  <c r="K9" i="7"/>
  <c r="K9" i="6"/>
  <c r="Q14" i="2"/>
  <c r="Q16" i="2"/>
  <c r="C12" i="5"/>
  <c r="J11" i="12"/>
  <c r="J32" i="12" s="1"/>
  <c r="K11" i="6"/>
  <c r="K11" i="7"/>
  <c r="J21" i="12"/>
  <c r="K21" i="7"/>
  <c r="K21" i="6"/>
  <c r="Q26" i="2"/>
  <c r="C22" i="5"/>
  <c r="BX22" i="12"/>
  <c r="BU22" i="12" s="1"/>
  <c r="BT22" i="12"/>
  <c r="BV22" i="12"/>
  <c r="K22" i="7"/>
  <c r="C23" i="5"/>
  <c r="Q27" i="2"/>
  <c r="K22" i="6"/>
  <c r="J22" i="12"/>
  <c r="K12" i="6"/>
  <c r="J12" i="12"/>
  <c r="J33" i="12" s="1"/>
  <c r="C13" i="5"/>
  <c r="K12" i="7"/>
  <c r="J5" i="12"/>
  <c r="K5" i="7"/>
  <c r="Q10" i="2"/>
  <c r="C6" i="5"/>
  <c r="K5" i="6"/>
  <c r="K20" i="6"/>
  <c r="J20" i="12"/>
  <c r="C21" i="5"/>
  <c r="K20" i="7"/>
  <c r="Q25" i="2"/>
  <c r="CF23" i="12"/>
  <c r="CD23" i="12"/>
  <c r="CH23" i="12"/>
  <c r="CE23" i="12" s="1"/>
  <c r="J24" i="12"/>
  <c r="K24" i="7"/>
  <c r="K24" i="6"/>
  <c r="C25" i="5"/>
  <c r="Q29" i="2"/>
  <c r="K23" i="6"/>
  <c r="Q28" i="2"/>
  <c r="C24" i="5"/>
  <c r="J23" i="12"/>
  <c r="K23" i="7"/>
  <c r="K14" i="7"/>
  <c r="C15" i="5"/>
  <c r="K14" i="6"/>
  <c r="J14" i="12"/>
  <c r="K19" i="7"/>
  <c r="Q24" i="2"/>
  <c r="J19" i="12"/>
  <c r="C20" i="5"/>
  <c r="K19" i="6"/>
  <c r="J17" i="12"/>
  <c r="J38" i="12" s="1"/>
  <c r="K17" i="7"/>
  <c r="C18" i="5"/>
  <c r="Q22" i="2"/>
  <c r="K17" i="6"/>
  <c r="K13" i="7"/>
  <c r="C14" i="5"/>
  <c r="J13" i="12"/>
  <c r="J34" i="12" s="1"/>
  <c r="Q18" i="2"/>
  <c r="K13" i="6"/>
  <c r="C9" i="5"/>
  <c r="K8" i="7"/>
  <c r="J8" i="12"/>
  <c r="Q13" i="2"/>
  <c r="K8" i="6"/>
  <c r="K10" i="6"/>
  <c r="C11" i="5"/>
  <c r="J10" i="12"/>
  <c r="J31" i="12" s="1"/>
  <c r="Q15" i="2"/>
  <c r="K10" i="7"/>
  <c r="C8" i="5"/>
  <c r="K7" i="7"/>
  <c r="J7" i="12"/>
  <c r="K7" i="6"/>
  <c r="Q12" i="2"/>
  <c r="N10" i="2"/>
  <c r="N15" i="2"/>
  <c r="D25" i="6"/>
  <c r="C15" i="7"/>
  <c r="C15" i="6"/>
  <c r="C15" i="12"/>
  <c r="P20" i="2"/>
  <c r="P28" i="2"/>
  <c r="C23" i="12"/>
  <c r="C23" i="6"/>
  <c r="C23" i="7"/>
  <c r="C6" i="7"/>
  <c r="C6" i="12"/>
  <c r="P11" i="2"/>
  <c r="C6" i="6"/>
  <c r="C8" i="7"/>
  <c r="C8" i="12"/>
  <c r="C8" i="6"/>
  <c r="P13" i="2"/>
  <c r="P21" i="2"/>
  <c r="C16" i="7"/>
  <c r="C16" i="6"/>
  <c r="C16" i="12"/>
  <c r="C13" i="12"/>
  <c r="C13" i="6"/>
  <c r="C13" i="7"/>
  <c r="P18" i="2"/>
  <c r="C12" i="12"/>
  <c r="C12" i="7"/>
  <c r="P17" i="2"/>
  <c r="C12" i="6"/>
  <c r="Y17" i="7"/>
  <c r="AA17" i="7"/>
  <c r="S4" i="2"/>
  <c r="C17" i="6"/>
  <c r="C17" i="7"/>
  <c r="C17" i="12"/>
  <c r="C18" i="7"/>
  <c r="C18" i="12"/>
  <c r="C18" i="6"/>
  <c r="P24" i="2"/>
  <c r="C19" i="12"/>
  <c r="C19" i="6"/>
  <c r="C19" i="7"/>
  <c r="C22" i="6"/>
  <c r="C22" i="12"/>
  <c r="C22" i="7"/>
  <c r="P27" i="2"/>
  <c r="C24" i="12"/>
  <c r="C24" i="6"/>
  <c r="P29" i="2"/>
  <c r="C24" i="7"/>
  <c r="C4" i="6"/>
  <c r="P9" i="2"/>
  <c r="C4" i="12"/>
  <c r="G4" i="12" s="1"/>
  <c r="C4" i="7"/>
  <c r="C21" i="12"/>
  <c r="C21" i="7"/>
  <c r="P26" i="2"/>
  <c r="C21" i="6"/>
  <c r="P12" i="2"/>
  <c r="C7" i="6"/>
  <c r="C7" i="7"/>
  <c r="C7" i="12"/>
  <c r="BV14" i="12"/>
  <c r="BX14" i="12"/>
  <c r="BU14" i="12" s="1"/>
  <c r="BT14" i="12"/>
  <c r="P19" i="2"/>
  <c r="C14" i="12"/>
  <c r="C14" i="7"/>
  <c r="C14" i="6"/>
  <c r="C9" i="7"/>
  <c r="C9" i="6"/>
  <c r="P14" i="2"/>
  <c r="C9" i="12"/>
  <c r="P25" i="2"/>
  <c r="C20" i="12"/>
  <c r="C20" i="7"/>
  <c r="C20" i="6"/>
  <c r="C11" i="7"/>
  <c r="C11" i="6"/>
  <c r="P16" i="2"/>
  <c r="C11" i="12"/>
  <c r="S3" i="2" l="1"/>
  <c r="CD20" i="12" s="1"/>
  <c r="N4" i="5"/>
  <c r="M5" i="5"/>
  <c r="N12" i="5" s="1"/>
  <c r="H7" i="5" s="1"/>
  <c r="I7" i="5" s="1"/>
  <c r="CC20" i="12"/>
  <c r="CG20" i="12" s="1"/>
  <c r="M12" i="5"/>
  <c r="S12" i="5" s="1"/>
  <c r="P10" i="2"/>
  <c r="C5" i="12"/>
  <c r="C25" i="12" s="1"/>
  <c r="C5" i="6"/>
  <c r="C5" i="7"/>
  <c r="R10" i="6"/>
  <c r="P10" i="6"/>
  <c r="N10" i="6"/>
  <c r="N30" i="2"/>
  <c r="R8" i="6"/>
  <c r="P8" i="6"/>
  <c r="N8" i="6"/>
  <c r="N19" i="12"/>
  <c r="P19" i="12"/>
  <c r="L19" i="12"/>
  <c r="P22" i="7"/>
  <c r="N22" i="7"/>
  <c r="R22" i="7"/>
  <c r="P11" i="7"/>
  <c r="N11" i="7"/>
  <c r="R11" i="7"/>
  <c r="R16" i="7"/>
  <c r="P16" i="7"/>
  <c r="N16" i="7"/>
  <c r="P6" i="12"/>
  <c r="L6" i="12"/>
  <c r="N6" i="12"/>
  <c r="P7" i="6"/>
  <c r="R7" i="6"/>
  <c r="N7" i="6"/>
  <c r="G14" i="5"/>
  <c r="N23" i="6"/>
  <c r="R23" i="6"/>
  <c r="P23" i="6"/>
  <c r="R5" i="7"/>
  <c r="P5" i="7"/>
  <c r="N5" i="7"/>
  <c r="P11" i="6"/>
  <c r="R11" i="6"/>
  <c r="N11" i="6"/>
  <c r="D25" i="5"/>
  <c r="E25" i="5" s="1"/>
  <c r="D7" i="5"/>
  <c r="D23" i="5"/>
  <c r="E23" i="5" s="1"/>
  <c r="D14" i="5"/>
  <c r="E14" i="5" s="1"/>
  <c r="D21" i="5"/>
  <c r="D22" i="5"/>
  <c r="E22" i="5" s="1"/>
  <c r="D12" i="5"/>
  <c r="E12" i="5" s="1"/>
  <c r="D13" i="5"/>
  <c r="E13" i="5" s="1"/>
  <c r="D10" i="5"/>
  <c r="E10" i="5" s="1"/>
  <c r="D16" i="5"/>
  <c r="E16" i="5" s="1"/>
  <c r="D18" i="5"/>
  <c r="E18" i="5" s="1"/>
  <c r="D17" i="5"/>
  <c r="E17" i="5" s="1"/>
  <c r="D11" i="5"/>
  <c r="E11" i="5" s="1"/>
  <c r="D19" i="5"/>
  <c r="E19" i="5" s="1"/>
  <c r="D9" i="5"/>
  <c r="E9" i="5" s="1"/>
  <c r="D8" i="5"/>
  <c r="E8" i="5" s="1"/>
  <c r="D15" i="5"/>
  <c r="D6" i="5"/>
  <c r="E6" i="5" s="1"/>
  <c r="D20" i="5"/>
  <c r="E20" i="5" s="1"/>
  <c r="D5" i="5"/>
  <c r="E5" i="5" s="1"/>
  <c r="D24" i="5"/>
  <c r="G17" i="5"/>
  <c r="N6" i="7"/>
  <c r="R6" i="7"/>
  <c r="P6" i="7"/>
  <c r="L13" i="12"/>
  <c r="N13" i="12"/>
  <c r="P13" i="12"/>
  <c r="G20" i="5"/>
  <c r="G23" i="5"/>
  <c r="L21" i="12"/>
  <c r="P21" i="12"/>
  <c r="N21" i="12"/>
  <c r="G10" i="5"/>
  <c r="P6" i="6"/>
  <c r="N6" i="6"/>
  <c r="R6" i="6"/>
  <c r="L7" i="12"/>
  <c r="P7" i="12"/>
  <c r="N7" i="12"/>
  <c r="R13" i="7"/>
  <c r="P13" i="7"/>
  <c r="N13" i="7"/>
  <c r="R19" i="7"/>
  <c r="P19" i="7"/>
  <c r="N19" i="7"/>
  <c r="N5" i="12"/>
  <c r="P5" i="12"/>
  <c r="L5" i="12"/>
  <c r="N11" i="12"/>
  <c r="L11" i="12"/>
  <c r="P11" i="12"/>
  <c r="P8" i="12"/>
  <c r="L8" i="12"/>
  <c r="N8" i="12"/>
  <c r="N14" i="12"/>
  <c r="P14" i="12"/>
  <c r="L14" i="12"/>
  <c r="G25" i="5"/>
  <c r="G12" i="5"/>
  <c r="P15" i="12"/>
  <c r="L15" i="12"/>
  <c r="N15" i="12"/>
  <c r="G7" i="5"/>
  <c r="E7" i="5"/>
  <c r="P15" i="2"/>
  <c r="P31" i="2" s="1"/>
  <c r="C10" i="7"/>
  <c r="C10" i="6"/>
  <c r="C10" i="12"/>
  <c r="N7" i="7"/>
  <c r="R7" i="7"/>
  <c r="P7" i="7"/>
  <c r="R14" i="6"/>
  <c r="N14" i="6"/>
  <c r="P14" i="6"/>
  <c r="P20" i="7"/>
  <c r="R20" i="7"/>
  <c r="N20" i="7"/>
  <c r="O5" i="2"/>
  <c r="R32" i="2" s="1"/>
  <c r="G9" i="5"/>
  <c r="G21" i="5"/>
  <c r="E21" i="5"/>
  <c r="N15" i="7"/>
  <c r="P15" i="7"/>
  <c r="R15" i="7"/>
  <c r="G18" i="5"/>
  <c r="G15" i="5"/>
  <c r="E15" i="5"/>
  <c r="P24" i="7"/>
  <c r="R24" i="7"/>
  <c r="N24" i="7"/>
  <c r="P20" i="12"/>
  <c r="N20" i="12"/>
  <c r="L20" i="12"/>
  <c r="P12" i="12"/>
  <c r="L12" i="12"/>
  <c r="N12" i="12"/>
  <c r="G22" i="5"/>
  <c r="N15" i="6"/>
  <c r="R15" i="6"/>
  <c r="P15" i="6"/>
  <c r="Q31" i="2"/>
  <c r="P18" i="7"/>
  <c r="R18" i="7"/>
  <c r="N18" i="7"/>
  <c r="G11" i="5"/>
  <c r="R8" i="7"/>
  <c r="N8" i="7"/>
  <c r="P8" i="7"/>
  <c r="P17" i="6"/>
  <c r="N17" i="6"/>
  <c r="R17" i="6"/>
  <c r="P12" i="7"/>
  <c r="N12" i="7"/>
  <c r="R12" i="7"/>
  <c r="G8" i="5"/>
  <c r="R24" i="6"/>
  <c r="P24" i="6"/>
  <c r="N24" i="6"/>
  <c r="G13" i="5"/>
  <c r="P10" i="7"/>
  <c r="N10" i="7"/>
  <c r="R10" i="7"/>
  <c r="R17" i="7"/>
  <c r="P17" i="7"/>
  <c r="N17" i="7"/>
  <c r="R14" i="7"/>
  <c r="P14" i="7"/>
  <c r="N14" i="7"/>
  <c r="L24" i="12"/>
  <c r="P24" i="12"/>
  <c r="N24" i="12"/>
  <c r="N20" i="6"/>
  <c r="R20" i="6"/>
  <c r="P20" i="6"/>
  <c r="N12" i="6"/>
  <c r="R12" i="6"/>
  <c r="P12" i="6"/>
  <c r="G16" i="5"/>
  <c r="N4" i="7"/>
  <c r="P4" i="7"/>
  <c r="K25" i="7"/>
  <c r="K26" i="7" s="1"/>
  <c r="C36" i="7" s="1"/>
  <c r="P18" i="6"/>
  <c r="R18" i="6"/>
  <c r="N18" i="6"/>
  <c r="P17" i="12"/>
  <c r="N17" i="12"/>
  <c r="L17" i="12"/>
  <c r="P23" i="7"/>
  <c r="R23" i="7"/>
  <c r="N23" i="7"/>
  <c r="N22" i="12"/>
  <c r="P22" i="12"/>
  <c r="L22" i="12"/>
  <c r="N21" i="6"/>
  <c r="P21" i="6"/>
  <c r="R21" i="6"/>
  <c r="P9" i="6"/>
  <c r="N9" i="6"/>
  <c r="R9" i="6"/>
  <c r="C26" i="5"/>
  <c r="C27" i="5" s="1"/>
  <c r="G5" i="5"/>
  <c r="N18" i="12"/>
  <c r="L18" i="12"/>
  <c r="P18" i="12"/>
  <c r="P10" i="12"/>
  <c r="N10" i="12"/>
  <c r="L10" i="12"/>
  <c r="N13" i="6"/>
  <c r="P13" i="6"/>
  <c r="R13" i="6"/>
  <c r="R19" i="6"/>
  <c r="P19" i="6"/>
  <c r="N19" i="6"/>
  <c r="N23" i="12"/>
  <c r="P23" i="12"/>
  <c r="L23" i="12"/>
  <c r="N5" i="6"/>
  <c r="P5" i="6"/>
  <c r="R5" i="6"/>
  <c r="R22" i="6"/>
  <c r="P22" i="6"/>
  <c r="N22" i="6"/>
  <c r="N21" i="7"/>
  <c r="R21" i="7"/>
  <c r="P21" i="7"/>
  <c r="R9" i="7"/>
  <c r="N9" i="7"/>
  <c r="P9" i="7"/>
  <c r="L16" i="12"/>
  <c r="P16" i="12"/>
  <c r="N16" i="12"/>
  <c r="R4" i="6"/>
  <c r="P4" i="6"/>
  <c r="N4" i="6"/>
  <c r="K25" i="6"/>
  <c r="G19" i="5"/>
  <c r="G24" i="5"/>
  <c r="E24" i="5"/>
  <c r="G6" i="5"/>
  <c r="L9" i="12"/>
  <c r="P9" i="12"/>
  <c r="N9" i="12"/>
  <c r="R16" i="6"/>
  <c r="N16" i="6"/>
  <c r="P16" i="6"/>
  <c r="P4" i="12"/>
  <c r="L4" i="12"/>
  <c r="N4" i="12"/>
  <c r="J25" i="12"/>
  <c r="J7" i="7"/>
  <c r="H7" i="7"/>
  <c r="F7" i="7"/>
  <c r="I9" i="12"/>
  <c r="G9" i="12"/>
  <c r="E9" i="12"/>
  <c r="H9" i="6"/>
  <c r="J9" i="6"/>
  <c r="F9" i="6"/>
  <c r="G21" i="12"/>
  <c r="I21" i="12"/>
  <c r="E21" i="12"/>
  <c r="J17" i="6"/>
  <c r="H17" i="6"/>
  <c r="F17" i="6"/>
  <c r="J4" i="7"/>
  <c r="H4" i="7"/>
  <c r="F4" i="7"/>
  <c r="H8" i="7"/>
  <c r="F8" i="7"/>
  <c r="J8" i="7"/>
  <c r="G12" i="12"/>
  <c r="I12" i="12"/>
  <c r="E12" i="12"/>
  <c r="J6" i="6"/>
  <c r="H6" i="6"/>
  <c r="F6" i="6"/>
  <c r="F21" i="6"/>
  <c r="J21" i="6"/>
  <c r="H21" i="6"/>
  <c r="J21" i="7"/>
  <c r="H21" i="7"/>
  <c r="F21" i="7"/>
  <c r="J22" i="7"/>
  <c r="F22" i="7"/>
  <c r="H22" i="7"/>
  <c r="J6" i="7"/>
  <c r="F6" i="7"/>
  <c r="H6" i="7"/>
  <c r="I22" i="12"/>
  <c r="G22" i="12"/>
  <c r="E22" i="12"/>
  <c r="J13" i="7"/>
  <c r="H13" i="7"/>
  <c r="F13" i="7"/>
  <c r="F23" i="7"/>
  <c r="J23" i="7"/>
  <c r="H23" i="7"/>
  <c r="J9" i="7"/>
  <c r="F9" i="7"/>
  <c r="H9" i="7"/>
  <c r="H13" i="6"/>
  <c r="F13" i="6"/>
  <c r="J13" i="6"/>
  <c r="J14" i="6"/>
  <c r="F14" i="6"/>
  <c r="H14" i="6"/>
  <c r="G13" i="12"/>
  <c r="I13" i="12"/>
  <c r="E13" i="12"/>
  <c r="I11" i="12"/>
  <c r="G11" i="12"/>
  <c r="E11" i="12"/>
  <c r="I4" i="12"/>
  <c r="E4" i="12"/>
  <c r="G19" i="12"/>
  <c r="I19" i="12"/>
  <c r="E19" i="12"/>
  <c r="H11" i="6"/>
  <c r="F11" i="6"/>
  <c r="J11" i="6"/>
  <c r="H4" i="6"/>
  <c r="J4" i="6"/>
  <c r="F4" i="6"/>
  <c r="J16" i="7"/>
  <c r="F16" i="7"/>
  <c r="H16" i="7"/>
  <c r="J11" i="7"/>
  <c r="H11" i="7"/>
  <c r="F11" i="7"/>
  <c r="H18" i="6"/>
  <c r="J18" i="6"/>
  <c r="F18" i="6"/>
  <c r="J15" i="6"/>
  <c r="F15" i="6"/>
  <c r="H15" i="6"/>
  <c r="H20" i="6"/>
  <c r="F20" i="6"/>
  <c r="J20" i="6"/>
  <c r="J18" i="7"/>
  <c r="F18" i="7"/>
  <c r="H18" i="7"/>
  <c r="J12" i="6"/>
  <c r="H12" i="6"/>
  <c r="F12" i="6"/>
  <c r="F8" i="6"/>
  <c r="J8" i="6"/>
  <c r="H8" i="6"/>
  <c r="I24" i="12"/>
  <c r="E24" i="12"/>
  <c r="G24" i="12"/>
  <c r="J12" i="7"/>
  <c r="F12" i="7"/>
  <c r="H12" i="7"/>
  <c r="F7" i="6"/>
  <c r="H7" i="6"/>
  <c r="J7" i="6"/>
  <c r="E6" i="12"/>
  <c r="G6" i="12"/>
  <c r="I6" i="12"/>
  <c r="G17" i="12"/>
  <c r="I17" i="12"/>
  <c r="E17" i="12"/>
  <c r="J17" i="7"/>
  <c r="F17" i="7"/>
  <c r="H17" i="7"/>
  <c r="H22" i="6"/>
  <c r="F22" i="6"/>
  <c r="J22" i="6"/>
  <c r="F23" i="6"/>
  <c r="H23" i="6"/>
  <c r="J23" i="6"/>
  <c r="F19" i="7"/>
  <c r="H19" i="7"/>
  <c r="J19" i="7"/>
  <c r="I23" i="12"/>
  <c r="G23" i="12"/>
  <c r="E23" i="12"/>
  <c r="H14" i="7"/>
  <c r="J14" i="7"/>
  <c r="F14" i="7"/>
  <c r="H19" i="6"/>
  <c r="J19" i="6"/>
  <c r="F19" i="6"/>
  <c r="G16" i="12"/>
  <c r="I16" i="12"/>
  <c r="E16" i="12"/>
  <c r="E14" i="12"/>
  <c r="G14" i="12"/>
  <c r="I14" i="12"/>
  <c r="J16" i="6"/>
  <c r="H16" i="6"/>
  <c r="F16" i="6"/>
  <c r="G15" i="12"/>
  <c r="I15" i="12"/>
  <c r="E15" i="12"/>
  <c r="J24" i="7"/>
  <c r="H24" i="7"/>
  <c r="F24" i="7"/>
  <c r="I18" i="12"/>
  <c r="G18" i="12"/>
  <c r="E18" i="12"/>
  <c r="J15" i="7"/>
  <c r="F15" i="7"/>
  <c r="H15" i="7"/>
  <c r="F20" i="7"/>
  <c r="H20" i="7"/>
  <c r="J20" i="7"/>
  <c r="G20" i="12"/>
  <c r="I20" i="12"/>
  <c r="E20" i="12"/>
  <c r="I7" i="12"/>
  <c r="E7" i="12"/>
  <c r="G7" i="12"/>
  <c r="H24" i="6"/>
  <c r="F24" i="6"/>
  <c r="J24" i="6"/>
  <c r="I8" i="12"/>
  <c r="E8" i="12"/>
  <c r="G8" i="12"/>
  <c r="J26" i="12" l="1"/>
  <c r="J27" i="12" s="1"/>
  <c r="C27" i="12"/>
  <c r="C7" i="8"/>
  <c r="H11" i="5"/>
  <c r="I11" i="5" s="1"/>
  <c r="H15" i="5"/>
  <c r="I15" i="5" s="1"/>
  <c r="H14" i="5"/>
  <c r="I14" i="5" s="1"/>
  <c r="H21" i="5"/>
  <c r="I21" i="5" s="1"/>
  <c r="H5" i="5"/>
  <c r="I5" i="5" s="1"/>
  <c r="I26" i="5" s="1"/>
  <c r="C35" i="5" s="1"/>
  <c r="D8" i="8" s="1"/>
  <c r="H10" i="5"/>
  <c r="I10" i="5" s="1"/>
  <c r="H23" i="5"/>
  <c r="I23" i="5" s="1"/>
  <c r="H25" i="5"/>
  <c r="I25" i="5" s="1"/>
  <c r="H17" i="5"/>
  <c r="I17" i="5" s="1"/>
  <c r="H9" i="5"/>
  <c r="I9" i="5" s="1"/>
  <c r="H22" i="5"/>
  <c r="I22" i="5" s="1"/>
  <c r="H13" i="5"/>
  <c r="I13" i="5" s="1"/>
  <c r="H24" i="5"/>
  <c r="I24" i="5" s="1"/>
  <c r="H16" i="5"/>
  <c r="I16" i="5" s="1"/>
  <c r="H8" i="5"/>
  <c r="I8" i="5" s="1"/>
  <c r="R12" i="5"/>
  <c r="H20" i="5"/>
  <c r="I20" i="5" s="1"/>
  <c r="H12" i="5"/>
  <c r="I12" i="5" s="1"/>
  <c r="H6" i="5"/>
  <c r="I6" i="5" s="1"/>
  <c r="H19" i="5"/>
  <c r="I19" i="5" s="1"/>
  <c r="H18" i="5"/>
  <c r="I18" i="5" s="1"/>
  <c r="R25" i="7"/>
  <c r="F5" i="6"/>
  <c r="H5" i="6"/>
  <c r="J5" i="6"/>
  <c r="E5" i="12"/>
  <c r="I5" i="12"/>
  <c r="G5" i="12"/>
  <c r="P25" i="6"/>
  <c r="C43" i="6" s="1"/>
  <c r="F6" i="8" s="1"/>
  <c r="G10" i="12"/>
  <c r="I10" i="12"/>
  <c r="E10" i="12"/>
  <c r="E25" i="12" s="1"/>
  <c r="J5" i="7"/>
  <c r="J25" i="7" s="1"/>
  <c r="C32" i="7" s="1"/>
  <c r="E7" i="8" s="1"/>
  <c r="H5" i="7"/>
  <c r="F5" i="7"/>
  <c r="F10" i="6"/>
  <c r="F25" i="6" s="1"/>
  <c r="C40" i="6" s="1"/>
  <c r="F4" i="8" s="1"/>
  <c r="J10" i="6"/>
  <c r="H10" i="6"/>
  <c r="E26" i="5"/>
  <c r="G26" i="5"/>
  <c r="F10" i="7"/>
  <c r="J10" i="7"/>
  <c r="H10" i="7"/>
  <c r="H25" i="7" s="1"/>
  <c r="C46" i="6"/>
  <c r="K27" i="6"/>
  <c r="K26" i="6"/>
  <c r="N25" i="6"/>
  <c r="R25" i="6"/>
  <c r="C44" i="6" s="1"/>
  <c r="F8" i="8" s="1"/>
  <c r="N25" i="12"/>
  <c r="D33" i="12" s="1"/>
  <c r="C6" i="8" s="1"/>
  <c r="C8" i="8"/>
  <c r="N25" i="7"/>
  <c r="L25" i="12"/>
  <c r="D9" i="8"/>
  <c r="C9" i="8"/>
  <c r="C25" i="6"/>
  <c r="E9" i="8" s="1"/>
  <c r="P25" i="12"/>
  <c r="D34" i="12" s="1"/>
  <c r="C29" i="5"/>
  <c r="C30" i="5" s="1"/>
  <c r="CB20" i="12"/>
  <c r="P25" i="7"/>
  <c r="C25" i="7"/>
  <c r="C26" i="7" s="1"/>
  <c r="C35" i="7" s="1"/>
  <c r="C26" i="6"/>
  <c r="F9" i="8"/>
  <c r="C45" i="6"/>
  <c r="J25" i="6"/>
  <c r="C42" i="6" s="1"/>
  <c r="F7" i="8" s="1"/>
  <c r="AB72" i="6"/>
  <c r="AB80" i="6" s="1"/>
  <c r="M60" i="7"/>
  <c r="M68" i="7" s="1"/>
  <c r="F25" i="7"/>
  <c r="C30" i="7" s="1"/>
  <c r="E4" i="8" s="1"/>
  <c r="G25" i="12"/>
  <c r="I25" i="12"/>
  <c r="D32" i="12" s="1"/>
  <c r="AB73" i="6" l="1"/>
  <c r="AB81" i="6" s="1"/>
  <c r="M61" i="7"/>
  <c r="M69" i="7" s="1"/>
  <c r="C27" i="6"/>
  <c r="C33" i="7"/>
  <c r="E6" i="8" s="1"/>
  <c r="H25" i="6"/>
  <c r="C41" i="6" s="1"/>
  <c r="F5" i="8" s="1"/>
  <c r="C34" i="7"/>
  <c r="E8" i="8" s="1"/>
  <c r="C34" i="5"/>
  <c r="D6" i="8" s="1"/>
  <c r="C37" i="5"/>
  <c r="CH20" i="12"/>
  <c r="CE20" i="12" s="1"/>
  <c r="CF20" i="12"/>
  <c r="C31" i="7"/>
  <c r="E5" i="8" s="1"/>
  <c r="D36" i="12"/>
  <c r="D31" i="12"/>
  <c r="C33" i="5"/>
  <c r="D30" i="12"/>
  <c r="D37" i="12"/>
  <c r="F35" i="12"/>
  <c r="D35" i="12"/>
  <c r="D5" i="8" l="1"/>
  <c r="C3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tc={5F6686A5-3887-417B-958B-2BC381F01E15}</author>
    <author>tc={73128604-8FDE-4F6B-8977-68B514DA1C1A}</author>
    <author>tc={A019DE30-0205-4999-BEE2-6B3A03901D99}</author>
    <author>tc={ED5BCB85-24E5-411A-8ADF-8E59E3D6BF31}</author>
    <author>tc={9435F4E9-E39E-47A1-BFC8-047B4F80B697}</author>
    <author>tc={AC17F668-111B-4445-A98C-34304CCB9A35}</author>
    <author>tc={65CBA071-67B9-4689-952E-9F68C394EA13}</author>
    <author>tc={2D9EE569-F99F-45F9-8458-5BDCA25DA6A4}</author>
    <author>tc={05E9F6ED-E52D-4CC4-BE4F-5FAE22C59497}</author>
    <author>tc={B6946D9B-ECE9-4466-8ED9-43069C121F86}</author>
    <author>tc={81850438-908B-4F4C-A2FF-74E8C69F4E26}</author>
    <author>tc={60F8C8ED-E288-4421-A122-153C89297709}</author>
    <author>tc={5D37A712-6890-43B2-ABDD-9CDF8FC68C67}</author>
    <author>tc={91153F0F-F5D9-4EFE-B9F9-AE4D247FA4F3}</author>
    <author>tc={4630F782-1006-407E-B2A7-3E2928F74954}</author>
    <author>tc={F7B3DF02-1B80-4509-99FC-416527408161}</author>
    <author>tc={F4D153C9-A053-4FD9-B96C-81773B644B6F}</author>
  </authors>
  <commentList>
    <comment ref="S5" authorId="0" shapeId="0" xr:uid="{5F6686A5-3887-417B-958B-2BC381F01E15}">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p.157 a p.164
</t>
      </text>
    </comment>
    <comment ref="U6" authorId="1" shapeId="0" xr:uid="{73128604-8FDE-4F6B-8977-68B514DA1C1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V6" authorId="2" shapeId="0" xr:uid="{A019DE30-0205-4999-BEE2-6B3A03901D9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W6" authorId="3" shapeId="0" xr:uid="{ED5BCB85-24E5-411A-8ADF-8E59E3D6BF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15</t>
      </text>
    </comment>
    <comment ref="X6" authorId="4" shapeId="0" xr:uid="{9435F4E9-E39E-47A1-BFC8-047B4F80B69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11</t>
      </text>
    </comment>
    <comment ref="Y6" authorId="5" shapeId="0" xr:uid="{AC17F668-111B-4445-A98C-34304CCB9A3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7</t>
      </text>
    </comment>
    <comment ref="Z6" authorId="6" shapeId="0" xr:uid="{65CBA071-67B9-4689-952E-9F68C394EA1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AA6" authorId="7" shapeId="0" xr:uid="{2D9EE569-F99F-45F9-8458-5BDCA25DA6A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10</t>
      </text>
    </comment>
    <comment ref="BP8" authorId="8" shapeId="0" xr:uid="{05E9F6ED-E52D-4CC4-BE4F-5FAE22C5949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p.157 a p.164
</t>
      </text>
    </comment>
    <comment ref="BR9" authorId="9" shapeId="0" xr:uid="{B6946D9B-ECE9-4466-8ED9-43069C121F8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BS9" authorId="10" shapeId="0" xr:uid="{81850438-908B-4F4C-A2FF-74E8C69F4E2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BT9" authorId="11" shapeId="0" xr:uid="{60F8C8ED-E288-4421-A122-153C8929770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15</t>
      </text>
    </comment>
    <comment ref="BU9" authorId="12" shapeId="0" xr:uid="{5D37A712-6890-43B2-ABDD-9CDF8FC68C6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11</t>
      </text>
    </comment>
    <comment ref="BV9" authorId="13" shapeId="0" xr:uid="{91153F0F-F5D9-4EFE-B9F9-AE4D247FA4F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7</t>
      </text>
    </comment>
    <comment ref="BW9" authorId="14" shapeId="0" xr:uid="{4630F782-1006-407E-B2A7-3E2928F7495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BX9" authorId="15" shapeId="0" xr:uid="{F7B3DF02-1B80-4509-99FC-41652740816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10</t>
      </text>
    </comment>
    <comment ref="BZ17" authorId="16" shapeId="0" xr:uid="{F4D153C9-A053-4FD9-B96C-81773B644B6F}">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p.201 a p.203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tc={6B4BB309-4C61-4208-933C-2E949B89049C}</author>
    <author>tc={042B1770-3088-F34B-B321-DEA3ADB01F1B}</author>
    <author>tc={4CFD1001-821D-234A-999E-9CAEBE86F7D0}</author>
  </authors>
  <commentList>
    <comment ref="AB5" authorId="0" shapeId="0" xr:uid="{6B4BB309-4C61-4208-933C-2E949B89049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Avec une trop grande efficacité, le point 0 se retrouve au dessus du point 1 (hiver),  donc test dans l’ordre décroissant de l’efficacité jusqu’à ce que le point 0 se trouve en dessous du pt 1</t>
      </text>
    </comment>
    <comment ref="W7" authorId="1" shapeId="0" xr:uid="{042B1770-3088-F34B-B321-DEA3ADB01F1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efficacitéé d’une roue d’enthalpie d’après chat gpt
</t>
      </text>
    </comment>
    <comment ref="T9" authorId="2" shapeId="0" xr:uid="{4CFD1001-821D-234A-999E-9CAEBE86F7D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p.209 a p.210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tc={8AF9157D-17FC-1B41-AC79-229736BFDA9D}</author>
    <author>tc={CCBACD79-1E79-F84D-A1D4-B76B64F1964D}</author>
  </authors>
  <commentList>
    <comment ref="T9" authorId="0" shapeId="0" xr:uid="{8AF9157D-17FC-1B41-AC79-229736BFDA9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p.2016 a p.208
</t>
      </text>
    </comment>
    <comment ref="AD10" authorId="1" shapeId="0" xr:uid="{CCBACD79-1E79-F84D-A1D4-B76B64F1964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demander au prof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tc={9CB041EE-8332-4E44-9537-894B26F20675}</author>
    <author>tc={B462F385-8892-4008-8FA6-ECA943729275}</author>
    <author>tc={D96FA4F0-94AF-4A93-91C2-C555833C5A4E}</author>
    <author>tc={49272A8D-2308-44EA-A04D-B095BA273278}</author>
    <author>tc={565B76E5-9426-41C1-9ED7-88950B6975B7}</author>
    <author>tc={CA591054-83B5-4FD9-90F3-85649EA8E0D9}</author>
    <author>tc={381A579D-B4D8-4F4B-A70E-719B393B053F}</author>
    <author>tc={56A2FFD6-AF25-413F-A377-E08A2A607391}</author>
  </authors>
  <commentList>
    <comment ref="J9" authorId="0" shapeId="0" xr:uid="{9CB041EE-8332-4E44-9537-894B26F2067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Page 5 : Code de type - Appareil de base</t>
      </text>
    </comment>
    <comment ref="N10" authorId="1" shapeId="0" xr:uid="{B462F385-8892-4008-8FA6-ECA94372927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O10" authorId="2" shapeId="0" xr:uid="{D96FA4F0-94AF-4A93-91C2-C555833C5A4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P10" authorId="3" shapeId="0" xr:uid="{49272A8D-2308-44EA-A04D-B095BA27327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15</t>
      </text>
    </comment>
    <comment ref="Q10" authorId="4" shapeId="0" xr:uid="{565B76E5-9426-41C1-9ED7-88950B6975B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11</t>
      </text>
    </comment>
    <comment ref="R10" authorId="5" shapeId="0" xr:uid="{CA591054-83B5-4FD9-90F3-85649EA8E0D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7</t>
      </text>
    </comment>
    <comment ref="S10" authorId="6" shapeId="0" xr:uid="{381A579D-B4D8-4F4B-A70E-719B393B053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11</t>
      </text>
    </comment>
    <comment ref="T10" authorId="7" shapeId="0" xr:uid="{56A2FFD6-AF25-413F-A377-E08A2A60739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Slide 10</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<sst xmlns="http://schemas.openxmlformats.org/spreadsheetml/2006/main" count="775" uniqueCount="276">
  <si>
    <t>[W/m²]</t>
  </si>
  <si>
    <t xml:space="preserve">Apports </t>
  </si>
  <si>
    <t>cas d'une climatisation</t>
  </si>
  <si>
    <t>Déperditions</t>
  </si>
  <si>
    <t xml:space="preserve"> </t>
  </si>
  <si>
    <t>A</t>
  </si>
  <si>
    <t>SDR 14</t>
  </si>
  <si>
    <t>Régime hivernale sans recyclage</t>
  </si>
  <si>
    <t>Aire au sol</t>
  </si>
  <si>
    <t>[m²]</t>
  </si>
  <si>
    <t>T [°C]</t>
  </si>
  <si>
    <r>
      <t>x [g</t>
    </r>
    <r>
      <rPr>
        <sz val="8"/>
        <color theme="1"/>
        <rFont val="Aptos Narrow"/>
        <family val="2"/>
        <scheme val="minor"/>
      </rPr>
      <t>eau</t>
    </r>
    <r>
      <rPr>
        <sz val="11"/>
        <color theme="1"/>
        <rFont val="Aptos Narrow"/>
        <family val="2"/>
        <scheme val="minor"/>
      </rPr>
      <t>/kg</t>
    </r>
    <r>
      <rPr>
        <sz val="8"/>
        <color theme="1"/>
        <rFont val="Aptos Narrow"/>
        <family val="2"/>
        <scheme val="minor"/>
      </rPr>
      <t>as</t>
    </r>
    <r>
      <rPr>
        <sz val="11"/>
        <color theme="1"/>
        <rFont val="Aptos Narrow"/>
        <family val="2"/>
        <scheme val="minor"/>
      </rPr>
      <t>]</t>
    </r>
  </si>
  <si>
    <r>
      <t>h [kJ/kg</t>
    </r>
    <r>
      <rPr>
        <sz val="8"/>
        <color theme="1"/>
        <rFont val="Aptos Narrow"/>
        <family val="2"/>
        <scheme val="minor"/>
      </rPr>
      <t>as</t>
    </r>
    <r>
      <rPr>
        <sz val="11"/>
        <color theme="1"/>
        <rFont val="Aptos Narrow"/>
        <family val="2"/>
        <scheme val="minor"/>
      </rPr>
      <t>]</t>
    </r>
  </si>
  <si>
    <t>HR [%]</t>
  </si>
  <si>
    <r>
      <t>v [m³/kg</t>
    </r>
    <r>
      <rPr>
        <sz val="8"/>
        <color theme="1"/>
        <rFont val="Aptos Narrow"/>
        <family val="2"/>
        <scheme val="minor"/>
      </rPr>
      <t>as</t>
    </r>
    <r>
      <rPr>
        <sz val="11"/>
        <color theme="1"/>
        <rFont val="Aptos Narrow"/>
        <family val="2"/>
        <scheme val="minor"/>
      </rPr>
      <t>]</t>
    </r>
  </si>
  <si>
    <r>
      <t>p</t>
    </r>
    <r>
      <rPr>
        <sz val="9"/>
        <color theme="1"/>
        <rFont val="Aptos Narrow"/>
        <family val="2"/>
      </rPr>
      <t>v</t>
    </r>
    <r>
      <rPr>
        <sz val="11"/>
        <color theme="1"/>
        <rFont val="Aptos Narrow"/>
        <family val="2"/>
      </rPr>
      <t xml:space="preserve"> [Pa]</t>
    </r>
  </si>
  <si>
    <r>
      <t>p</t>
    </r>
    <r>
      <rPr>
        <sz val="9"/>
        <color theme="1"/>
        <rFont val="Aptos Narrow"/>
        <family val="2"/>
      </rPr>
      <t>s</t>
    </r>
    <r>
      <rPr>
        <sz val="11"/>
        <color theme="1"/>
        <rFont val="Aptos Narrow"/>
        <family val="2"/>
      </rPr>
      <t xml:space="preserve"> [Pa]</t>
    </r>
  </si>
  <si>
    <t>Apports internes</t>
  </si>
  <si>
    <t>[W]</t>
  </si>
  <si>
    <t>e</t>
  </si>
  <si>
    <t>Apports totaux</t>
  </si>
  <si>
    <t>Déperditions totales</t>
  </si>
  <si>
    <t>Ecart de soufflage hiver</t>
  </si>
  <si>
    <t>[°C]</t>
  </si>
  <si>
    <t>i</t>
  </si>
  <si>
    <r>
      <rPr>
        <sz val="11"/>
        <color rgb="FF000000"/>
        <rFont val="Aptos Narrow"/>
        <family val="2"/>
      </rPr>
      <t>q</t>
    </r>
    <r>
      <rPr>
        <sz val="8"/>
        <color rgb="FF000000"/>
        <rFont val="Aptos Narrow"/>
        <family val="2"/>
      </rPr>
      <t>m</t>
    </r>
    <r>
      <rPr>
        <sz val="11"/>
        <color rgb="FF000000"/>
        <rFont val="Aptos Narrow"/>
        <family val="2"/>
      </rPr>
      <t xml:space="preserve"> hivernal</t>
    </r>
  </si>
  <si>
    <t>[kg/s]</t>
  </si>
  <si>
    <t>s</t>
  </si>
  <si>
    <t>Taux ren. air par pers.</t>
  </si>
  <si>
    <r>
      <t>[m</t>
    </r>
    <r>
      <rPr>
        <vertAlign val="superscript"/>
        <sz val="11"/>
        <color theme="1"/>
        <rFont val="Aptos Narrow (Corps)"/>
      </rPr>
      <t>3</t>
    </r>
    <r>
      <rPr>
        <sz val="11"/>
        <color theme="1"/>
        <rFont val="Aptos Narrow"/>
        <family val="2"/>
        <scheme val="minor"/>
      </rPr>
      <t>/h]</t>
    </r>
  </si>
  <si>
    <t>Nombre de personnes</t>
  </si>
  <si>
    <t>[-]</t>
  </si>
  <si>
    <r>
      <t>P</t>
    </r>
    <r>
      <rPr>
        <vertAlign val="subscript"/>
        <sz val="11"/>
        <color theme="1"/>
        <rFont val="Aptos Narrow (Corps)"/>
      </rPr>
      <t>post</t>
    </r>
  </si>
  <si>
    <t>[kW]</t>
  </si>
  <si>
    <t>Ecart de soufflage été</t>
  </si>
  <si>
    <r>
      <t>q</t>
    </r>
    <r>
      <rPr>
        <vertAlign val="subscript"/>
        <sz val="11"/>
        <color theme="1"/>
        <rFont val="Aptos Narrow (Corps)"/>
      </rPr>
      <t>m,eau</t>
    </r>
  </si>
  <si>
    <t>qm estival</t>
  </si>
  <si>
    <r>
      <t>P</t>
    </r>
    <r>
      <rPr>
        <vertAlign val="subscript"/>
        <sz val="11"/>
        <color theme="1"/>
        <rFont val="Aptos Narrow (Corps)"/>
      </rPr>
      <t>pré</t>
    </r>
  </si>
  <si>
    <t>Régime éstival sans recyclage</t>
  </si>
  <si>
    <r>
      <t>P</t>
    </r>
    <r>
      <rPr>
        <vertAlign val="subscript"/>
        <sz val="11"/>
        <color theme="1"/>
        <rFont val="Aptos Narrow (Corps)"/>
      </rPr>
      <t>fr</t>
    </r>
  </si>
  <si>
    <t xml:space="preserve"> [kg/s]</t>
  </si>
  <si>
    <t>B</t>
  </si>
  <si>
    <t>Régime hivernale avec recyclage</t>
  </si>
  <si>
    <r>
      <t>ρ [kg</t>
    </r>
    <r>
      <rPr>
        <sz val="8"/>
        <color theme="1"/>
        <rFont val="Aptos Narrow"/>
        <family val="2"/>
      </rPr>
      <t>ah</t>
    </r>
    <r>
      <rPr>
        <sz val="11"/>
        <color theme="1"/>
        <rFont val="Aptos Narrow"/>
        <family val="2"/>
      </rPr>
      <t>/m³]</t>
    </r>
  </si>
  <si>
    <t>Régime estivale avec recyclage</t>
  </si>
  <si>
    <t xml:space="preserve">C </t>
  </si>
  <si>
    <t>Régime hivernale avec récupérateur a roue</t>
  </si>
  <si>
    <t>Régime estivale avec récupérateur a roue</t>
  </si>
  <si>
    <t>C'</t>
  </si>
  <si>
    <t>Régime hivernale avec récupérateur a plaque</t>
  </si>
  <si>
    <t>Régime estivale avec récupérateur a plaque</t>
  </si>
  <si>
    <t>Nom du local</t>
  </si>
  <si>
    <t>Présence humaine</t>
  </si>
  <si>
    <t>Q- [kW]</t>
  </si>
  <si>
    <t>Local</t>
  </si>
  <si>
    <t>Surface [m²]</t>
  </si>
  <si>
    <t>Hauteur [m]</t>
  </si>
  <si>
    <t>Volume [m³]</t>
  </si>
  <si>
    <t>T°_Hiv [°C]</t>
  </si>
  <si>
    <t>HR Hiv [%]</t>
  </si>
  <si>
    <t>T°_Eté [°C]</t>
  </si>
  <si>
    <t>HR été [%]</t>
  </si>
  <si>
    <t>Occup.
[Pers.]</t>
  </si>
  <si>
    <t>Occup.
[m²/occup.]</t>
  </si>
  <si>
    <t>Q+ [kW]</t>
  </si>
  <si>
    <t>ΔT soufflage hiver min</t>
  </si>
  <si>
    <t>ΔT soufflage été min</t>
  </si>
  <si>
    <r>
      <t>∆h</t>
    </r>
    <r>
      <rPr>
        <b/>
        <vertAlign val="subscript"/>
        <sz val="11"/>
        <color theme="1"/>
        <rFont val="Calibri"/>
        <family val="2"/>
      </rPr>
      <t>e</t>
    </r>
    <r>
      <rPr>
        <b/>
        <vertAlign val="superscript"/>
        <sz val="11"/>
        <color theme="1"/>
        <rFont val="Calibri"/>
        <family val="2"/>
      </rPr>
      <t>1</t>
    </r>
    <r>
      <rPr>
        <b/>
        <sz val="11"/>
        <color theme="1"/>
        <rFont val="Calibri"/>
        <family val="2"/>
      </rPr>
      <t xml:space="preserve"> [kJ/kg]</t>
    </r>
  </si>
  <si>
    <r>
      <t>P</t>
    </r>
    <r>
      <rPr>
        <b/>
        <vertAlign val="subscript"/>
        <sz val="11"/>
        <color theme="1"/>
        <rFont val="Aptos Narrow (Corps)"/>
      </rPr>
      <t>pré</t>
    </r>
    <r>
      <rPr>
        <b/>
        <sz val="11"/>
        <color theme="1"/>
        <rFont val="Aptos Narrow"/>
        <family val="2"/>
        <scheme val="minor"/>
      </rPr>
      <t xml:space="preserve"> [kW] = q</t>
    </r>
    <r>
      <rPr>
        <b/>
        <vertAlign val="subscript"/>
        <sz val="11"/>
        <color theme="1"/>
        <rFont val="Aptos Narrow (Corps)"/>
      </rPr>
      <t>m  hiver</t>
    </r>
    <r>
      <rPr>
        <b/>
        <sz val="11"/>
        <color theme="1"/>
        <rFont val="Aptos Narrow"/>
        <family val="2"/>
        <scheme val="minor"/>
      </rPr>
      <t xml:space="preserve"> . ∆h</t>
    </r>
    <r>
      <rPr>
        <b/>
        <vertAlign val="subscript"/>
        <sz val="11"/>
        <color theme="1"/>
        <rFont val="Aptos Narrow (Corps)"/>
      </rPr>
      <t>e</t>
    </r>
    <r>
      <rPr>
        <b/>
        <vertAlign val="superscript"/>
        <sz val="11"/>
        <color theme="1"/>
        <rFont val="Aptos Narrow (Corps)"/>
      </rPr>
      <t>1</t>
    </r>
  </si>
  <si>
    <r>
      <t>∆h</t>
    </r>
    <r>
      <rPr>
        <b/>
        <vertAlign val="subscript"/>
        <sz val="11"/>
        <color theme="1"/>
        <rFont val="Calibri"/>
        <family val="2"/>
      </rPr>
      <t>s</t>
    </r>
    <r>
      <rPr>
        <b/>
        <vertAlign val="superscript"/>
        <sz val="11"/>
        <color theme="1"/>
        <rFont val="Calibri"/>
        <family val="2"/>
      </rPr>
      <t>3</t>
    </r>
    <r>
      <rPr>
        <b/>
        <sz val="11"/>
        <color theme="1"/>
        <rFont val="Calibri"/>
        <family val="2"/>
      </rPr>
      <t xml:space="preserve"> [kJ/kg]</t>
    </r>
  </si>
  <si>
    <r>
      <t>P</t>
    </r>
    <r>
      <rPr>
        <b/>
        <vertAlign val="subscript"/>
        <sz val="11"/>
        <color theme="1"/>
        <rFont val="Aptos Narrow (Corps)"/>
      </rPr>
      <t>post</t>
    </r>
    <r>
      <rPr>
        <b/>
        <sz val="11"/>
        <color theme="1"/>
        <rFont val="Aptos Narrow"/>
        <family val="2"/>
        <scheme val="minor"/>
      </rPr>
      <t xml:space="preserve"> [kW] =q</t>
    </r>
    <r>
      <rPr>
        <b/>
        <vertAlign val="subscript"/>
        <sz val="11"/>
        <color theme="1"/>
        <rFont val="Aptos Narrow (Corps)"/>
      </rPr>
      <t>m  hiver</t>
    </r>
    <r>
      <rPr>
        <b/>
        <sz val="11"/>
        <color theme="1"/>
        <rFont val="Aptos Narrow"/>
        <family val="2"/>
        <scheme val="minor"/>
      </rPr>
      <t xml:space="preserve"> . ∆h</t>
    </r>
    <r>
      <rPr>
        <b/>
        <vertAlign val="subscript"/>
        <sz val="11"/>
        <color theme="1"/>
        <rFont val="Aptos Narrow (Corps)"/>
      </rPr>
      <t>s</t>
    </r>
    <r>
      <rPr>
        <b/>
        <vertAlign val="superscript"/>
        <sz val="11"/>
        <color theme="1"/>
        <rFont val="Aptos Narrow (Corps)"/>
      </rPr>
      <t>3</t>
    </r>
  </si>
  <si>
    <r>
      <t>∆x</t>
    </r>
    <r>
      <rPr>
        <b/>
        <vertAlign val="subscript"/>
        <sz val="11"/>
        <color theme="1"/>
        <rFont val="Aptos Narrow (Corps)"/>
      </rPr>
      <t>1</t>
    </r>
    <r>
      <rPr>
        <b/>
        <vertAlign val="superscript"/>
        <sz val="11"/>
        <color theme="1"/>
        <rFont val="Aptos Narrow (Corps)"/>
      </rPr>
      <t>3</t>
    </r>
  </si>
  <si>
    <t>Régime hivernal</t>
  </si>
  <si>
    <t>/</t>
  </si>
  <si>
    <t>Régime estival</t>
  </si>
  <si>
    <r>
      <t>P</t>
    </r>
    <r>
      <rPr>
        <b/>
        <vertAlign val="subscript"/>
        <sz val="11"/>
        <color theme="1"/>
        <rFont val="Aptos Narrow (Corps)"/>
      </rPr>
      <t>post</t>
    </r>
    <r>
      <rPr>
        <b/>
        <sz val="11"/>
        <color theme="1"/>
        <rFont val="Aptos Narrow"/>
        <family val="2"/>
        <scheme val="minor"/>
      </rPr>
      <t xml:space="preserve"> [kW] =q</t>
    </r>
    <r>
      <rPr>
        <b/>
        <vertAlign val="subscript"/>
        <sz val="11"/>
        <color theme="1"/>
        <rFont val="Aptos Narrow (Corps)"/>
      </rPr>
      <t>m  été</t>
    </r>
    <r>
      <rPr>
        <b/>
        <sz val="11"/>
        <color theme="1"/>
        <rFont val="Aptos Narrow"/>
        <family val="2"/>
        <scheme val="minor"/>
      </rPr>
      <t xml:space="preserve"> . ∆h</t>
    </r>
    <r>
      <rPr>
        <b/>
        <vertAlign val="subscript"/>
        <sz val="11"/>
        <color theme="1"/>
        <rFont val="Aptos Narrow (Corps)"/>
      </rPr>
      <t>s</t>
    </r>
    <r>
      <rPr>
        <b/>
        <vertAlign val="superscript"/>
        <sz val="11"/>
        <color theme="1"/>
        <rFont val="Aptos Narrow (Corps)"/>
      </rPr>
      <t>3</t>
    </r>
  </si>
  <si>
    <r>
      <t>q</t>
    </r>
    <r>
      <rPr>
        <sz val="9"/>
        <color theme="1"/>
        <rFont val="Aptos Narrow"/>
        <family val="2"/>
        <scheme val="minor"/>
      </rPr>
      <t>m</t>
    </r>
    <r>
      <rPr>
        <sz val="11"/>
        <color theme="1"/>
        <rFont val="Aptos Narrow"/>
        <family val="2"/>
        <scheme val="minor"/>
      </rPr>
      <t xml:space="preserve"> tot hiver</t>
    </r>
  </si>
  <si>
    <t>qm tot été</t>
  </si>
  <si>
    <t>Apports internes [kW]</t>
  </si>
  <si>
    <r>
      <t>[kg</t>
    </r>
    <r>
      <rPr>
        <sz val="9"/>
        <color theme="1"/>
        <rFont val="Aptos Narrow"/>
        <family val="2"/>
        <scheme val="minor"/>
      </rPr>
      <t>as</t>
    </r>
    <r>
      <rPr>
        <sz val="11"/>
        <color theme="1"/>
        <rFont val="Aptos Narrow"/>
        <family val="2"/>
        <scheme val="minor"/>
      </rPr>
      <t>/s]</t>
    </r>
  </si>
  <si>
    <r>
      <t>∆h</t>
    </r>
    <r>
      <rPr>
        <b/>
        <vertAlign val="subscript"/>
        <sz val="11"/>
        <color theme="1"/>
        <rFont val="Calibri"/>
        <family val="2"/>
      </rPr>
      <t>e</t>
    </r>
    <r>
      <rPr>
        <b/>
        <vertAlign val="superscript"/>
        <sz val="11"/>
        <color theme="1"/>
        <rFont val="Calibri"/>
        <family val="2"/>
      </rPr>
      <t>3</t>
    </r>
    <r>
      <rPr>
        <b/>
        <sz val="11"/>
        <color theme="1"/>
        <rFont val="Calibri"/>
        <family val="2"/>
      </rPr>
      <t xml:space="preserve"> [kJ/kg]</t>
    </r>
  </si>
  <si>
    <r>
      <t>Pfr [kW] = q</t>
    </r>
    <r>
      <rPr>
        <b/>
        <vertAlign val="subscript"/>
        <sz val="11"/>
        <color theme="1"/>
        <rFont val="Aptos Narrow (Corps)"/>
      </rPr>
      <t>m  hiver</t>
    </r>
    <r>
      <rPr>
        <b/>
        <sz val="11"/>
        <color theme="1"/>
        <rFont val="Aptos Narrow"/>
        <family val="2"/>
        <scheme val="minor"/>
      </rPr>
      <t xml:space="preserve"> . ∆h</t>
    </r>
    <r>
      <rPr>
        <b/>
        <vertAlign val="subscript"/>
        <sz val="11"/>
        <color theme="1"/>
        <rFont val="Aptos Narrow (Corps)"/>
      </rPr>
      <t>e</t>
    </r>
    <r>
      <rPr>
        <b/>
        <vertAlign val="superscript"/>
        <sz val="11"/>
        <color theme="1"/>
        <rFont val="Aptos Narrow (Corps)"/>
      </rPr>
      <t>3</t>
    </r>
  </si>
  <si>
    <r>
      <t>∆x</t>
    </r>
    <r>
      <rPr>
        <b/>
        <vertAlign val="subscript"/>
        <sz val="11"/>
        <color theme="1"/>
        <rFont val="Aptos Narrow (Corps)"/>
      </rPr>
      <t>e</t>
    </r>
    <r>
      <rPr>
        <b/>
        <vertAlign val="superscript"/>
        <sz val="11"/>
        <color theme="1"/>
        <rFont val="Aptos Narrow (Corps)"/>
      </rPr>
      <t>3</t>
    </r>
    <r>
      <rPr>
        <b/>
        <sz val="11"/>
        <color theme="1"/>
        <rFont val="Aptos Narrow"/>
        <family val="2"/>
        <scheme val="minor"/>
      </rPr>
      <t xml:space="preserve"> [g</t>
    </r>
    <r>
      <rPr>
        <b/>
        <sz val="9"/>
        <color theme="1"/>
        <rFont val="Aptos Narrow"/>
        <family val="2"/>
        <scheme val="minor"/>
      </rPr>
      <t>eau</t>
    </r>
    <r>
      <rPr>
        <b/>
        <sz val="11"/>
        <color theme="1"/>
        <rFont val="Aptos Narrow"/>
        <family val="2"/>
        <scheme val="minor"/>
      </rPr>
      <t>/kg</t>
    </r>
    <r>
      <rPr>
        <b/>
        <sz val="9"/>
        <color theme="1"/>
        <rFont val="Aptos Narrow"/>
        <family val="2"/>
        <scheme val="minor"/>
      </rPr>
      <t>as</t>
    </r>
    <r>
      <rPr>
        <b/>
        <sz val="11"/>
        <color theme="1"/>
        <rFont val="Aptos Narrow"/>
        <family val="2"/>
        <scheme val="minor"/>
      </rPr>
      <t>]</t>
    </r>
  </si>
  <si>
    <r>
      <t>q</t>
    </r>
    <r>
      <rPr>
        <b/>
        <sz val="8"/>
        <color theme="1"/>
        <rFont val="Aptos Narrow"/>
        <family val="2"/>
        <scheme val="minor"/>
      </rPr>
      <t>m,eau</t>
    </r>
    <r>
      <rPr>
        <b/>
        <sz val="11"/>
        <color theme="1"/>
        <rFont val="Aptos Narrow"/>
        <family val="2"/>
        <scheme val="minor"/>
      </rPr>
      <t xml:space="preserve"> [kg</t>
    </r>
    <r>
      <rPr>
        <b/>
        <sz val="9"/>
        <color theme="1"/>
        <rFont val="Aptos Narrow"/>
        <family val="2"/>
        <scheme val="minor"/>
      </rPr>
      <t>eau</t>
    </r>
    <r>
      <rPr>
        <b/>
        <sz val="11"/>
        <color theme="1"/>
        <rFont val="Aptos Narrow"/>
        <family val="2"/>
        <scheme val="minor"/>
      </rPr>
      <t>/h]</t>
    </r>
  </si>
  <si>
    <r>
      <t>q</t>
    </r>
    <r>
      <rPr>
        <b/>
        <vertAlign val="subscript"/>
        <sz val="11"/>
        <color theme="1"/>
        <rFont val="Aptos Narrow (Corps)"/>
      </rPr>
      <t>m  hiver</t>
    </r>
    <r>
      <rPr>
        <b/>
        <sz val="11"/>
        <color theme="1"/>
        <rFont val="Aptos Narrow"/>
        <family val="2"/>
        <scheme val="minor"/>
      </rPr>
      <t xml:space="preserve"> [kg</t>
    </r>
    <r>
      <rPr>
        <b/>
        <sz val="9"/>
        <color theme="1"/>
        <rFont val="Aptos Narrow"/>
        <family val="2"/>
        <scheme val="minor"/>
      </rPr>
      <t>as</t>
    </r>
    <r>
      <rPr>
        <b/>
        <sz val="11"/>
        <color theme="1"/>
        <rFont val="Aptos Narrow"/>
        <family val="2"/>
        <scheme val="minor"/>
      </rPr>
      <t>/s]</t>
    </r>
  </si>
  <si>
    <r>
      <t>q</t>
    </r>
    <r>
      <rPr>
        <b/>
        <vertAlign val="subscript"/>
        <sz val="11"/>
        <color theme="1"/>
        <rFont val="Aptos Narrow (Corps)"/>
      </rPr>
      <t>m  été</t>
    </r>
    <r>
      <rPr>
        <b/>
        <sz val="11"/>
        <color theme="1"/>
        <rFont val="Aptos Narrow"/>
        <family val="2"/>
        <scheme val="minor"/>
      </rPr>
      <t xml:space="preserve"> [kg</t>
    </r>
    <r>
      <rPr>
        <b/>
        <sz val="9"/>
        <color theme="1"/>
        <rFont val="Aptos Narrow"/>
        <family val="2"/>
        <scheme val="minor"/>
      </rPr>
      <t>as</t>
    </r>
    <r>
      <rPr>
        <b/>
        <sz val="11"/>
        <color theme="1"/>
        <rFont val="Aptos Narrow"/>
        <family val="2"/>
        <scheme val="minor"/>
      </rPr>
      <t>/s]</t>
    </r>
  </si>
  <si>
    <t>Régime éstival avec recyclage</t>
  </si>
  <si>
    <r>
      <t>∆h</t>
    </r>
    <r>
      <rPr>
        <b/>
        <vertAlign val="subscript"/>
        <sz val="11"/>
        <color theme="1"/>
        <rFont val="Aptos Narrow (Corps)"/>
      </rPr>
      <t>m</t>
    </r>
    <r>
      <rPr>
        <b/>
        <vertAlign val="superscript"/>
        <sz val="11"/>
        <color theme="1"/>
        <rFont val="Aptos Narrow (Corps)"/>
      </rPr>
      <t xml:space="preserve">1 </t>
    </r>
    <r>
      <rPr>
        <b/>
        <sz val="11"/>
        <color theme="1"/>
        <rFont val="Aptos Narrow"/>
        <family val="2"/>
        <scheme val="minor"/>
      </rPr>
      <t>[kJ/kg]</t>
    </r>
  </si>
  <si>
    <r>
      <t>P</t>
    </r>
    <r>
      <rPr>
        <b/>
        <vertAlign val="subscript"/>
        <sz val="11"/>
        <color theme="1"/>
        <rFont val="Aptos Narrow (Corps)"/>
      </rPr>
      <t>post</t>
    </r>
    <r>
      <rPr>
        <b/>
        <sz val="11"/>
        <color theme="1"/>
        <rFont val="Aptos Narrow"/>
        <family val="2"/>
        <scheme val="minor"/>
      </rPr>
      <t xml:space="preserve"> [kW] = q</t>
    </r>
    <r>
      <rPr>
        <b/>
        <vertAlign val="subscript"/>
        <sz val="11"/>
        <color theme="1"/>
        <rFont val="Aptos Narrow (Corps)"/>
      </rPr>
      <t>m  été</t>
    </r>
    <r>
      <rPr>
        <b/>
        <sz val="11"/>
        <color theme="1"/>
        <rFont val="Aptos Narrow"/>
        <family val="2"/>
        <scheme val="minor"/>
      </rPr>
      <t xml:space="preserve"> . ∆h</t>
    </r>
    <r>
      <rPr>
        <b/>
        <vertAlign val="subscript"/>
        <sz val="11"/>
        <color theme="1"/>
        <rFont val="Aptos Narrow (Corps)"/>
      </rPr>
      <t>s</t>
    </r>
    <r>
      <rPr>
        <b/>
        <vertAlign val="superscript"/>
        <sz val="11"/>
        <color theme="1"/>
        <rFont val="Aptos Narrow (Corps)"/>
      </rPr>
      <t>1</t>
    </r>
  </si>
  <si>
    <r>
      <t>Pfr [kW] = q</t>
    </r>
    <r>
      <rPr>
        <b/>
        <vertAlign val="subscript"/>
        <sz val="11"/>
        <color theme="1"/>
        <rFont val="Aptos Narrow (Corps)"/>
      </rPr>
      <t>m  été</t>
    </r>
    <r>
      <rPr>
        <b/>
        <sz val="11"/>
        <color theme="1"/>
        <rFont val="Aptos Narrow"/>
        <family val="2"/>
        <scheme val="minor"/>
      </rPr>
      <t xml:space="preserve"> . ∆h</t>
    </r>
    <r>
      <rPr>
        <b/>
        <vertAlign val="subscript"/>
        <sz val="11"/>
        <color theme="1"/>
        <rFont val="Aptos Narrow (Corps)"/>
      </rPr>
      <t>m</t>
    </r>
    <r>
      <rPr>
        <b/>
        <vertAlign val="superscript"/>
        <sz val="11"/>
        <color theme="1"/>
        <rFont val="Aptos Narrow (Corps)"/>
      </rPr>
      <t>1</t>
    </r>
  </si>
  <si>
    <r>
      <t>Débit minimum [m</t>
    </r>
    <r>
      <rPr>
        <b/>
        <vertAlign val="superscript"/>
        <sz val="11"/>
        <color theme="1"/>
        <rFont val="Aptos Narrow"/>
        <family val="2"/>
        <scheme val="minor"/>
      </rPr>
      <t>3</t>
    </r>
    <r>
      <rPr>
        <b/>
        <sz val="11"/>
        <color theme="1"/>
        <rFont val="Aptos Narrow"/>
        <family val="2"/>
        <scheme val="minor"/>
      </rPr>
      <t>/h]</t>
    </r>
  </si>
  <si>
    <r>
      <t>%recyclage</t>
    </r>
    <r>
      <rPr>
        <b/>
        <vertAlign val="subscript"/>
        <sz val="11"/>
        <color theme="1"/>
        <rFont val="Calibri"/>
        <family val="2"/>
      </rPr>
      <t>été</t>
    </r>
  </si>
  <si>
    <r>
      <t>%recyclage</t>
    </r>
    <r>
      <rPr>
        <b/>
        <vertAlign val="subscript"/>
        <sz val="11"/>
        <color theme="1"/>
        <rFont val="Calibri"/>
        <family val="2"/>
      </rPr>
      <t>hiv</t>
    </r>
  </si>
  <si>
    <r>
      <t xml:space="preserve">v </t>
    </r>
    <r>
      <rPr>
        <b/>
        <vertAlign val="subscript"/>
        <sz val="11"/>
        <color theme="1"/>
        <rFont val="Aptos Narrow (Corps)"/>
      </rPr>
      <t>hiver</t>
    </r>
    <r>
      <rPr>
        <b/>
        <sz val="11"/>
        <color theme="1"/>
        <rFont val="Aptos Narrow"/>
        <family val="2"/>
        <scheme val="minor"/>
      </rPr>
      <t xml:space="preserve">  [m³/kg</t>
    </r>
    <r>
      <rPr>
        <b/>
        <sz val="9"/>
        <color theme="1"/>
        <rFont val="Aptos Narrow"/>
        <family val="2"/>
        <scheme val="minor"/>
      </rPr>
      <t>as</t>
    </r>
    <r>
      <rPr>
        <b/>
        <sz val="11"/>
        <color theme="1"/>
        <rFont val="Aptos Narrow"/>
        <family val="2"/>
        <scheme val="minor"/>
      </rPr>
      <t>]</t>
    </r>
  </si>
  <si>
    <r>
      <t xml:space="preserve">v </t>
    </r>
    <r>
      <rPr>
        <b/>
        <vertAlign val="subscript"/>
        <sz val="11"/>
        <color theme="1"/>
        <rFont val="Aptos Narrow (Corps)"/>
      </rPr>
      <t xml:space="preserve">été </t>
    </r>
    <r>
      <rPr>
        <b/>
        <sz val="11"/>
        <color theme="1"/>
        <rFont val="Aptos Narrow"/>
        <family val="2"/>
        <scheme val="minor"/>
      </rPr>
      <t xml:space="preserve"> [m³/kg</t>
    </r>
    <r>
      <rPr>
        <b/>
        <sz val="9"/>
        <color theme="1"/>
        <rFont val="Aptos Narrow"/>
        <family val="2"/>
        <scheme val="minor"/>
      </rPr>
      <t>as</t>
    </r>
    <r>
      <rPr>
        <b/>
        <sz val="11"/>
        <color theme="1"/>
        <rFont val="Aptos Narrow"/>
        <family val="2"/>
        <scheme val="minor"/>
      </rPr>
      <t>]</t>
    </r>
  </si>
  <si>
    <r>
      <t>%recyclage</t>
    </r>
    <r>
      <rPr>
        <vertAlign val="subscript"/>
        <sz val="11"/>
        <color theme="1"/>
        <rFont val="Calibri"/>
        <family val="2"/>
      </rPr>
      <t>été</t>
    </r>
    <r>
      <rPr>
        <sz val="11"/>
        <color theme="1"/>
        <rFont val="Calibri"/>
        <family val="2"/>
      </rPr>
      <t xml:space="preserve"> min</t>
    </r>
  </si>
  <si>
    <t>m</t>
  </si>
  <si>
    <r>
      <t>∆h</t>
    </r>
    <r>
      <rPr>
        <b/>
        <vertAlign val="subscript"/>
        <sz val="11"/>
        <color theme="1"/>
        <rFont val="Calibri"/>
        <family val="2"/>
      </rPr>
      <t>s</t>
    </r>
    <r>
      <rPr>
        <b/>
        <vertAlign val="superscript"/>
        <sz val="11"/>
        <color theme="1"/>
        <rFont val="Calibri"/>
        <family val="2"/>
      </rPr>
      <t>1</t>
    </r>
    <r>
      <rPr>
        <b/>
        <sz val="11"/>
        <color theme="1"/>
        <rFont val="Calibri"/>
        <family val="2"/>
      </rPr>
      <t xml:space="preserve"> [kJ/kg]</t>
    </r>
  </si>
  <si>
    <t>%recyclage hiver min</t>
  </si>
  <si>
    <r>
      <t>q</t>
    </r>
    <r>
      <rPr>
        <b/>
        <sz val="9"/>
        <color theme="1"/>
        <rFont val="Aptos Narrow"/>
        <family val="2"/>
        <scheme val="minor"/>
      </rPr>
      <t xml:space="preserve">m </t>
    </r>
    <r>
      <rPr>
        <b/>
        <sz val="11"/>
        <color theme="1"/>
        <rFont val="Aptos Narrow"/>
        <family val="2"/>
        <scheme val="minor"/>
      </rPr>
      <t>min [kg</t>
    </r>
    <r>
      <rPr>
        <b/>
        <sz val="9"/>
        <color theme="1"/>
        <rFont val="Aptos Narrow"/>
        <family val="2"/>
        <scheme val="minor"/>
      </rPr>
      <t>as</t>
    </r>
    <r>
      <rPr>
        <b/>
        <sz val="11"/>
        <color theme="1"/>
        <rFont val="Aptos Narrow"/>
        <family val="2"/>
        <scheme val="minor"/>
      </rPr>
      <t>/s]</t>
    </r>
  </si>
  <si>
    <t>η (Data sheet)</t>
  </si>
  <si>
    <t>[%]</t>
  </si>
  <si>
    <r>
      <t>∆h</t>
    </r>
    <r>
      <rPr>
        <b/>
        <vertAlign val="subscript"/>
        <sz val="11"/>
        <color theme="1"/>
        <rFont val="Calibri"/>
        <family val="2"/>
      </rPr>
      <t>0</t>
    </r>
    <r>
      <rPr>
        <b/>
        <vertAlign val="superscript"/>
        <sz val="11"/>
        <color theme="1"/>
        <rFont val="Calibri"/>
        <family val="2"/>
      </rPr>
      <t>1</t>
    </r>
    <r>
      <rPr>
        <b/>
        <sz val="11"/>
        <color theme="1"/>
        <rFont val="Calibri"/>
        <family val="2"/>
      </rPr>
      <t xml:space="preserve"> [kJ/kg]</t>
    </r>
  </si>
  <si>
    <r>
      <t>∆h</t>
    </r>
    <r>
      <rPr>
        <b/>
        <vertAlign val="subscript"/>
        <sz val="11"/>
        <color theme="1"/>
        <rFont val="Calibri"/>
        <family val="2"/>
      </rPr>
      <t>0</t>
    </r>
    <r>
      <rPr>
        <b/>
        <vertAlign val="superscript"/>
        <sz val="11"/>
        <color theme="1"/>
        <rFont val="Calibri"/>
        <family val="2"/>
      </rPr>
      <t>3</t>
    </r>
    <r>
      <rPr>
        <b/>
        <sz val="11"/>
        <color theme="1"/>
        <rFont val="Calibri"/>
        <family val="2"/>
      </rPr>
      <t xml:space="preserve"> [kJ/kg]</t>
    </r>
  </si>
  <si>
    <r>
      <t>q</t>
    </r>
    <r>
      <rPr>
        <b/>
        <sz val="9"/>
        <color theme="1"/>
        <rFont val="Aptos Narrow"/>
        <family val="2"/>
        <scheme val="minor"/>
      </rPr>
      <t xml:space="preserve">m </t>
    </r>
    <r>
      <rPr>
        <b/>
        <vertAlign val="subscript"/>
        <sz val="11"/>
        <color theme="1"/>
        <rFont val="Aptos Narrow (Corps)"/>
      </rPr>
      <t>min</t>
    </r>
    <r>
      <rPr>
        <b/>
        <sz val="11"/>
        <color theme="1"/>
        <rFont val="Aptos Narrow"/>
        <family val="2"/>
        <scheme val="minor"/>
      </rPr>
      <t xml:space="preserve"> [kg</t>
    </r>
    <r>
      <rPr>
        <b/>
        <sz val="9"/>
        <color theme="1"/>
        <rFont val="Aptos Narrow"/>
        <family val="2"/>
        <scheme val="minor"/>
      </rPr>
      <t>as</t>
    </r>
    <r>
      <rPr>
        <b/>
        <sz val="11"/>
        <color theme="1"/>
        <rFont val="Aptos Narrow"/>
        <family val="2"/>
        <scheme val="minor"/>
      </rPr>
      <t>/s]</t>
    </r>
  </si>
  <si>
    <r>
      <t>P</t>
    </r>
    <r>
      <rPr>
        <b/>
        <vertAlign val="subscript"/>
        <sz val="11"/>
        <color theme="1"/>
        <rFont val="Aptos Narrow (Corps)"/>
      </rPr>
      <t>pré</t>
    </r>
    <r>
      <rPr>
        <b/>
        <sz val="11"/>
        <color theme="1"/>
        <rFont val="Aptos Narrow"/>
        <family val="2"/>
        <scheme val="minor"/>
      </rPr>
      <t xml:space="preserve"> [kW] </t>
    </r>
  </si>
  <si>
    <r>
      <t>P</t>
    </r>
    <r>
      <rPr>
        <b/>
        <vertAlign val="subscript"/>
        <sz val="11"/>
        <color theme="1"/>
        <rFont val="Aptos Narrow (Corps)"/>
      </rPr>
      <t>post</t>
    </r>
    <r>
      <rPr>
        <b/>
        <sz val="11"/>
        <color theme="1"/>
        <rFont val="Aptos Narrow"/>
        <family val="2"/>
        <scheme val="minor"/>
      </rPr>
      <t xml:space="preserve"> [kW] </t>
    </r>
  </si>
  <si>
    <r>
      <t>q</t>
    </r>
    <r>
      <rPr>
        <b/>
        <sz val="8"/>
        <color theme="1"/>
        <rFont val="Aptos Narrow"/>
        <family val="2"/>
        <scheme val="minor"/>
      </rPr>
      <t>m,eau hiver</t>
    </r>
    <r>
      <rPr>
        <b/>
        <sz val="11"/>
        <color theme="1"/>
        <rFont val="Aptos Narrow"/>
        <family val="2"/>
        <scheme val="minor"/>
      </rPr>
      <t xml:space="preserve"> [kg</t>
    </r>
    <r>
      <rPr>
        <b/>
        <sz val="9"/>
        <color theme="1"/>
        <rFont val="Aptos Narrow"/>
        <family val="2"/>
        <scheme val="minor"/>
      </rPr>
      <t>eau</t>
    </r>
    <r>
      <rPr>
        <b/>
        <sz val="11"/>
        <color theme="1"/>
        <rFont val="Aptos Narrow"/>
        <family val="2"/>
        <scheme val="minor"/>
      </rPr>
      <t>/h]</t>
    </r>
  </si>
  <si>
    <t xml:space="preserve">Pfr [kW] </t>
  </si>
  <si>
    <r>
      <t>q</t>
    </r>
    <r>
      <rPr>
        <b/>
        <sz val="8"/>
        <color theme="1"/>
        <rFont val="Aptos Narrow"/>
        <family val="2"/>
        <scheme val="minor"/>
      </rPr>
      <t>m,eau été</t>
    </r>
    <r>
      <rPr>
        <b/>
        <sz val="11"/>
        <color theme="1"/>
        <rFont val="Aptos Narrow"/>
        <family val="2"/>
        <scheme val="minor"/>
      </rPr>
      <t xml:space="preserve"> [kg</t>
    </r>
    <r>
      <rPr>
        <b/>
        <sz val="9"/>
        <color theme="1"/>
        <rFont val="Aptos Narrow"/>
        <family val="2"/>
        <scheme val="minor"/>
      </rPr>
      <t>eau</t>
    </r>
    <r>
      <rPr>
        <b/>
        <sz val="11"/>
        <color theme="1"/>
        <rFont val="Aptos Narrow"/>
        <family val="2"/>
        <scheme val="minor"/>
      </rPr>
      <t>/h]</t>
    </r>
  </si>
  <si>
    <t>Résumé</t>
  </si>
  <si>
    <r>
      <t>P</t>
    </r>
    <r>
      <rPr>
        <b/>
        <vertAlign val="subscript"/>
        <sz val="11"/>
        <color rgb="FF000000"/>
        <rFont val="Aptos Narrow"/>
        <family val="2"/>
        <scheme val="minor"/>
      </rPr>
      <t>pré</t>
    </r>
    <r>
      <rPr>
        <b/>
        <sz val="11"/>
        <color rgb="FF000000"/>
        <rFont val="Aptos Narrow"/>
        <family val="2"/>
        <charset val="1"/>
        <scheme val="minor"/>
      </rPr>
      <t xml:space="preserve"> [kW] </t>
    </r>
  </si>
  <si>
    <r>
      <t>P</t>
    </r>
    <r>
      <rPr>
        <b/>
        <vertAlign val="subscript"/>
        <sz val="11"/>
        <color rgb="FF000000"/>
        <rFont val="Aptos Narrow"/>
        <family val="2"/>
        <scheme val="minor"/>
      </rPr>
      <t>post</t>
    </r>
    <r>
      <rPr>
        <b/>
        <sz val="11"/>
        <color rgb="FF000000"/>
        <rFont val="Aptos Narrow"/>
        <family val="2"/>
        <charset val="1"/>
        <scheme val="minor"/>
      </rPr>
      <t xml:space="preserve"> [kW] </t>
    </r>
  </si>
  <si>
    <r>
      <t>q</t>
    </r>
    <r>
      <rPr>
        <b/>
        <sz val="8"/>
        <color rgb="FF000000"/>
        <rFont val="Aptos Narrow"/>
        <family val="2"/>
        <charset val="1"/>
        <scheme val="minor"/>
      </rPr>
      <t>m,eau hiver</t>
    </r>
    <r>
      <rPr>
        <b/>
        <sz val="11"/>
        <color rgb="FF000000"/>
        <rFont val="Aptos Narrow"/>
        <family val="2"/>
        <charset val="1"/>
        <scheme val="minor"/>
      </rPr>
      <t xml:space="preserve"> [kg</t>
    </r>
    <r>
      <rPr>
        <b/>
        <sz val="9"/>
        <color rgb="FF000000"/>
        <rFont val="Aptos Narrow"/>
        <family val="2"/>
        <charset val="1"/>
        <scheme val="minor"/>
      </rPr>
      <t>eau</t>
    </r>
    <r>
      <rPr>
        <b/>
        <sz val="11"/>
        <color rgb="FF000000"/>
        <rFont val="Aptos Narrow"/>
        <family val="2"/>
        <charset val="1"/>
        <scheme val="minor"/>
      </rPr>
      <t>/h]</t>
    </r>
  </si>
  <si>
    <r>
      <t>q</t>
    </r>
    <r>
      <rPr>
        <b/>
        <sz val="8"/>
        <color rgb="FF000000"/>
        <rFont val="Aptos Narrow"/>
        <family val="2"/>
        <charset val="1"/>
        <scheme val="minor"/>
      </rPr>
      <t>m,eau été</t>
    </r>
    <r>
      <rPr>
        <b/>
        <sz val="11"/>
        <color rgb="FF000000"/>
        <rFont val="Aptos Narrow"/>
        <family val="2"/>
        <charset val="1"/>
        <scheme val="minor"/>
      </rPr>
      <t xml:space="preserve"> [kg</t>
    </r>
    <r>
      <rPr>
        <b/>
        <sz val="9"/>
        <color rgb="FF000000"/>
        <rFont val="Aptos Narrow"/>
        <family val="2"/>
        <charset val="1"/>
        <scheme val="minor"/>
      </rPr>
      <t>eau</t>
    </r>
    <r>
      <rPr>
        <b/>
        <sz val="11"/>
        <color rgb="FF000000"/>
        <rFont val="Aptos Narrow"/>
        <family val="2"/>
        <charset val="1"/>
        <scheme val="minor"/>
      </rPr>
      <t>/h]</t>
    </r>
  </si>
  <si>
    <t>Source</t>
  </si>
  <si>
    <t>qm  hive [m³/h]</t>
  </si>
  <si>
    <t>qm  été [m³/h]</t>
  </si>
  <si>
    <t>qm  hiver [m³/h]</t>
  </si>
  <si>
    <t>Climatisation</t>
  </si>
  <si>
    <t>Régime hivernale à roue</t>
  </si>
  <si>
    <t>Régime éstival à roue</t>
  </si>
  <si>
    <t>Régime hivernale à plaques</t>
  </si>
  <si>
    <t>Modèle</t>
  </si>
  <si>
    <r>
      <t>q</t>
    </r>
    <r>
      <rPr>
        <b/>
        <sz val="8"/>
        <color theme="1"/>
        <rFont val="Aptos Narrow"/>
        <family val="2"/>
        <scheme val="minor"/>
      </rPr>
      <t>m</t>
    </r>
    <r>
      <rPr>
        <b/>
        <sz val="11"/>
        <color theme="1"/>
        <rFont val="Aptos Narrow"/>
        <family val="2"/>
        <scheme val="minor"/>
      </rPr>
      <t xml:space="preserve"> pulsé[kg</t>
    </r>
    <r>
      <rPr>
        <b/>
        <sz val="9"/>
        <color theme="1"/>
        <rFont val="Aptos Narrow"/>
        <family val="2"/>
        <scheme val="minor"/>
      </rPr>
      <t>as</t>
    </r>
    <r>
      <rPr>
        <b/>
        <sz val="11"/>
        <color theme="1"/>
        <rFont val="Aptos Narrow"/>
        <family val="2"/>
        <scheme val="minor"/>
      </rPr>
      <t>/s]</t>
    </r>
  </si>
  <si>
    <t>Tout air neuf</t>
  </si>
  <si>
    <t>Avec recyclage</t>
  </si>
  <si>
    <t>Récupérateur à plaques</t>
  </si>
  <si>
    <t>Récupérateur à roue</t>
  </si>
  <si>
    <t>Eau chaude [C°]</t>
  </si>
  <si>
    <t>Eau froide [C°]</t>
  </si>
  <si>
    <r>
      <t>T</t>
    </r>
    <r>
      <rPr>
        <vertAlign val="subscript"/>
        <sz val="11"/>
        <color theme="1"/>
        <rFont val="Aptos Narrow (Corps)"/>
      </rPr>
      <t xml:space="preserve">hiver </t>
    </r>
    <r>
      <rPr>
        <sz val="11"/>
        <color theme="1"/>
        <rFont val="Aptos Narrow"/>
        <family val="2"/>
        <scheme val="minor"/>
      </rPr>
      <t>[C°]</t>
    </r>
  </si>
  <si>
    <r>
      <t>T</t>
    </r>
    <r>
      <rPr>
        <vertAlign val="subscript"/>
        <sz val="11"/>
        <color theme="1"/>
        <rFont val="Aptos Narrow (Corps)"/>
      </rPr>
      <t>été</t>
    </r>
    <r>
      <rPr>
        <sz val="11"/>
        <color theme="1"/>
        <rFont val="Aptos Narrow"/>
        <family val="2"/>
        <scheme val="minor"/>
      </rPr>
      <t xml:space="preserve"> [C°]</t>
    </r>
  </si>
  <si>
    <r>
      <t>P</t>
    </r>
    <r>
      <rPr>
        <b/>
        <sz val="8"/>
        <color theme="1"/>
        <rFont val="Aptos Narrow (Corps)"/>
      </rPr>
      <t>calorifique  [W]</t>
    </r>
  </si>
  <si>
    <r>
      <t>P</t>
    </r>
    <r>
      <rPr>
        <b/>
        <sz val="8"/>
        <color theme="1"/>
        <rFont val="Aptos Narrow (Corps)"/>
      </rPr>
      <t xml:space="preserve"> frigorifique [W]</t>
    </r>
  </si>
  <si>
    <r>
      <t>P</t>
    </r>
    <r>
      <rPr>
        <b/>
        <sz val="8"/>
        <color theme="1"/>
        <rFont val="Aptos Narrow (Corps)"/>
      </rPr>
      <t>calorifique corrigé  [W]</t>
    </r>
  </si>
  <si>
    <r>
      <t>P</t>
    </r>
    <r>
      <rPr>
        <b/>
        <sz val="8"/>
        <color theme="1"/>
        <rFont val="Aptos Narrow (Corps)"/>
      </rPr>
      <t>frigorifique corrigé  [W]</t>
    </r>
  </si>
  <si>
    <r>
      <t>P</t>
    </r>
    <r>
      <rPr>
        <b/>
        <vertAlign val="subscript"/>
        <sz val="12"/>
        <color theme="1"/>
        <rFont val="Aptos Narrow (Corps)"/>
      </rPr>
      <t>chauffe</t>
    </r>
    <r>
      <rPr>
        <b/>
        <sz val="11"/>
        <color theme="1"/>
        <rFont val="Aptos Narrow"/>
        <family val="2"/>
        <scheme val="minor"/>
      </rPr>
      <t xml:space="preserve">[kW] </t>
    </r>
  </si>
  <si>
    <r>
      <t>P</t>
    </r>
    <r>
      <rPr>
        <b/>
        <vertAlign val="subscript"/>
        <sz val="11"/>
        <color theme="1"/>
        <rFont val="Aptos Narrow (Corps)"/>
      </rPr>
      <t>fr</t>
    </r>
    <r>
      <rPr>
        <b/>
        <sz val="11"/>
        <color theme="1"/>
        <rFont val="Aptos Narrow"/>
        <family val="2"/>
        <scheme val="minor"/>
      </rPr>
      <t xml:space="preserve">[kW] </t>
    </r>
  </si>
  <si>
    <t>Ventilo - Convecteur</t>
  </si>
  <si>
    <t xml:space="preserve">débit recyclé </t>
  </si>
  <si>
    <t>débit recyclé</t>
  </si>
  <si>
    <t>Nombre ventilo</t>
  </si>
  <si>
    <t>Pulsé ?</t>
  </si>
  <si>
    <t>Largeur x hauteur x longueur</t>
  </si>
  <si>
    <t>Hiver</t>
  </si>
  <si>
    <t>été</t>
  </si>
  <si>
    <t>20°C</t>
  </si>
  <si>
    <t>25°C</t>
  </si>
  <si>
    <t>128x096x616</t>
  </si>
  <si>
    <t>128x096x680</t>
  </si>
  <si>
    <t>128x096x920</t>
  </si>
  <si>
    <t>096x052x440</t>
  </si>
  <si>
    <t xml:space="preserve">Filtre </t>
  </si>
  <si>
    <t>G3 et F8</t>
  </si>
  <si>
    <t>G4 et F7</t>
  </si>
  <si>
    <t>correction -&gt;</t>
  </si>
  <si>
    <t xml:space="preserve">1.COFFRE FORT </t>
  </si>
  <si>
    <t>2.KITCHENETTE</t>
  </si>
  <si>
    <t>3.ESCALIER</t>
  </si>
  <si>
    <t>4.Bureau 4</t>
  </si>
  <si>
    <t>5.Bureau5</t>
  </si>
  <si>
    <t>6.Bureau 6</t>
  </si>
  <si>
    <t>7.Bureau 7</t>
  </si>
  <si>
    <t>8.SDR</t>
  </si>
  <si>
    <t>9.Couloir droite</t>
  </si>
  <si>
    <t>10.Approvisionnement</t>
  </si>
  <si>
    <t>11/12/13. Entrée</t>
  </si>
  <si>
    <t>14.Distrib</t>
  </si>
  <si>
    <t>15.Secretariat</t>
  </si>
  <si>
    <t>16.SDR</t>
  </si>
  <si>
    <t>17. Salle d'attente</t>
  </si>
  <si>
    <t>18.WC individuelle</t>
  </si>
  <si>
    <t>19.WC PMR</t>
  </si>
  <si>
    <t>20.WC femme</t>
  </si>
  <si>
    <t>21.WC homme</t>
  </si>
  <si>
    <t>22.Trappe</t>
  </si>
  <si>
    <t>23.Trémis</t>
  </si>
  <si>
    <t>Minimum ecart soufflage</t>
  </si>
  <si>
    <t>ÉTÉ</t>
  </si>
  <si>
    <t xml:space="preserve">HIVER </t>
  </si>
  <si>
    <t>Apport en eau kg/s</t>
  </si>
  <si>
    <t xml:space="preserve"> hiver</t>
  </si>
  <si>
    <t>qm  [kgas/s]</t>
  </si>
  <si>
    <t xml:space="preserve">été </t>
  </si>
  <si>
    <t xml:space="preserve"> hiver </t>
  </si>
  <si>
    <t>ΔT soufflage [°C]</t>
  </si>
  <si>
    <t>new qm  [kgas/s]</t>
  </si>
  <si>
    <t>hiver</t>
  </si>
  <si>
    <t>fois 1000 pour passer en g/kg</t>
  </si>
  <si>
    <t>%recyclé</t>
  </si>
  <si>
    <t>Ecart Absolu g/kg</t>
  </si>
  <si>
    <r>
      <t>∆h</t>
    </r>
    <r>
      <rPr>
        <b/>
        <vertAlign val="subscript"/>
        <sz val="11"/>
        <color theme="1"/>
        <rFont val="Calibri"/>
        <family val="2"/>
      </rPr>
      <t>s</t>
    </r>
    <r>
      <rPr>
        <b/>
        <sz val="11"/>
        <color theme="1"/>
        <rFont val="Calibri"/>
        <family val="2"/>
      </rPr>
      <t xml:space="preserve"> [kJ/kg]</t>
    </r>
  </si>
  <si>
    <t>interpolation T pour m</t>
  </si>
  <si>
    <t>interpolation x pour m</t>
  </si>
  <si>
    <t>²</t>
  </si>
  <si>
    <r>
      <t>Pfr [kW] = q</t>
    </r>
    <r>
      <rPr>
        <b/>
        <vertAlign val="subscript"/>
        <sz val="11"/>
        <color theme="1"/>
        <rFont val="Aptos Narrow (Corps)"/>
      </rPr>
      <t>m été</t>
    </r>
    <r>
      <rPr>
        <b/>
        <sz val="11"/>
        <color theme="1"/>
        <rFont val="Aptos Narrow"/>
        <family val="2"/>
        <scheme val="minor"/>
      </rPr>
      <t xml:space="preserve"> . ∆h</t>
    </r>
    <r>
      <rPr>
        <b/>
        <vertAlign val="subscript"/>
        <sz val="11"/>
        <color theme="1"/>
        <rFont val="Aptos Narrow (Corps)"/>
      </rPr>
      <t>e</t>
    </r>
    <r>
      <rPr>
        <b/>
        <vertAlign val="superscript"/>
        <sz val="11"/>
        <color theme="1"/>
        <rFont val="Aptos Narrow (Corps)"/>
      </rPr>
      <t>3</t>
    </r>
  </si>
  <si>
    <t>T1bat chaude</t>
  </si>
  <si>
    <t>T2 bat chaud</t>
  </si>
  <si>
    <t>T1batfr</t>
  </si>
  <si>
    <t>T2batfr</t>
  </si>
  <si>
    <t>HIVER</t>
  </si>
  <si>
    <t>S5</t>
  </si>
  <si>
    <t>interséance</t>
  </si>
  <si>
    <t>S6</t>
  </si>
  <si>
    <t>inter</t>
  </si>
  <si>
    <t>S7</t>
  </si>
  <si>
    <t>S8</t>
  </si>
  <si>
    <t>TACHES</t>
  </si>
  <si>
    <t>Reporter nos valeurs</t>
  </si>
  <si>
    <t>calcul ecart de soufflage</t>
  </si>
  <si>
    <t>CLIM tout R9</t>
  </si>
  <si>
    <t>CLIM recyclage</t>
  </si>
  <si>
    <t>à finir pour</t>
  </si>
  <si>
    <t>fini</t>
  </si>
  <si>
    <t>test</t>
  </si>
  <si>
    <t>S9</t>
  </si>
  <si>
    <t>recup roue</t>
  </si>
  <si>
    <t>recup plaque</t>
  </si>
  <si>
    <t>ventilo convecteur</t>
  </si>
  <si>
    <t>TEMPS POUR CORRIGER</t>
  </si>
  <si>
    <r>
      <t>∆x</t>
    </r>
    <r>
      <rPr>
        <b/>
        <vertAlign val="subscript"/>
        <sz val="11"/>
        <color theme="1"/>
        <rFont val="Aptos Narrow"/>
        <family val="2"/>
        <scheme val="minor"/>
      </rPr>
      <t>m</t>
    </r>
    <r>
      <rPr>
        <b/>
        <vertAlign val="superscript"/>
        <sz val="11"/>
        <color theme="1"/>
        <rFont val="Aptos Narrow (Corps)"/>
      </rPr>
      <t>1</t>
    </r>
    <r>
      <rPr>
        <b/>
        <sz val="11"/>
        <color theme="1"/>
        <rFont val="Aptos Narrow"/>
        <family val="2"/>
        <scheme val="minor"/>
      </rPr>
      <t xml:space="preserve"> [g</t>
    </r>
    <r>
      <rPr>
        <b/>
        <sz val="9"/>
        <color theme="1"/>
        <rFont val="Aptos Narrow"/>
        <family val="2"/>
        <scheme val="minor"/>
      </rPr>
      <t>eau</t>
    </r>
    <r>
      <rPr>
        <b/>
        <sz val="11"/>
        <color theme="1"/>
        <rFont val="Aptos Narrow"/>
        <family val="2"/>
        <scheme val="minor"/>
      </rPr>
      <t>/kg</t>
    </r>
    <r>
      <rPr>
        <b/>
        <sz val="9"/>
        <color theme="1"/>
        <rFont val="Aptos Narrow"/>
        <family val="2"/>
        <scheme val="minor"/>
      </rPr>
      <t>as</t>
    </r>
    <r>
      <rPr>
        <b/>
        <sz val="11"/>
        <color theme="1"/>
        <rFont val="Aptos Narrow"/>
        <family val="2"/>
        <scheme val="minor"/>
      </rPr>
      <t>]</t>
    </r>
  </si>
  <si>
    <t>entamé</t>
  </si>
  <si>
    <t>qm bat post  [kg/h]</t>
  </si>
  <si>
    <t>qm bat fr  [kg/h]</t>
  </si>
  <si>
    <t>qm bat pré  [kg/h]</t>
  </si>
  <si>
    <t>CEST SANS RECYCLAGE CAR CEST SOIT LUN SOIT LAUTRE</t>
  </si>
  <si>
    <t>M³/H</t>
  </si>
  <si>
    <t>RECUP A ROUE YA TOUJOURS UNE FUITE DE AIR VISCIE VERS AIR NEUF DONC CA MARCHE APS DANS LES MILIEUX STRICTES COMME PHARMA</t>
  </si>
  <si>
    <t xml:space="preserve">EXAM </t>
  </si>
  <si>
    <t>RECUPERATEUR A PLAQUE CEST flux CROISE DONC IL RENTRE EN HAUT ET RESSORT EN BAS</t>
  </si>
  <si>
    <t>RECUP A ROUE CA RENTRE EN BAS CA SORT EN BAS CAR PAS CROISE CEST PARALLELES</t>
  </si>
  <si>
    <t>A PART DANS DES CAS RARES OU YA DES GROSSES RELANCES ZEHMA ON TOURNE 1 A 2 FOIS PAR SEMAINE</t>
  </si>
  <si>
    <t>DEBIT D AIR WC CEST 50M3/H PAR SANITAIRE</t>
  </si>
  <si>
    <t>FILTRE 2, 2.7M/S DANS LA DEMI ROUE</t>
  </si>
  <si>
    <t>Régime estival à plaques</t>
  </si>
  <si>
    <t>W</t>
  </si>
  <si>
    <t>h</t>
  </si>
  <si>
    <t>debit hiver</t>
  </si>
  <si>
    <t>debit été</t>
  </si>
  <si>
    <t>v hiver</t>
  </si>
  <si>
    <t>v été</t>
  </si>
  <si>
    <t>L</t>
  </si>
  <si>
    <t>PLUS PETIT QUE 2,7 DONC CA VA ETRE FILTRE PAR LES FILTRES OK</t>
  </si>
  <si>
    <r>
      <t>∆h</t>
    </r>
    <r>
      <rPr>
        <b/>
        <vertAlign val="subscript"/>
        <sz val="11"/>
        <color theme="1"/>
        <rFont val="Calibri"/>
        <family val="2"/>
      </rPr>
      <t>s</t>
    </r>
    <r>
      <rPr>
        <b/>
        <vertAlign val="superscript"/>
        <sz val="11"/>
        <color theme="1"/>
        <rFont val="Calibri"/>
        <family val="2"/>
      </rPr>
      <t>2</t>
    </r>
    <r>
      <rPr>
        <b/>
        <sz val="11"/>
        <color theme="1"/>
        <rFont val="Calibri"/>
        <family val="2"/>
      </rPr>
      <t>[kJ/kg]</t>
    </r>
  </si>
  <si>
    <r>
      <t>P</t>
    </r>
    <r>
      <rPr>
        <b/>
        <vertAlign val="subscript"/>
        <sz val="11"/>
        <color theme="1"/>
        <rFont val="Aptos Narrow (Corps)"/>
      </rPr>
      <t>post</t>
    </r>
    <r>
      <rPr>
        <b/>
        <sz val="11"/>
        <color theme="1"/>
        <rFont val="Aptos Narrow"/>
        <family val="2"/>
        <scheme val="minor"/>
      </rPr>
      <t xml:space="preserve"> [kW] =q</t>
    </r>
    <r>
      <rPr>
        <b/>
        <vertAlign val="subscript"/>
        <sz val="11"/>
        <color theme="1"/>
        <rFont val="Aptos Narrow (Corps)"/>
      </rPr>
      <t>m  hiver</t>
    </r>
    <r>
      <rPr>
        <b/>
        <sz val="11"/>
        <color theme="1"/>
        <rFont val="Aptos Narrow"/>
        <family val="2"/>
        <scheme val="minor"/>
      </rPr>
      <t xml:space="preserve"> . ∆h</t>
    </r>
    <r>
      <rPr>
        <b/>
        <vertAlign val="subscript"/>
        <sz val="11"/>
        <color theme="1"/>
        <rFont val="Aptos Narrow (Corps)"/>
      </rPr>
      <t>s</t>
    </r>
    <r>
      <rPr>
        <b/>
        <vertAlign val="superscript"/>
        <sz val="11"/>
        <color theme="1"/>
        <rFont val="Aptos Narrow (Corps)"/>
      </rPr>
      <t>2</t>
    </r>
  </si>
  <si>
    <r>
      <t>∆x</t>
    </r>
    <r>
      <rPr>
        <b/>
        <vertAlign val="subscript"/>
        <sz val="11"/>
        <color theme="1"/>
        <rFont val="Aptos Narrow (Corps)"/>
      </rPr>
      <t>1</t>
    </r>
    <r>
      <rPr>
        <b/>
        <vertAlign val="superscript"/>
        <sz val="11"/>
        <color theme="1"/>
        <rFont val="Aptos Narrow (Corps)"/>
      </rPr>
      <t>2</t>
    </r>
  </si>
  <si>
    <t>,+</t>
  </si>
  <si>
    <t>DONC POUR DIMENSIONNER LA CTA ON SE BASE SUR UNE LONGUEUR D'UNE CTA BUILT IN DONC ON IMAGINE NOTRE CTA AVEC UNE LONGUEUR TOTALE DE 3880MM ET UNE SECTION DE 2380X2380</t>
  </si>
  <si>
    <t>BUILT IN CA VEUT DIRE YA UN ECHANGEUR DEDANS LES BATTERIES ET TT ET TT</t>
  </si>
  <si>
    <t>CA RENTRE DANS NOTRE LOCAL TECHNIQUE CAR ON A LA PLACE 7,8Mx5,9M</t>
  </si>
  <si>
    <t>f</t>
  </si>
  <si>
    <t>V HIVER</t>
  </si>
  <si>
    <t>V ÉTÉ</t>
  </si>
  <si>
    <t>NON</t>
  </si>
  <si>
    <t>OUI</t>
  </si>
  <si>
    <t>puissance trop faible donc rechauffe par les autres pieces</t>
  </si>
  <si>
    <t>Regime constructeur</t>
  </si>
  <si>
    <t xml:space="preserve">PUISSANCE ACOUSTIQUE MAX  47 DECIBEL MAX </t>
  </si>
  <si>
    <t>HyFlex-Geko Size 2, GS2MM.UWWH1.%</t>
  </si>
  <si>
    <t>Cassette-Geko Big Single, GCB1.UWW.SE5</t>
  </si>
  <si>
    <t>ON DOIT CHOISIR DES CASSETTE  CAR Y A VENTILO  AVEC BATTERIE CHAUDE ET FROIDE</t>
  </si>
  <si>
    <t>DONC SI ON VEUT PRENDRE 2 VENTILO FAUT 44 DB MAX</t>
  </si>
  <si>
    <t>CONSTRUCTEUR</t>
  </si>
  <si>
    <t>HyFlex-Geko Size 2, GS2MM.UWWH1.</t>
  </si>
  <si>
    <t>TRAVAIIILLE A SAHBE</t>
  </si>
  <si>
    <t xml:space="preserve">diagramme psychométrique a une temperature donné </t>
  </si>
  <si>
    <t xml:space="preserve">nouveaux poi,nt exterieur est le point m plus e </t>
  </si>
  <si>
    <t>Cassette-Geko Single, GCB1.UWW.SE5</t>
  </si>
  <si>
    <t>Cassette-Geko Single, GCB1.UWW.SE6</t>
  </si>
  <si>
    <t>Cassette-Geko Single, GCB1.UWW.SE7</t>
  </si>
  <si>
    <t>Cassette-Geko Single, GCB1.UWW.SE8</t>
  </si>
  <si>
    <t>s1</t>
  </si>
  <si>
    <r>
      <t>P</t>
    </r>
    <r>
      <rPr>
        <b/>
        <sz val="12"/>
        <color rgb="FF000000"/>
        <rFont val="Arial"/>
        <family val="2"/>
      </rPr>
      <t>chauffe</t>
    </r>
    <r>
      <rPr>
        <b/>
        <sz val="11"/>
        <color theme="1"/>
        <rFont val="Aptos Narrow"/>
        <family val="2"/>
        <scheme val="minor"/>
      </rPr>
      <t>[kW]</t>
    </r>
  </si>
  <si>
    <r>
      <t>P</t>
    </r>
    <r>
      <rPr>
        <b/>
        <sz val="11"/>
        <color rgb="FF000000"/>
        <rFont val="Arial"/>
        <family val="2"/>
      </rPr>
      <t>fr</t>
    </r>
    <r>
      <rPr>
        <b/>
        <sz val="11"/>
        <color theme="1"/>
        <rFont val="Aptos Narrow"/>
        <family val="2"/>
        <scheme val="minor"/>
      </rPr>
      <t>[kW]</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</si>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</sst>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
    <numFmt numFmtId="166" formatCode="_-* #,##0_-;\-* #,##0_-;_-* &quot;-&quot;??_-;_-@_-"/>
    <numFmt numFmtId="167" formatCode="0.0000"/>
  </numFmts>
  <fonts count="46">
    <font>
      <sz val="11"/>
      <color theme="1"/>
      <name val="Aptos Narrow"/>
      <family val="2"/>
      <scheme val="minor"/>
    </font>
    <font>
      <sz val="11"/>
      <color theme="1"/>
      <name val="Aptos Narrow"/>
      <family val="2"/>
    </font>
    <font>
      <sz val="8"/>
      <color theme="1"/>
      <name val="Aptos Narrow"/>
      <family val="2"/>
      <scheme val="minor"/>
    </font>
    <font>
      <sz val="8"/>
      <color theme="1"/>
      <name val="Aptos Narrow"/>
      <family val="2"/>
    </font>
    <font>
      <b/>
      <sz val="11"/>
      <color theme="1"/>
      <name val="Aptos Narrow"/>
      <family val="2"/>
      <scheme val="minor"/>
    </font>
    <font>
      <sz val="11"/>
      <color theme="1"/>
      <name val="Aptos Narrow"/>
      <family val="2"/>
    </font>
    <font>
      <sz val="9"/>
      <color theme="1"/>
      <name val="Aptos Narrow"/>
      <family val="2"/>
    </font>
    <font>
      <vertAlign val="superscript"/>
      <sz val="11"/>
      <color theme="1"/>
      <name val="Aptos Narrow (Corps)"/>
    </font>
    <font>
      <vertAlign val="subscript"/>
      <sz val="11"/>
      <color theme="1"/>
      <name val="Aptos Narrow (Corps)"/>
    </font>
    <font>
      <sz val="11"/>
      <color rgb="FF000000"/>
      <name val="Aptos Narrow"/>
      <family val="2"/>
    </font>
    <font>
      <sz val="8"/>
      <color rgb="FF000000"/>
      <name val="Aptos Narrow"/>
      <family val="2"/>
    </font>
    <font>
      <b/>
      <sz val="20"/>
      <color theme="1"/>
      <name val="Aptos Narrow"/>
      <family val="2"/>
      <scheme val="minor"/>
    </font>
    <font>
      <sz val="14"/>
      <color theme="1"/>
      <name val="Aptos Narrow"/>
      <family val="2"/>
      <scheme val="minor"/>
    </font>
    <font>
      <b/>
      <sz val="14"/>
      <color theme="1"/>
      <name val="Aptos Narrow"/>
      <family val="2"/>
      <scheme val="minor"/>
    </font>
    <font>
      <sz val="12"/>
      <color rgb="FF000000"/>
      <name val="Aptos Narrow"/>
      <family val="2"/>
      <scheme val="minor"/>
    </font>
    <font>
      <sz val="9"/>
      <color theme="1"/>
      <name val="Aptos Narrow"/>
      <family val="2"/>
      <scheme val="minor"/>
    </font>
    <font>
      <sz val="11"/>
      <name val="Aptos Narrow"/>
      <family val="2"/>
      <scheme val="minor"/>
    </font>
    <font>
      <vertAlign val="subscript"/>
      <sz val="11"/>
      <color theme="1"/>
      <name val="Calibri"/>
      <family val="2"/>
    </font>
    <font>
      <sz val="11"/>
      <color theme="1"/>
      <name val="Calibri"/>
      <family val="2"/>
    </font>
    <font>
      <b/>
      <sz val="11"/>
      <color theme="1"/>
      <name val="Calibri"/>
      <family val="2"/>
    </font>
    <font>
      <b/>
      <vertAlign val="subscript"/>
      <sz val="11"/>
      <color theme="1"/>
      <name val="Aptos Narrow (Corps)"/>
    </font>
    <font>
      <b/>
      <vertAlign val="subscript"/>
      <sz val="11"/>
      <color theme="1"/>
      <name val="Calibri"/>
      <family val="2"/>
    </font>
    <font>
      <b/>
      <vertAlign val="superscript"/>
      <sz val="11"/>
      <color theme="1"/>
      <name val="Calibri"/>
      <family val="2"/>
    </font>
    <font>
      <b/>
      <vertAlign val="superscript"/>
      <sz val="11"/>
      <color theme="1"/>
      <name val="Aptos Narrow (Corps)"/>
    </font>
    <font>
      <b/>
      <sz val="8"/>
      <color theme="1"/>
      <name val="Aptos Narrow"/>
      <family val="2"/>
      <scheme val="minor"/>
    </font>
    <font>
      <b/>
      <sz val="11"/>
      <color theme="1"/>
      <name val="Aptos Narrow"/>
      <family val="2"/>
      <scheme val="minor"/>
    </font>
    <font>
      <b/>
      <sz val="9"/>
      <color theme="1"/>
      <name val="Aptos Narrow"/>
      <family val="2"/>
      <scheme val="minor"/>
    </font>
    <font>
      <b/>
      <vertAlign val="superscript"/>
      <sz val="11"/>
      <color theme="1"/>
      <name val="Aptos Narrow"/>
      <family val="2"/>
      <scheme val="minor"/>
    </font>
    <font>
      <b/>
      <u/>
      <sz val="11"/>
      <color theme="1"/>
      <name val="Aptos Narrow"/>
      <family val="2"/>
      <scheme val="minor"/>
    </font>
    <font>
      <b/>
      <sz val="11"/>
      <color rgb="FF000000"/>
      <name val="Aptos Narrow"/>
      <family val="2"/>
      <charset val="1"/>
      <scheme val="minor"/>
    </font>
    <font>
      <b/>
      <vertAlign val="subscript"/>
      <sz val="11"/>
      <color rgb="FF000000"/>
      <name val="Aptos Narrow"/>
      <family val="2"/>
      <scheme val="minor"/>
    </font>
    <font>
      <sz val="11"/>
      <color rgb="FF000000"/>
      <name val="Aptos Narrow"/>
      <family val="2"/>
      <charset val="1"/>
      <scheme val="minor"/>
    </font>
    <font>
      <b/>
      <sz val="8"/>
      <color rgb="FF000000"/>
      <name val="Aptos Narrow"/>
      <family val="2"/>
      <charset val="1"/>
      <scheme val="minor"/>
    </font>
    <font>
      <b/>
      <sz val="9"/>
      <color rgb="FF000000"/>
      <name val="Aptos Narrow"/>
      <family val="2"/>
      <charset val="1"/>
      <scheme val="minor"/>
    </font>
    <font>
      <b/>
      <sz val="11"/>
      <color rgb="FF000000"/>
      <name val="Aptos Narrow"/>
      <family val="2"/>
      <scheme val="minor"/>
    </font>
    <font>
      <b/>
      <sz val="11"/>
      <name val="Aptos Narrow"/>
      <family val="2"/>
      <scheme val="minor"/>
    </font>
    <font>
      <b/>
      <sz val="8"/>
      <color theme="1"/>
      <name val="Aptos Narrow (Corps)"/>
    </font>
    <font>
      <b/>
      <vertAlign val="subscript"/>
      <sz val="12"/>
      <color theme="1"/>
      <name val="Aptos Narrow (Corps)"/>
    </font>
    <font>
      <sz val="11"/>
      <color rgb="FFFF0000"/>
      <name val="Aptos Narrow"/>
      <family val="2"/>
      <scheme val="minor"/>
    </font>
    <font>
      <sz val="11"/>
      <color theme="1"/>
      <name val="Aptos Narrow"/>
      <family val="2"/>
      <scheme val="minor"/>
    </font>
    <font>
      <sz val="11"/>
      <color rgb="FFC00000"/>
      <name val="Aptos Narrow"/>
      <family val="2"/>
      <scheme val="minor"/>
    </font>
    <font>
      <b/>
      <sz val="11"/>
      <color theme="1"/>
      <name val="Calibri"/>
      <family val="2"/>
    </font>
    <font>
      <sz val="72"/>
      <color theme="1"/>
      <name val="Aptos Narrow"/>
      <family val="2"/>
      <scheme val="minor"/>
    </font>
    <font>
      <b/>
      <vertAlign val="subscript"/>
      <sz val="11"/>
      <color theme="1"/>
      <name val="Aptos Narrow"/>
      <family val="2"/>
      <scheme val="minor"/>
    </font>
    <font>
      <b/>
      <sz val="12"/>
      <color rgb="FF000000"/>
      <name val="Arial"/>
      <family val="2"/>
    </font>
    <font>
      <b/>
      <sz val="11"/>
      <color rgb="FF000000"/>
      <name val="Arial"/>
      <family val="2"/>
    </font>
  </fonts>
  <fills count="2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5" tint="0.59999389629810485"/>
        <bgColor indexed="64"/>
      </patternFill>
    </fill>
    <fill>
      <patternFill patternType="solid">
        <fgColor theme="1"/>
        <bgColor indexed="64"/>
      </patternFill>
    </fill>
    <fill>
      <patternFill patternType="solid">
        <fgColor theme="9" tint="0.59999389629810485"/>
        <bgColor indexed="64"/>
      </patternFill>
    </fill>
    <fill>
      <patternFill patternType="solid">
        <fgColor theme="0"/>
        <bgColor theme="9"/>
      </patternFill>
    </fill>
    <fill>
      <patternFill patternType="solid">
        <fgColor rgb="FFFF0000"/>
        <bgColor indexed="64"/>
      </patternFill>
    </fill>
    <fill>
      <patternFill patternType="solid">
        <fgColor rgb="FFF1A4B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3" tint="0.89999084444715716"/>
        <bgColor theme="9"/>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9" tint="-0.499984740745262"/>
        <bgColor indexed="64"/>
      </patternFill>
    </fill>
    <fill>
      <patternFill patternType="solid">
        <fgColor theme="7" tint="0.79998168889431442"/>
        <bgColor indexed="64"/>
      </patternFill>
    </fill>
    <fill>
      <patternFill patternType="solid">
        <fgColor theme="3" tint="0.499984740745262"/>
        <bgColor indexed="64"/>
      </patternFill>
    </fill>
    <fill>
      <patternFill patternType="solid">
        <fgColor theme="6" tint="-0.249977111117893"/>
        <bgColor indexed="64"/>
      </patternFill>
    </fill>
    <fill>
      <patternFill patternType="solid">
        <fgColor theme="6"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43" fontId="39" fillId="0" borderId="0" applyFont="0" applyFill="0" applyBorder="0" applyAlignment="0" applyProtection="0"/>
  </cellStyleXfs>
  <cellXfs count="231">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2" fontId="0" fillId="2" borderId="1" xfId="0" applyNumberForma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0" fontId="5" fillId="0" borderId="1" xfId="0" applyFont="1" applyBorder="1" applyAlignment="1">
      <alignment horizontal="center"/>
    </xf>
    <xf numFmtId="0" fontId="4" fillId="0" borderId="4"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4" fillId="0" borderId="12" xfId="0" applyFont="1" applyBorder="1" applyAlignment="1">
      <alignment horizontal="center"/>
    </xf>
    <xf numFmtId="0" fontId="0" fillId="0" borderId="8" xfId="0" applyBorder="1"/>
    <xf numFmtId="0" fontId="5" fillId="0" borderId="8" xfId="0" applyFont="1" applyBorder="1" applyAlignment="1">
      <alignment horizontal="center"/>
    </xf>
    <xf numFmtId="0" fontId="1" fillId="0" borderId="0" xfId="0" applyFont="1" applyAlignment="1">
      <alignment horizontal="center"/>
    </xf>
    <xf numFmtId="2" fontId="0" fillId="0" borderId="0" xfId="0" applyNumberFormat="1"/>
    <xf numFmtId="0" fontId="0" fillId="0" borderId="8" xfId="0" applyBorder="1" applyAlignment="1">
      <alignment horizontal="center" vertical="center"/>
    </xf>
    <xf numFmtId="0" fontId="1" fillId="0" borderId="8" xfId="0" applyFont="1" applyBorder="1" applyAlignment="1">
      <alignment horizontal="center" vertical="center"/>
    </xf>
    <xf numFmtId="0" fontId="0" fillId="0" borderId="0" xfId="0" applyAlignment="1">
      <alignment horizontal="center"/>
    </xf>
    <xf numFmtId="2" fontId="0" fillId="0" borderId="1" xfId="0" applyNumberFormat="1" applyBorder="1" applyAlignment="1">
      <alignment horizontal="center" vertical="center"/>
    </xf>
    <xf numFmtId="0" fontId="0" fillId="0" borderId="3" xfId="0" applyBorder="1" applyAlignment="1">
      <alignment horizontal="center"/>
    </xf>
    <xf numFmtId="0" fontId="0" fillId="0" borderId="3" xfId="0" applyBorder="1"/>
    <xf numFmtId="0" fontId="0" fillId="2" borderId="0" xfId="0" applyFill="1"/>
    <xf numFmtId="2" fontId="0" fillId="0" borderId="8" xfId="0" applyNumberFormat="1" applyBorder="1" applyAlignment="1">
      <alignment horizontal="center"/>
    </xf>
    <xf numFmtId="0" fontId="0" fillId="0" borderId="2" xfId="0" applyBorder="1"/>
    <xf numFmtId="2" fontId="0" fillId="5" borderId="1" xfId="0" applyNumberFormat="1" applyFill="1" applyBorder="1" applyAlignment="1">
      <alignment horizontal="center" vertical="center"/>
    </xf>
    <xf numFmtId="0" fontId="5" fillId="0" borderId="1" xfId="0" applyFont="1" applyBorder="1" applyAlignment="1">
      <alignment horizontal="center" vertical="center"/>
    </xf>
    <xf numFmtId="0" fontId="9" fillId="0" borderId="3" xfId="0" applyFont="1" applyBorder="1" applyAlignment="1">
      <alignment horizontal="center"/>
    </xf>
    <xf numFmtId="1" fontId="0" fillId="0" borderId="1" xfId="0" applyNumberFormat="1" applyBorder="1" applyAlignment="1">
      <alignment horizontal="center" vertical="center"/>
    </xf>
    <xf numFmtId="0" fontId="0" fillId="0" borderId="1" xfId="0" applyBorder="1" applyAlignment="1">
      <alignment vertical="center"/>
    </xf>
    <xf numFmtId="0" fontId="0" fillId="2" borderId="1" xfId="0" applyFill="1" applyBorder="1"/>
    <xf numFmtId="0" fontId="0" fillId="2" borderId="9" xfId="0" applyFill="1" applyBorder="1"/>
    <xf numFmtId="0" fontId="0" fillId="0" borderId="14" xfId="0" applyBorder="1" applyAlignment="1">
      <alignment horizontal="center"/>
    </xf>
    <xf numFmtId="0" fontId="0" fillId="0" borderId="9" xfId="0" applyBorder="1" applyAlignment="1">
      <alignment vertical="center"/>
    </xf>
    <xf numFmtId="0" fontId="16"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19" fillId="2" borderId="1" xfId="0" applyFont="1" applyFill="1" applyBorder="1" applyAlignment="1">
      <alignment horizontal="center" vertical="center" wrapText="1"/>
    </xf>
    <xf numFmtId="0" fontId="0" fillId="0" borderId="0" xfId="0"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xf>
    <xf numFmtId="164" fontId="0" fillId="0" borderId="1" xfId="0" applyNumberFormat="1" applyBorder="1" applyAlignment="1">
      <alignment horizontal="center" vertical="center"/>
    </xf>
    <xf numFmtId="2" fontId="0" fillId="2" borderId="1" xfId="0" applyNumberFormat="1" applyFill="1" applyBorder="1" applyAlignment="1">
      <alignment horizontal="center" vertical="center"/>
    </xf>
    <xf numFmtId="2" fontId="14" fillId="0" borderId="1" xfId="0" applyNumberFormat="1" applyFont="1" applyBorder="1" applyAlignment="1">
      <alignment horizontal="center" vertical="center"/>
    </xf>
    <xf numFmtId="0" fontId="5" fillId="0" borderId="8" xfId="0" applyFont="1" applyBorder="1" applyAlignment="1">
      <alignment horizontal="center" vertical="center"/>
    </xf>
    <xf numFmtId="0" fontId="4" fillId="0" borderId="0" xfId="0" applyFont="1" applyAlignment="1">
      <alignment horizontal="center"/>
    </xf>
    <xf numFmtId="2" fontId="0" fillId="7" borderId="1" xfId="0" applyNumberFormat="1" applyFill="1" applyBorder="1" applyAlignment="1">
      <alignment horizontal="center"/>
    </xf>
    <xf numFmtId="0" fontId="12" fillId="0" borderId="0" xfId="0" applyFont="1" applyAlignment="1">
      <alignment horizontal="center"/>
    </xf>
    <xf numFmtId="0" fontId="13" fillId="0" borderId="0" xfId="0" applyFont="1" applyAlignment="1">
      <alignment vertical="center"/>
    </xf>
    <xf numFmtId="0" fontId="13" fillId="0" borderId="0" xfId="0" applyFont="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xf>
    <xf numFmtId="0" fontId="13" fillId="0" borderId="0" xfId="0" applyFont="1"/>
    <xf numFmtId="0" fontId="11" fillId="0" borderId="0" xfId="0" applyFont="1" applyAlignment="1">
      <alignment vertical="center" shrinkToFit="1"/>
    </xf>
    <xf numFmtId="0" fontId="12" fillId="0" borderId="0" xfId="0" applyFont="1" applyAlignment="1">
      <alignment vertical="center"/>
    </xf>
    <xf numFmtId="0" fontId="12" fillId="0" borderId="0" xfId="0" applyFont="1"/>
    <xf numFmtId="0" fontId="12" fillId="8" borderId="0" xfId="0" applyFont="1" applyFill="1" applyAlignment="1">
      <alignment vertical="center"/>
    </xf>
    <xf numFmtId="0" fontId="13" fillId="8" borderId="0" xfId="0" applyFont="1" applyFill="1" applyAlignment="1">
      <alignment vertical="center"/>
    </xf>
    <xf numFmtId="0" fontId="0" fillId="8" borderId="0" xfId="0" applyFill="1"/>
    <xf numFmtId="0" fontId="4" fillId="2" borderId="8" xfId="0" applyFont="1" applyFill="1" applyBorder="1" applyAlignment="1">
      <alignment horizontal="center" vertical="center"/>
    </xf>
    <xf numFmtId="2" fontId="0" fillId="9" borderId="1" xfId="0" applyNumberFormat="1" applyFill="1" applyBorder="1" applyAlignment="1">
      <alignment horizontal="center"/>
    </xf>
    <xf numFmtId="0" fontId="4" fillId="0" borderId="1" xfId="0" applyFont="1" applyBorder="1" applyAlignment="1">
      <alignment horizontal="center" vertical="center"/>
    </xf>
    <xf numFmtId="0" fontId="4" fillId="0" borderId="9" xfId="0" applyFont="1" applyBorder="1" applyAlignment="1">
      <alignment horizontal="center" vertical="center"/>
    </xf>
    <xf numFmtId="0" fontId="16" fillId="0" borderId="9" xfId="0" applyFont="1" applyBorder="1" applyAlignment="1">
      <alignment horizontal="center" vertical="center" wrapText="1"/>
    </xf>
    <xf numFmtId="0" fontId="4" fillId="0" borderId="14" xfId="0" applyFont="1" applyBorder="1" applyAlignment="1">
      <alignment horizontal="center"/>
    </xf>
    <xf numFmtId="2" fontId="0" fillId="12" borderId="1" xfId="0" applyNumberFormat="1" applyFill="1" applyBorder="1" applyAlignment="1">
      <alignment horizontal="center"/>
    </xf>
    <xf numFmtId="0" fontId="4" fillId="0" borderId="1" xfId="0" applyFont="1" applyBorder="1"/>
    <xf numFmtId="0" fontId="0" fillId="0" borderId="15" xfId="0" applyBorder="1"/>
    <xf numFmtId="0" fontId="4" fillId="0" borderId="0" xfId="0" applyFont="1" applyAlignment="1">
      <alignment horizontal="center" vertical="center" wrapText="1"/>
    </xf>
    <xf numFmtId="0" fontId="29" fillId="0" borderId="1" xfId="0" applyFont="1" applyBorder="1" applyAlignment="1">
      <alignment horizontal="center" vertical="center" wrapText="1"/>
    </xf>
    <xf numFmtId="0" fontId="29" fillId="6" borderId="1" xfId="0" applyFont="1" applyFill="1" applyBorder="1" applyAlignment="1">
      <alignment horizontal="center" vertical="center"/>
    </xf>
    <xf numFmtId="2" fontId="31" fillId="0" borderId="1" xfId="0" applyNumberFormat="1" applyFont="1" applyBorder="1" applyAlignment="1">
      <alignment horizontal="center" vertical="center"/>
    </xf>
    <xf numFmtId="2" fontId="0" fillId="13" borderId="1" xfId="0" applyNumberFormat="1" applyFill="1" applyBorder="1" applyAlignment="1">
      <alignment horizontal="center" vertical="center"/>
    </xf>
    <xf numFmtId="0" fontId="35" fillId="0" borderId="1" xfId="0" applyFont="1" applyBorder="1" applyAlignment="1">
      <alignment horizontal="center" vertical="center"/>
    </xf>
    <xf numFmtId="0" fontId="35" fillId="0" borderId="1" xfId="0" applyFont="1" applyBorder="1" applyAlignment="1">
      <alignment horizontal="center" vertical="center" wrapText="1"/>
    </xf>
    <xf numFmtId="0" fontId="34" fillId="2" borderId="1" xfId="0" applyFont="1" applyFill="1" applyBorder="1" applyAlignment="1">
      <alignment horizontal="center" vertical="center"/>
    </xf>
    <xf numFmtId="0" fontId="25" fillId="0" borderId="1" xfId="0" applyFont="1" applyBorder="1" applyAlignment="1">
      <alignment horizontal="center" vertical="center"/>
    </xf>
    <xf numFmtId="0" fontId="4" fillId="14" borderId="9" xfId="0" applyFont="1" applyFill="1" applyBorder="1" applyAlignment="1">
      <alignment horizontal="center" vertical="center"/>
    </xf>
    <xf numFmtId="0" fontId="4" fillId="15" borderId="9" xfId="0" applyFont="1" applyFill="1" applyBorder="1" applyAlignment="1">
      <alignment horizontal="center" vertical="center"/>
    </xf>
    <xf numFmtId="0" fontId="4" fillId="0" borderId="1" xfId="0" applyFont="1" applyBorder="1" applyAlignment="1">
      <alignment horizontal="center"/>
    </xf>
    <xf numFmtId="0" fontId="4" fillId="2" borderId="0" xfId="0" applyFont="1" applyFill="1" applyAlignment="1">
      <alignment horizontal="center"/>
    </xf>
    <xf numFmtId="0" fontId="0" fillId="4" borderId="1" xfId="0" applyFill="1" applyBorder="1" applyAlignment="1">
      <alignment horizontal="center"/>
    </xf>
    <xf numFmtId="0" fontId="0" fillId="4" borderId="1" xfId="0" applyFill="1" applyBorder="1" applyAlignment="1">
      <alignment horizontal="center" vertical="center"/>
    </xf>
    <xf numFmtId="0" fontId="0" fillId="4" borderId="3" xfId="0" applyFill="1" applyBorder="1" applyAlignment="1">
      <alignment horizontal="center" vertical="center"/>
    </xf>
    <xf numFmtId="0" fontId="0" fillId="5" borderId="1" xfId="0" applyFill="1" applyBorder="1" applyAlignment="1">
      <alignment horizont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38" fillId="0" borderId="0" xfId="0" applyFont="1"/>
    <xf numFmtId="0" fontId="0" fillId="0" borderId="10" xfId="0" applyBorder="1" applyAlignment="1">
      <alignment vertical="center"/>
    </xf>
    <xf numFmtId="0" fontId="0" fillId="0" borderId="11" xfId="0" applyBorder="1" applyAlignment="1">
      <alignment vertical="center"/>
    </xf>
    <xf numFmtId="0" fontId="0" fillId="2" borderId="17" xfId="0" applyFill="1" applyBorder="1"/>
    <xf numFmtId="0" fontId="0" fillId="2" borderId="18" xfId="0" applyFill="1" applyBorder="1"/>
    <xf numFmtId="0" fontId="0" fillId="2" borderId="19" xfId="0" applyFill="1" applyBorder="1"/>
    <xf numFmtId="14" fontId="14" fillId="0" borderId="16" xfId="0" applyNumberFormat="1" applyFont="1" applyBorder="1" applyAlignment="1">
      <alignment vertical="center"/>
    </xf>
    <xf numFmtId="14" fontId="14" fillId="0" borderId="10" xfId="0" applyNumberFormat="1" applyFont="1" applyBorder="1" applyAlignment="1">
      <alignment vertical="center"/>
    </xf>
    <xf numFmtId="14" fontId="14" fillId="0" borderId="11" xfId="0" applyNumberFormat="1" applyFont="1" applyBorder="1" applyAlignment="1">
      <alignment vertical="center"/>
    </xf>
    <xf numFmtId="43" fontId="0" fillId="2" borderId="1" xfId="0" applyNumberFormat="1" applyFill="1" applyBorder="1"/>
    <xf numFmtId="43" fontId="0" fillId="2" borderId="9" xfId="0" applyNumberFormat="1" applyFill="1" applyBorder="1"/>
    <xf numFmtId="0" fontId="0" fillId="2" borderId="1" xfId="0" applyFill="1" applyBorder="1" applyAlignment="1">
      <alignment horizontal="center"/>
    </xf>
    <xf numFmtId="43" fontId="0" fillId="2" borderId="1" xfId="0" applyNumberFormat="1" applyFill="1" applyBorder="1" applyAlignment="1">
      <alignment horizontal="center"/>
    </xf>
    <xf numFmtId="14" fontId="14" fillId="0" borderId="1" xfId="0" applyNumberFormat="1" applyFont="1" applyBorder="1" applyAlignment="1">
      <alignment vertical="center"/>
    </xf>
    <xf numFmtId="1" fontId="0" fillId="0" borderId="9" xfId="0" applyNumberFormat="1" applyBorder="1" applyAlignment="1">
      <alignment vertical="center"/>
    </xf>
    <xf numFmtId="1" fontId="0" fillId="0" borderId="11" xfId="0" applyNumberFormat="1" applyBorder="1" applyAlignment="1">
      <alignment vertical="center"/>
    </xf>
    <xf numFmtId="1" fontId="0" fillId="2" borderId="9" xfId="0" applyNumberFormat="1" applyFill="1" applyBorder="1"/>
    <xf numFmtId="1" fontId="14" fillId="0" borderId="9" xfId="0" applyNumberFormat="1" applyFont="1" applyBorder="1" applyAlignment="1">
      <alignment vertical="center"/>
    </xf>
    <xf numFmtId="1" fontId="14" fillId="0" borderId="11" xfId="0" applyNumberFormat="1" applyFont="1" applyBorder="1" applyAlignment="1">
      <alignment vertical="center"/>
    </xf>
    <xf numFmtId="166" fontId="14" fillId="0" borderId="1" xfId="1" applyNumberFormat="1" applyFont="1" applyBorder="1" applyAlignment="1">
      <alignment horizontal="center" vertical="center"/>
    </xf>
    <xf numFmtId="1" fontId="0" fillId="2" borderId="11" xfId="0" applyNumberFormat="1" applyFill="1" applyBorder="1"/>
    <xf numFmtId="0" fontId="0" fillId="0" borderId="3" xfId="0" applyBorder="1" applyAlignment="1">
      <alignment horizontal="center" vertical="center"/>
    </xf>
    <xf numFmtId="0" fontId="4" fillId="16" borderId="22" xfId="0" applyFont="1" applyFill="1" applyBorder="1" applyAlignment="1">
      <alignment horizontal="center" vertical="center"/>
    </xf>
    <xf numFmtId="0" fontId="4" fillId="16" borderId="24" xfId="0" applyFont="1" applyFill="1" applyBorder="1" applyAlignment="1">
      <alignment horizontal="center" vertical="center"/>
    </xf>
    <xf numFmtId="0" fontId="4" fillId="16" borderId="0" xfId="0" applyFont="1" applyFill="1" applyAlignment="1">
      <alignment horizontal="center" vertical="center"/>
    </xf>
    <xf numFmtId="0" fontId="4" fillId="16" borderId="8" xfId="0" applyFont="1" applyFill="1" applyBorder="1" applyAlignment="1">
      <alignment horizontal="center" vertical="center"/>
    </xf>
    <xf numFmtId="0" fontId="4" fillId="0" borderId="0" xfId="0" applyFont="1" applyAlignment="1">
      <alignment horizontal="center" vertical="center"/>
    </xf>
    <xf numFmtId="165" fontId="0" fillId="2" borderId="9" xfId="0" applyNumberFormat="1" applyFill="1" applyBorder="1" applyAlignment="1">
      <alignment horizontal="center" vertical="center"/>
    </xf>
    <xf numFmtId="165" fontId="0" fillId="0" borderId="1" xfId="0" applyNumberFormat="1" applyBorder="1" applyAlignment="1">
      <alignment horizontal="center" vertical="center"/>
    </xf>
    <xf numFmtId="165" fontId="0" fillId="0" borderId="9" xfId="0" applyNumberFormat="1" applyBorder="1" applyAlignment="1">
      <alignment horizontal="center" vertical="center"/>
    </xf>
    <xf numFmtId="165" fontId="0" fillId="18" borderId="1" xfId="0" applyNumberFormat="1" applyFill="1" applyBorder="1" applyAlignment="1">
      <alignment horizontal="center" vertical="center"/>
    </xf>
    <xf numFmtId="165" fontId="0" fillId="2" borderId="17" xfId="0" applyNumberFormat="1" applyFill="1" applyBorder="1" applyAlignment="1">
      <alignment horizontal="center" vertical="center"/>
    </xf>
    <xf numFmtId="165" fontId="0" fillId="0" borderId="28" xfId="0" applyNumberFormat="1" applyBorder="1" applyAlignment="1">
      <alignment horizontal="center" vertical="center"/>
    </xf>
    <xf numFmtId="165" fontId="0" fillId="18" borderId="28" xfId="0" applyNumberFormat="1" applyFill="1" applyBorder="1" applyAlignment="1">
      <alignment horizontal="center" vertical="center"/>
    </xf>
    <xf numFmtId="0" fontId="0" fillId="16" borderId="21" xfId="0" applyFill="1" applyBorder="1" applyAlignment="1">
      <alignment horizontal="center" vertical="center"/>
    </xf>
    <xf numFmtId="0" fontId="4" fillId="16" borderId="23" xfId="0" applyFont="1" applyFill="1" applyBorder="1" applyAlignment="1">
      <alignment horizontal="center" vertical="center"/>
    </xf>
    <xf numFmtId="0" fontId="19" fillId="17" borderId="22" xfId="0" applyFont="1" applyFill="1" applyBorder="1" applyAlignment="1">
      <alignment horizontal="center" vertical="center" wrapText="1"/>
    </xf>
    <xf numFmtId="0" fontId="0" fillId="16" borderId="26" xfId="0" applyFill="1" applyBorder="1" applyAlignment="1">
      <alignment horizontal="center" vertical="center"/>
    </xf>
    <xf numFmtId="14" fontId="14" fillId="16" borderId="26" xfId="0" applyNumberFormat="1" applyFont="1" applyFill="1" applyBorder="1" applyAlignment="1">
      <alignment horizontal="center" vertical="center"/>
    </xf>
    <xf numFmtId="165" fontId="0" fillId="11" borderId="1" xfId="0" applyNumberFormat="1" applyFill="1" applyBorder="1" applyAlignment="1">
      <alignment horizontal="center" vertical="center"/>
    </xf>
    <xf numFmtId="165" fontId="0" fillId="0" borderId="17" xfId="0" applyNumberFormat="1" applyBorder="1" applyAlignment="1">
      <alignment horizontal="center" vertical="center"/>
    </xf>
    <xf numFmtId="0" fontId="18" fillId="10" borderId="4" xfId="0" applyFont="1" applyFill="1" applyBorder="1" applyAlignment="1">
      <alignment horizontal="center" vertical="center" wrapText="1"/>
    </xf>
    <xf numFmtId="165" fontId="0" fillId="0" borderId="4" xfId="0" applyNumberFormat="1" applyBorder="1" applyAlignment="1">
      <alignment horizontal="center" vertical="center"/>
    </xf>
    <xf numFmtId="0" fontId="0" fillId="0" borderId="4" xfId="0" applyBorder="1" applyAlignment="1">
      <alignment horizontal="center" vertical="center"/>
    </xf>
    <xf numFmtId="164" fontId="0" fillId="0" borderId="3" xfId="0" applyNumberFormat="1" applyBorder="1" applyAlignment="1">
      <alignment horizontal="center" vertical="center"/>
    </xf>
    <xf numFmtId="165" fontId="0" fillId="0" borderId="3" xfId="0" applyNumberFormat="1" applyBorder="1" applyAlignment="1">
      <alignment horizontal="center" vertical="center"/>
    </xf>
    <xf numFmtId="0" fontId="0" fillId="16" borderId="27" xfId="0" applyFill="1" applyBorder="1" applyAlignment="1">
      <alignment horizontal="center" vertical="center"/>
    </xf>
    <xf numFmtId="165" fontId="0" fillId="0" borderId="0" xfId="0" applyNumberFormat="1" applyAlignment="1">
      <alignment horizontal="center" vertical="center"/>
    </xf>
    <xf numFmtId="165" fontId="0" fillId="0" borderId="21" xfId="0" applyNumberFormat="1" applyBorder="1" applyAlignment="1">
      <alignment horizontal="center" vertical="center"/>
    </xf>
    <xf numFmtId="165" fontId="40" fillId="0" borderId="25" xfId="0" applyNumberFormat="1" applyFont="1" applyBorder="1" applyAlignment="1">
      <alignment horizontal="center" vertical="center"/>
    </xf>
    <xf numFmtId="165" fontId="0" fillId="0" borderId="33" xfId="0" applyNumberFormat="1" applyBorder="1" applyAlignment="1">
      <alignment horizontal="center" vertical="center"/>
    </xf>
    <xf numFmtId="165" fontId="0" fillId="0" borderId="20" xfId="0" applyNumberFormat="1" applyBorder="1" applyAlignment="1">
      <alignment horizontal="center" vertical="center"/>
    </xf>
    <xf numFmtId="165" fontId="0" fillId="0" borderId="31" xfId="0" applyNumberFormat="1" applyBorder="1" applyAlignment="1">
      <alignment horizontal="center" vertical="center"/>
    </xf>
    <xf numFmtId="0" fontId="19" fillId="17" borderId="24" xfId="0" applyFont="1" applyFill="1" applyBorder="1" applyAlignment="1">
      <alignment horizontal="center" vertical="center" wrapText="1"/>
    </xf>
    <xf numFmtId="2" fontId="0" fillId="0" borderId="31" xfId="0" applyNumberFormat="1" applyBorder="1" applyAlignment="1">
      <alignment horizontal="center" vertical="center"/>
    </xf>
    <xf numFmtId="2" fontId="0" fillId="0" borderId="32" xfId="0" applyNumberFormat="1" applyBorder="1" applyAlignment="1">
      <alignment horizontal="center" vertical="center"/>
    </xf>
    <xf numFmtId="167" fontId="0" fillId="0" borderId="1" xfId="0" applyNumberFormat="1" applyBorder="1" applyAlignment="1">
      <alignment horizontal="center" vertical="center"/>
    </xf>
    <xf numFmtId="0" fontId="28" fillId="12" borderId="9" xfId="0" applyFont="1" applyFill="1" applyBorder="1" applyAlignment="1">
      <alignment horizontal="center"/>
    </xf>
    <xf numFmtId="0" fontId="28" fillId="12" borderId="11" xfId="0" applyFont="1" applyFill="1" applyBorder="1" applyAlignment="1">
      <alignment horizontal="center"/>
    </xf>
    <xf numFmtId="0" fontId="41" fillId="2" borderId="1" xfId="0" applyFont="1" applyFill="1" applyBorder="1" applyAlignment="1">
      <alignment horizontal="center" vertical="center" wrapText="1"/>
    </xf>
    <xf numFmtId="0" fontId="42" fillId="0" borderId="0" xfId="0" applyFont="1"/>
    <xf numFmtId="16" fontId="0" fillId="0" borderId="0" xfId="0" applyNumberFormat="1"/>
    <xf numFmtId="0" fontId="0" fillId="11" borderId="0" xfId="0" applyFill="1"/>
    <xf numFmtId="0" fontId="0" fillId="4" borderId="1" xfId="0" applyFill="1" applyBorder="1"/>
    <xf numFmtId="0" fontId="0" fillId="16" borderId="1" xfId="0" applyFill="1" applyBorder="1"/>
    <xf numFmtId="0" fontId="0" fillId="11" borderId="1" xfId="0" applyFill="1" applyBorder="1"/>
    <xf numFmtId="0" fontId="0" fillId="20" borderId="0" xfId="0" applyFill="1"/>
    <xf numFmtId="0" fontId="0" fillId="21" borderId="0" xfId="0" applyFill="1"/>
    <xf numFmtId="0" fontId="0" fillId="3" borderId="0" xfId="0" applyFill="1"/>
    <xf numFmtId="0" fontId="0" fillId="22" borderId="0" xfId="0" applyFill="1"/>
    <xf numFmtId="0" fontId="0" fillId="23" borderId="0" xfId="0" applyFill="1"/>
    <xf numFmtId="0" fontId="0" fillId="24" borderId="0" xfId="0" applyFill="1"/>
    <xf numFmtId="0" fontId="0" fillId="0" borderId="37" xfId="0" applyBorder="1" applyAlignment="1">
      <alignment vertical="center"/>
    </xf>
    <xf numFmtId="0" fontId="0" fillId="5" borderId="0" xfId="0" applyFill="1"/>
    <xf numFmtId="2" fontId="0" fillId="0" borderId="38" xfId="0" applyNumberFormat="1" applyBorder="1" applyAlignment="1">
      <alignment horizontal="center" vertical="center"/>
    </xf>
    <xf numFmtId="0" fontId="0" fillId="2" borderId="39" xfId="0" applyFill="1" applyBorder="1"/>
    <xf numFmtId="0" fontId="0" fillId="2" borderId="14" xfId="0" applyFill="1" applyBorder="1"/>
    <xf numFmtId="0" fontId="16" fillId="2" borderId="1" xfId="0" applyFont="1" applyFill="1" applyBorder="1" applyAlignment="1">
      <alignment horizontal="center" vertical="center"/>
    </xf>
    <xf numFmtId="2" fontId="0" fillId="0" borderId="0" xfId="0" applyNumberFormat="1" applyAlignment="1">
      <alignment horizontal="center" vertical="center"/>
    </xf>
    <xf numFmtId="0" fontId="4" fillId="0" borderId="42" xfId="0" applyFont="1" applyBorder="1" applyAlignment="1">
      <alignment horizontal="center" vertical="center" wrapText="1"/>
    </xf>
    <xf numFmtId="0" fontId="0" fillId="0" borderId="43" xfId="0" applyBorder="1" applyAlignment="1">
      <alignment horizontal="center" wrapText="1"/>
    </xf>
    <xf numFmtId="0" fontId="28" fillId="12" borderId="1" xfId="0" applyFon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0" fontId="4" fillId="3" borderId="9" xfId="0" applyFont="1" applyFill="1" applyBorder="1" applyAlignment="1">
      <alignment horizontal="center" vertical="center"/>
    </xf>
    <xf numFmtId="0" fontId="4" fillId="4" borderId="1" xfId="0" applyFont="1" applyFill="1" applyBorder="1" applyAlignment="1">
      <alignment horizontal="center" vertical="center"/>
    </xf>
    <xf numFmtId="0" fontId="0" fillId="3" borderId="1" xfId="0" applyFill="1" applyBorder="1" applyAlignment="1">
      <alignment horizontal="center"/>
    </xf>
    <xf numFmtId="0" fontId="0" fillId="19" borderId="9" xfId="0" applyFill="1" applyBorder="1" applyAlignment="1">
      <alignment horizontal="center"/>
    </xf>
    <xf numFmtId="0" fontId="0" fillId="19" borderId="11" xfId="0" applyFill="1"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4" borderId="31" xfId="0" applyFill="1" applyBorder="1" applyAlignment="1">
      <alignment horizontal="center" vertical="center"/>
    </xf>
    <xf numFmtId="0" fontId="0" fillId="4" borderId="32" xfId="0" applyFill="1" applyBorder="1" applyAlignment="1">
      <alignment horizontal="center" vertical="center"/>
    </xf>
    <xf numFmtId="0" fontId="0" fillId="0" borderId="0" xfId="0" applyAlignment="1">
      <alignment horizontal="center" vertical="center"/>
    </xf>
    <xf numFmtId="0" fontId="0" fillId="16" borderId="33" xfId="0" applyFill="1" applyBorder="1" applyAlignment="1">
      <alignment horizontal="center" vertical="center"/>
    </xf>
    <xf numFmtId="0" fontId="0" fillId="16" borderId="34" xfId="0" applyFill="1" applyBorder="1" applyAlignment="1">
      <alignment horizontal="center" vertical="center"/>
    </xf>
    <xf numFmtId="0" fontId="0" fillId="16" borderId="35" xfId="0" applyFill="1" applyBorder="1" applyAlignment="1">
      <alignment horizontal="center" vertical="center"/>
    </xf>
    <xf numFmtId="0" fontId="0" fillId="4" borderId="29" xfId="0" applyFill="1" applyBorder="1" applyAlignment="1">
      <alignment horizontal="center" vertical="center"/>
    </xf>
    <xf numFmtId="0" fontId="0" fillId="4" borderId="30" xfId="0" applyFill="1" applyBorder="1" applyAlignment="1">
      <alignment horizontal="center" vertical="center"/>
    </xf>
    <xf numFmtId="0" fontId="0" fillId="0" borderId="36" xfId="0" applyBorder="1" applyAlignment="1">
      <alignment horizontal="center" vertical="center"/>
    </xf>
    <xf numFmtId="165" fontId="0" fillId="4" borderId="29" xfId="0" applyNumberFormat="1" applyFill="1" applyBorder="1" applyAlignment="1">
      <alignment horizontal="center" vertical="center"/>
    </xf>
    <xf numFmtId="165" fontId="0" fillId="4" borderId="30" xfId="0" applyNumberFormat="1" applyFill="1" applyBorder="1" applyAlignment="1">
      <alignment horizontal="center" vertical="center"/>
    </xf>
    <xf numFmtId="0" fontId="25" fillId="7" borderId="1" xfId="0" applyFont="1" applyFill="1" applyBorder="1" applyAlignment="1">
      <alignment horizontal="center"/>
    </xf>
    <xf numFmtId="0" fontId="0" fillId="0" borderId="0" xfId="0" applyAlignment="1">
      <alignment horizontal="center"/>
    </xf>
    <xf numFmtId="0" fontId="4" fillId="3" borderId="1" xfId="0" applyFont="1" applyFill="1" applyBorder="1" applyAlignment="1">
      <alignment horizontal="center" vertical="center"/>
    </xf>
    <xf numFmtId="0" fontId="0" fillId="4" borderId="9" xfId="0"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15" borderId="1" xfId="0" applyFill="1" applyBorder="1" applyAlignment="1">
      <alignment horizontal="center"/>
    </xf>
    <xf numFmtId="0" fontId="0" fillId="14" borderId="1" xfId="0" applyFill="1" applyBorder="1" applyAlignment="1">
      <alignment horizont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38" fillId="2" borderId="37" xfId="0" applyFont="1" applyFill="1" applyBorder="1" applyAlignment="1">
      <alignment horizontal="center"/>
    </xf>
    <xf numFmtId="0" fontId="0" fillId="2" borderId="39" xfId="0" applyFill="1" applyBorder="1" applyAlignment="1">
      <alignment horizontal="center"/>
    </xf>
    <xf numFmtId="0" fontId="0" fillId="2" borderId="15" xfId="0" applyFill="1" applyBorder="1" applyAlignment="1">
      <alignment horizontal="center"/>
    </xf>
    <xf numFmtId="0" fontId="0" fillId="2" borderId="2" xfId="0" applyFill="1" applyBorder="1" applyAlignment="1">
      <alignment horizontal="center"/>
    </xf>
    <xf numFmtId="0" fontId="0" fillId="2" borderId="13" xfId="0" applyFill="1" applyBorder="1" applyAlignment="1">
      <alignment horizontal="center"/>
    </xf>
    <xf numFmtId="0" fontId="28" fillId="12" borderId="40" xfId="0" applyFont="1" applyFill="1" applyBorder="1" applyAlignment="1">
      <alignment horizontal="center" wrapText="1"/>
    </xf>
    <xf numFmtId="0" fontId="28" fillId="12" borderId="41" xfId="0" applyFont="1" applyFill="1" applyBorder="1" applyAlignment="1">
      <alignment horizontal="center" wrapText="1"/>
    </xf>
    <xf numFmtId="0" fontId="4" fillId="5" borderId="9" xfId="0" applyFont="1" applyFill="1" applyBorder="1" applyAlignment="1">
      <alignment horizontal="center"/>
    </xf>
    <xf numFmtId="0" fontId="4" fillId="5" borderId="10" xfId="0" applyFont="1" applyFill="1" applyBorder="1" applyAlignment="1">
      <alignment horizontal="center"/>
    </xf>
    <xf numFmtId="0" fontId="4" fillId="5" borderId="11" xfId="0" applyFont="1" applyFill="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cellXfs>
  <cellStyles count="2">
    <cellStyle name="Milliers" xfId="1" builtinId="3"/>
    <cellStyle name="Normal" xfId="0" builtinId="0"/>
  </cellStyles>
  <dxfs count="0"/>
  <tableStyles count="0" defaultTableStyle="TableStyleMedium2" defaultPivotStyle="PivotStyleLight16"/>
  <colors>
    <mruColors>
      <color rgb="FFF1A4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2.png"/><Relationship Id="rId5" Type="http://schemas.openxmlformats.org/officeDocument/2006/relationships/image" Target="../media/image5.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156.png"/><Relationship Id="rId3" Type="http://schemas.openxmlformats.org/officeDocument/2006/relationships/image" Target="../media/image15.png"/><Relationship Id="rId7" Type="http://schemas.openxmlformats.org/officeDocument/2006/relationships/image" Target="../media/image5.png"/><Relationship Id="rId12" Type="http://schemas.openxmlformats.org/officeDocument/2006/relationships/customXml" Target="../ink/ink1.xml"/><Relationship Id="rId17" Type="http://schemas.openxmlformats.org/officeDocument/2006/relationships/image" Target="../media/image172.png"/><Relationship Id="rId2" Type="http://schemas.openxmlformats.org/officeDocument/2006/relationships/image" Target="../media/image14.png"/><Relationship Id="rId16" Type="http://schemas.openxmlformats.org/officeDocument/2006/relationships/customXml" Target="../ink/ink3.xml"/><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2.emf"/><Relationship Id="rId5" Type="http://schemas.openxmlformats.org/officeDocument/2006/relationships/image" Target="../media/image17.emf"/><Relationship Id="rId15" Type="http://schemas.openxmlformats.org/officeDocument/2006/relationships/image" Target="../media/image157.png"/><Relationship Id="rId10" Type="http://schemas.openxmlformats.org/officeDocument/2006/relationships/image" Target="../media/image21.png"/><Relationship Id="rId4" Type="http://schemas.openxmlformats.org/officeDocument/2006/relationships/image" Target="../media/image16.png"/><Relationship Id="rId9" Type="http://schemas.openxmlformats.org/officeDocument/2006/relationships/image" Target="../media/image20.png"/><Relationship Id="rId14" Type="http://schemas.openxmlformats.org/officeDocument/2006/relationships/customXml" Target="../ink/ink2.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5.png"/><Relationship Id="rId7" Type="http://schemas.openxmlformats.org/officeDocument/2006/relationships/image" Target="../media/image28.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15.png"/><Relationship Id="rId5" Type="http://schemas.openxmlformats.org/officeDocument/2006/relationships/image" Target="../media/image27.png"/><Relationship Id="rId10" Type="http://schemas.openxmlformats.org/officeDocument/2006/relationships/image" Target="../media/image30.emf"/><Relationship Id="rId4" Type="http://schemas.openxmlformats.org/officeDocument/2006/relationships/image" Target="../media/image26.emf"/><Relationship Id="rId9" Type="http://schemas.openxmlformats.org/officeDocument/2006/relationships/image" Target="../media/image29.png"/></Relationships>
</file>

<file path=xl/drawings/_rels/drawing5.xml.rels><?xml version="1.0" encoding="UTF-8" standalone="yes"?>
<Relationships xmlns="http://schemas.openxmlformats.org/package/2006/relationships"><Relationship Id="rId13" Type="http://schemas.openxmlformats.org/officeDocument/2006/relationships/image" Target="../media/image125.png"/><Relationship Id="rId3" Type="http://schemas.openxmlformats.org/officeDocument/2006/relationships/image" Target="../media/image33.png"/><Relationship Id="rId7" Type="http://schemas.openxmlformats.org/officeDocument/2006/relationships/customXml" Target="../ink/ink4.xml"/><Relationship Id="rId12" Type="http://schemas.openxmlformats.org/officeDocument/2006/relationships/customXml" Target="../ink/ink6.xml"/><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124.png"/><Relationship Id="rId5" Type="http://schemas.openxmlformats.org/officeDocument/2006/relationships/image" Target="../media/image35.png"/><Relationship Id="rId15" Type="http://schemas.openxmlformats.org/officeDocument/2006/relationships/image" Target="../media/image38.emf"/><Relationship Id="rId10" Type="http://schemas.openxmlformats.org/officeDocument/2006/relationships/customXml" Target="../ink/ink5.xml"/><Relationship Id="rId4" Type="http://schemas.openxmlformats.org/officeDocument/2006/relationships/image" Target="../media/image34.png"/><Relationship Id="rId9" Type="http://schemas.openxmlformats.org/officeDocument/2006/relationships/image" Target="../media/image123.png"/><Relationship Id="rId14" Type="http://schemas.openxmlformats.org/officeDocument/2006/relationships/image" Target="../media/image37.emf"/></Relationships>
</file>

<file path=xl/drawings/_rels/drawing6.x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xdr:from>
      <xdr:col>2</xdr:col>
      <xdr:colOff>680782</xdr:colOff>
      <xdr:row>89</xdr:row>
      <xdr:rowOff>114986</xdr:rowOff>
    </xdr:from>
    <xdr:to>
      <xdr:col>16</xdr:col>
      <xdr:colOff>627484</xdr:colOff>
      <xdr:row>141</xdr:row>
      <xdr:rowOff>91398</xdr:rowOff>
    </xdr:to>
    <xdr:pic>
      <xdr:nvPicPr>
        <xdr:cNvPr id="14" name="Image 4">
          <a:extLst>
            <a:ext uri="{FF2B5EF4-FFF2-40B4-BE49-F238E27FC236}">
              <a16:creationId xmlns:a16="http://schemas.microsoft.com/office/drawing/2014/main" id="{9BD53843-348D-84A0-3413-86911796B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1449" y="19266586"/>
          <a:ext cx="13747368" cy="9662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214541</xdr:colOff>
      <xdr:row>31</xdr:row>
      <xdr:rowOff>327</xdr:rowOff>
    </xdr:from>
    <xdr:to>
      <xdr:col>44</xdr:col>
      <xdr:colOff>261936</xdr:colOff>
      <xdr:row>77</xdr:row>
      <xdr:rowOff>109929</xdr:rowOff>
    </xdr:to>
    <xdr:pic>
      <xdr:nvPicPr>
        <xdr:cNvPr id="8" name="Image 2">
          <a:extLst>
            <a:ext uri="{FF2B5EF4-FFF2-40B4-BE49-F238E27FC236}">
              <a16:creationId xmlns:a16="http://schemas.microsoft.com/office/drawing/2014/main" id="{09AD85F5-4CEF-7E88-4067-CFFE77C85E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740666" y="6477327"/>
          <a:ext cx="16620895" cy="10872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388454</xdr:colOff>
      <xdr:row>38</xdr:row>
      <xdr:rowOff>64259</xdr:rowOff>
    </xdr:from>
    <xdr:to>
      <xdr:col>6</xdr:col>
      <xdr:colOff>1141922</xdr:colOff>
      <xdr:row>54</xdr:row>
      <xdr:rowOff>900650</xdr:rowOff>
    </xdr:to>
    <xdr:pic>
      <xdr:nvPicPr>
        <xdr:cNvPr id="11" name="Image 3">
          <a:extLst>
            <a:ext uri="{FF2B5EF4-FFF2-40B4-BE49-F238E27FC236}">
              <a16:creationId xmlns:a16="http://schemas.microsoft.com/office/drawing/2014/main" id="{ABA257E1-5948-22FD-21AA-A1295EA40161}"/>
            </a:ext>
          </a:extLst>
        </xdr:cNvPr>
        <xdr:cNvPicPr>
          <a:picLocks noChangeAspect="1"/>
        </xdr:cNvPicPr>
      </xdr:nvPicPr>
      <xdr:blipFill>
        <a:blip xmlns:r="http://schemas.openxmlformats.org/officeDocument/2006/relationships" r:embed="rId3"/>
        <a:stretch>
          <a:fillRect/>
        </a:stretch>
      </xdr:blipFill>
      <xdr:spPr>
        <a:xfrm>
          <a:off x="1112354" y="7855709"/>
          <a:ext cx="6795039" cy="3797305"/>
        </a:xfrm>
        <a:prstGeom prst="rect">
          <a:avLst/>
        </a:prstGeom>
      </xdr:spPr>
    </xdr:pic>
    <xdr:clientData/>
  </xdr:twoCellAnchor>
  <xdr:twoCellAnchor editAs="oneCell">
    <xdr:from>
      <xdr:col>30</xdr:col>
      <xdr:colOff>244927</xdr:colOff>
      <xdr:row>2</xdr:row>
      <xdr:rowOff>190502</xdr:rowOff>
    </xdr:from>
    <xdr:to>
      <xdr:col>45</xdr:col>
      <xdr:colOff>148813</xdr:colOff>
      <xdr:row>27</xdr:row>
      <xdr:rowOff>614</xdr:rowOff>
    </xdr:to>
    <xdr:pic>
      <xdr:nvPicPr>
        <xdr:cNvPr id="4" name="Image 3" descr="Image">
          <a:extLst>
            <a:ext uri="{FF2B5EF4-FFF2-40B4-BE49-F238E27FC236}">
              <a16:creationId xmlns:a16="http://schemas.microsoft.com/office/drawing/2014/main" id="{998A36ED-9368-4936-9E8D-DA07BA77A0F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241500" y="721180"/>
          <a:ext cx="10925671" cy="4953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530678</xdr:colOff>
      <xdr:row>16</xdr:row>
      <xdr:rowOff>13607</xdr:rowOff>
    </xdr:from>
    <xdr:to>
      <xdr:col>72</xdr:col>
      <xdr:colOff>268070</xdr:colOff>
      <xdr:row>18</xdr:row>
      <xdr:rowOff>156555</xdr:rowOff>
    </xdr:to>
    <xdr:pic>
      <xdr:nvPicPr>
        <xdr:cNvPr id="6" name="Image 5">
          <a:extLst>
            <a:ext uri="{FF2B5EF4-FFF2-40B4-BE49-F238E27FC236}">
              <a16:creationId xmlns:a16="http://schemas.microsoft.com/office/drawing/2014/main" id="{764BEB8A-ED05-03EA-C506-9880163911FF}"/>
            </a:ext>
          </a:extLst>
        </xdr:cNvPr>
        <xdr:cNvPicPr>
          <a:picLocks noChangeAspect="1"/>
        </xdr:cNvPicPr>
      </xdr:nvPicPr>
      <xdr:blipFill>
        <a:blip xmlns:r="http://schemas.openxmlformats.org/officeDocument/2006/relationships" r:embed="rId5"/>
        <a:stretch>
          <a:fillRect/>
        </a:stretch>
      </xdr:blipFill>
      <xdr:spPr>
        <a:xfrm>
          <a:off x="38549036" y="3592285"/>
          <a:ext cx="19576607" cy="523948"/>
        </a:xfrm>
        <a:prstGeom prst="rect">
          <a:avLst/>
        </a:prstGeom>
      </xdr:spPr>
    </xdr:pic>
    <xdr:clientData/>
  </xdr:twoCellAnchor>
  <xdr:twoCellAnchor>
    <xdr:from>
      <xdr:col>4</xdr:col>
      <xdr:colOff>896515</xdr:colOff>
      <xdr:row>39</xdr:row>
      <xdr:rowOff>29224</xdr:rowOff>
    </xdr:from>
    <xdr:to>
      <xdr:col>19</xdr:col>
      <xdr:colOff>549639</xdr:colOff>
      <xdr:row>76</xdr:row>
      <xdr:rowOff>165063</xdr:rowOff>
    </xdr:to>
    <xdr:pic>
      <xdr:nvPicPr>
        <xdr:cNvPr id="2" name="Image 1">
          <a:extLst>
            <a:ext uri="{FF2B5EF4-FFF2-40B4-BE49-F238E27FC236}">
              <a16:creationId xmlns:a16="http://schemas.microsoft.com/office/drawing/2014/main" id="{8D9D22BD-336A-61FD-D325-EABDB1121E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425068" y="7766198"/>
          <a:ext cx="14216348" cy="8958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733</xdr:colOff>
      <xdr:row>126</xdr:row>
      <xdr:rowOff>100007</xdr:rowOff>
    </xdr:from>
    <xdr:to>
      <xdr:col>9</xdr:col>
      <xdr:colOff>457322</xdr:colOff>
      <xdr:row>150</xdr:row>
      <xdr:rowOff>2925</xdr:rowOff>
    </xdr:to>
    <xdr:pic>
      <xdr:nvPicPr>
        <xdr:cNvPr id="5" name="Image 2">
          <a:extLst>
            <a:ext uri="{FF2B5EF4-FFF2-40B4-BE49-F238E27FC236}">
              <a16:creationId xmlns:a16="http://schemas.microsoft.com/office/drawing/2014/main" id="{59F63D8C-254F-99C3-C423-9E0EE84C4F4A}"/>
            </a:ext>
          </a:extLst>
        </xdr:cNvPr>
        <xdr:cNvPicPr>
          <a:picLocks noChangeAspect="1"/>
        </xdr:cNvPicPr>
      </xdr:nvPicPr>
      <xdr:blipFill>
        <a:blip xmlns:r="http://schemas.openxmlformats.org/officeDocument/2006/relationships" r:embed="rId1"/>
        <a:stretch>
          <a:fillRect/>
        </a:stretch>
      </xdr:blipFill>
      <xdr:spPr>
        <a:xfrm>
          <a:off x="720400" y="7984590"/>
          <a:ext cx="8273439" cy="4322519"/>
        </a:xfrm>
        <a:prstGeom prst="rect">
          <a:avLst/>
        </a:prstGeom>
        <a:effectLst>
          <a:glow rad="381000">
            <a:schemeClr val="accent1">
              <a:alpha val="70000"/>
            </a:schemeClr>
          </a:glow>
        </a:effectLst>
      </xdr:spPr>
    </xdr:pic>
    <xdr:clientData/>
  </xdr:twoCellAnchor>
  <xdr:twoCellAnchor>
    <xdr:from>
      <xdr:col>8</xdr:col>
      <xdr:colOff>314325</xdr:colOff>
      <xdr:row>131</xdr:row>
      <xdr:rowOff>95250</xdr:rowOff>
    </xdr:from>
    <xdr:to>
      <xdr:col>9</xdr:col>
      <xdr:colOff>409575</xdr:colOff>
      <xdr:row>136</xdr:row>
      <xdr:rowOff>28575</xdr:rowOff>
    </xdr:to>
    <xdr:sp macro="" textlink="">
      <xdr:nvSpPr>
        <xdr:cNvPr id="155" name="ZoneTexte 1">
          <a:extLst>
            <a:ext uri="{FF2B5EF4-FFF2-40B4-BE49-F238E27FC236}">
              <a16:creationId xmlns:a16="http://schemas.microsoft.com/office/drawing/2014/main" id="{F6445B0F-E6CC-93DE-4613-8D3C087A7D49}"/>
            </a:ext>
          </a:extLst>
        </xdr:cNvPr>
        <xdr:cNvSpPr txBox="1"/>
      </xdr:nvSpPr>
      <xdr:spPr>
        <a:xfrm>
          <a:off x="8010525" y="8153400"/>
          <a:ext cx="10287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100" kern="1200">
              <a:solidFill>
                <a:srgbClr val="FF0000"/>
              </a:solidFill>
            </a:rPr>
            <a:t>été</a:t>
          </a:r>
        </a:p>
        <a:p>
          <a:r>
            <a:rPr lang="fr-BE" sz="1100">
              <a:solidFill>
                <a:schemeClr val="dk1"/>
              </a:solidFill>
              <a:effectLst/>
              <a:latin typeface="+mn-lt"/>
              <a:ea typeface="+mn-ea"/>
              <a:cs typeface="+mn-cs"/>
            </a:rPr>
            <a:t>10423</a:t>
          </a:r>
          <a:r>
            <a:rPr lang="fr-BE" sz="1100" kern="1200"/>
            <a:t> m^3/h</a:t>
          </a:r>
        </a:p>
        <a:p>
          <a:r>
            <a:rPr lang="fr-BE" sz="1100" kern="1200">
              <a:solidFill>
                <a:schemeClr val="accent1"/>
              </a:solidFill>
            </a:rPr>
            <a:t>hiver</a:t>
          </a:r>
        </a:p>
        <a:p>
          <a:r>
            <a:rPr lang="fr-BE" sz="1100">
              <a:solidFill>
                <a:schemeClr val="dk1"/>
              </a:solidFill>
              <a:effectLst/>
              <a:latin typeface="+mn-lt"/>
              <a:ea typeface="+mn-ea"/>
              <a:cs typeface="+mn-cs"/>
            </a:rPr>
            <a:t>12877</a:t>
          </a:r>
          <a:r>
            <a:rPr lang="fr-BE" sz="1100" kern="1200" baseline="0"/>
            <a:t> m^3/h</a:t>
          </a:r>
          <a:endParaRPr lang="fr-BE" sz="1100" kern="1200"/>
        </a:p>
      </xdr:txBody>
    </xdr:sp>
    <xdr:clientData/>
  </xdr:twoCellAnchor>
  <xdr:twoCellAnchor>
    <xdr:from>
      <xdr:col>1</xdr:col>
      <xdr:colOff>1734910</xdr:colOff>
      <xdr:row>129</xdr:row>
      <xdr:rowOff>172809</xdr:rowOff>
    </xdr:from>
    <xdr:to>
      <xdr:col>3</xdr:col>
      <xdr:colOff>317046</xdr:colOff>
      <xdr:row>134</xdr:row>
      <xdr:rowOff>111577</xdr:rowOff>
    </xdr:to>
    <xdr:sp macro="" textlink="">
      <xdr:nvSpPr>
        <xdr:cNvPr id="181" name="ZoneTexte 2">
          <a:extLst>
            <a:ext uri="{FF2B5EF4-FFF2-40B4-BE49-F238E27FC236}">
              <a16:creationId xmlns:a16="http://schemas.microsoft.com/office/drawing/2014/main" id="{F508A44F-AAE0-6B52-F44A-9E25E244C81E}"/>
            </a:ext>
          </a:extLst>
        </xdr:cNvPr>
        <xdr:cNvSpPr txBox="1"/>
      </xdr:nvSpPr>
      <xdr:spPr>
        <a:xfrm>
          <a:off x="2529567" y="8206466"/>
          <a:ext cx="1270908" cy="8640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100" kern="1200">
              <a:solidFill>
                <a:srgbClr val="FF0000"/>
              </a:solidFill>
            </a:rPr>
            <a:t>été</a:t>
          </a:r>
          <a:r>
            <a:rPr lang="fr-BE" sz="1100" kern="1200"/>
            <a:t> </a:t>
          </a:r>
        </a:p>
        <a:p>
          <a:r>
            <a:rPr lang="fr-BE" sz="1100" kern="1200"/>
            <a:t>1188</a:t>
          </a:r>
          <a:r>
            <a:rPr lang="fr-BE" sz="1100" kern="1200" baseline="0"/>
            <a:t> m^3/h</a:t>
          </a:r>
        </a:p>
        <a:p>
          <a:r>
            <a:rPr lang="fr-BE" sz="1100" kern="1200" baseline="0">
              <a:solidFill>
                <a:schemeClr val="accent1"/>
              </a:solidFill>
            </a:rPr>
            <a:t>hiver</a:t>
          </a:r>
          <a:r>
            <a:rPr lang="fr-BE" sz="1100" kern="1200" baseline="0"/>
            <a:t> </a:t>
          </a:r>
        </a:p>
        <a:p>
          <a:r>
            <a:rPr lang="fr-BE" sz="1100" kern="1200" baseline="0"/>
            <a:t>0 m^3/h</a:t>
          </a:r>
          <a:endParaRPr lang="fr-BE" sz="1100" kern="1200"/>
        </a:p>
      </xdr:txBody>
    </xdr:sp>
    <xdr:clientData/>
  </xdr:twoCellAnchor>
  <xdr:twoCellAnchor>
    <xdr:from>
      <xdr:col>1</xdr:col>
      <xdr:colOff>533400</xdr:colOff>
      <xdr:row>139</xdr:row>
      <xdr:rowOff>142875</xdr:rowOff>
    </xdr:from>
    <xdr:to>
      <xdr:col>2</xdr:col>
      <xdr:colOff>257175</xdr:colOff>
      <xdr:row>144</xdr:row>
      <xdr:rowOff>57150</xdr:rowOff>
    </xdr:to>
    <xdr:sp macro="" textlink="">
      <xdr:nvSpPr>
        <xdr:cNvPr id="180" name="ZoneTexte 3">
          <a:extLst>
            <a:ext uri="{FF2B5EF4-FFF2-40B4-BE49-F238E27FC236}">
              <a16:creationId xmlns:a16="http://schemas.microsoft.com/office/drawing/2014/main" id="{068084C1-99B6-E1E7-6546-EBB7C48D200D}"/>
            </a:ext>
          </a:extLst>
        </xdr:cNvPr>
        <xdr:cNvSpPr txBox="1"/>
      </xdr:nvSpPr>
      <xdr:spPr>
        <a:xfrm>
          <a:off x="1323975" y="9829800"/>
          <a:ext cx="990600"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100">
              <a:solidFill>
                <a:srgbClr val="FF0000"/>
              </a:solidFill>
              <a:effectLst/>
              <a:latin typeface="+mn-lt"/>
              <a:ea typeface="+mn-ea"/>
              <a:cs typeface="+mn-cs"/>
            </a:rPr>
            <a:t>été</a:t>
          </a:r>
          <a:r>
            <a:rPr lang="fr-BE" sz="1100">
              <a:solidFill>
                <a:schemeClr val="dk1"/>
              </a:solidFill>
              <a:effectLst/>
              <a:latin typeface="+mn-lt"/>
              <a:ea typeface="+mn-ea"/>
              <a:cs typeface="+mn-cs"/>
            </a:rPr>
            <a:t> </a:t>
          </a:r>
          <a:endParaRPr lang="fr-BE">
            <a:effectLst/>
          </a:endParaRPr>
        </a:p>
        <a:p>
          <a:r>
            <a:rPr lang="fr-BE" sz="1100">
              <a:solidFill>
                <a:schemeClr val="dk1"/>
              </a:solidFill>
              <a:effectLst/>
              <a:latin typeface="+mn-lt"/>
              <a:ea typeface="+mn-ea"/>
              <a:cs typeface="+mn-cs"/>
            </a:rPr>
            <a:t>9235</a:t>
          </a:r>
          <a:r>
            <a:rPr lang="fr-BE" sz="1100" baseline="0">
              <a:solidFill>
                <a:schemeClr val="dk1"/>
              </a:solidFill>
              <a:effectLst/>
              <a:latin typeface="+mn-lt"/>
              <a:ea typeface="+mn-ea"/>
              <a:cs typeface="+mn-cs"/>
            </a:rPr>
            <a:t> m^3/h</a:t>
          </a:r>
          <a:endParaRPr lang="fr-BE">
            <a:effectLst/>
          </a:endParaRPr>
        </a:p>
        <a:p>
          <a:r>
            <a:rPr lang="fr-BE" sz="1100" baseline="0">
              <a:solidFill>
                <a:schemeClr val="tx2">
                  <a:lumMod val="75000"/>
                  <a:lumOff val="25000"/>
                </a:schemeClr>
              </a:solidFill>
              <a:effectLst/>
              <a:latin typeface="+mn-lt"/>
              <a:ea typeface="+mn-ea"/>
              <a:cs typeface="+mn-cs"/>
            </a:rPr>
            <a:t>hiver</a:t>
          </a:r>
          <a:r>
            <a:rPr lang="fr-BE" sz="1100" baseline="0">
              <a:solidFill>
                <a:schemeClr val="dk1"/>
              </a:solidFill>
              <a:effectLst/>
              <a:latin typeface="+mn-lt"/>
              <a:ea typeface="+mn-ea"/>
              <a:cs typeface="+mn-cs"/>
            </a:rPr>
            <a:t> </a:t>
          </a:r>
          <a:endParaRPr lang="fr-BE">
            <a:effectLst/>
          </a:endParaRPr>
        </a:p>
        <a:p>
          <a:r>
            <a:rPr lang="fr-BE" sz="1100" baseline="0">
              <a:solidFill>
                <a:schemeClr val="dk1"/>
              </a:solidFill>
              <a:effectLst/>
              <a:latin typeface="+mn-lt"/>
              <a:ea typeface="+mn-ea"/>
              <a:cs typeface="+mn-cs"/>
            </a:rPr>
            <a:t>12877 m^3/h</a:t>
          </a:r>
          <a:endParaRPr lang="fr-BE">
            <a:effectLst/>
          </a:endParaRPr>
        </a:p>
        <a:p>
          <a:endParaRPr lang="fr-BE" sz="1100" kern="1200"/>
        </a:p>
      </xdr:txBody>
    </xdr:sp>
    <xdr:clientData/>
  </xdr:twoCellAnchor>
  <xdr:twoCellAnchor editAs="oneCell">
    <xdr:from>
      <xdr:col>1</xdr:col>
      <xdr:colOff>66675</xdr:colOff>
      <xdr:row>150</xdr:row>
      <xdr:rowOff>19050</xdr:rowOff>
    </xdr:from>
    <xdr:to>
      <xdr:col>8</xdr:col>
      <xdr:colOff>493228</xdr:colOff>
      <xdr:row>157</xdr:row>
      <xdr:rowOff>954</xdr:rowOff>
    </xdr:to>
    <xdr:pic>
      <xdr:nvPicPr>
        <xdr:cNvPr id="143" name="Image 5">
          <a:extLst>
            <a:ext uri="{FF2B5EF4-FFF2-40B4-BE49-F238E27FC236}">
              <a16:creationId xmlns:a16="http://schemas.microsoft.com/office/drawing/2014/main" id="{F08F7CDA-99B5-EECA-A049-CCBF9DF81507}"/>
            </a:ext>
          </a:extLst>
        </xdr:cNvPr>
        <xdr:cNvPicPr>
          <a:picLocks noChangeAspect="1"/>
        </xdr:cNvPicPr>
      </xdr:nvPicPr>
      <xdr:blipFill>
        <a:blip xmlns:r="http://schemas.openxmlformats.org/officeDocument/2006/relationships" r:embed="rId2"/>
        <a:stretch>
          <a:fillRect/>
        </a:stretch>
      </xdr:blipFill>
      <xdr:spPr>
        <a:xfrm>
          <a:off x="857250" y="11696700"/>
          <a:ext cx="7906853" cy="1305107"/>
        </a:xfrm>
        <a:prstGeom prst="rect">
          <a:avLst/>
        </a:prstGeom>
      </xdr:spPr>
    </xdr:pic>
    <xdr:clientData/>
  </xdr:twoCellAnchor>
  <xdr:twoCellAnchor>
    <xdr:from>
      <xdr:col>10</xdr:col>
      <xdr:colOff>607671</xdr:colOff>
      <xdr:row>21</xdr:row>
      <xdr:rowOff>96456</xdr:rowOff>
    </xdr:from>
    <xdr:to>
      <xdr:col>23</xdr:col>
      <xdr:colOff>139282</xdr:colOff>
      <xdr:row>53</xdr:row>
      <xdr:rowOff>92501</xdr:rowOff>
    </xdr:to>
    <xdr:pic>
      <xdr:nvPicPr>
        <xdr:cNvPr id="2" name="Image 1">
          <a:extLst>
            <a:ext uri="{FF2B5EF4-FFF2-40B4-BE49-F238E27FC236}">
              <a16:creationId xmlns:a16="http://schemas.microsoft.com/office/drawing/2014/main" id="{AF9B3935-815E-A164-007E-CE587C6D1E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70962" y="4388734"/>
          <a:ext cx="9186826" cy="58798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336742</xdr:colOff>
      <xdr:row>42</xdr:row>
      <xdr:rowOff>115454</xdr:rowOff>
    </xdr:from>
    <xdr:to>
      <xdr:col>10</xdr:col>
      <xdr:colOff>45886</xdr:colOff>
      <xdr:row>70</xdr:row>
      <xdr:rowOff>93555</xdr:rowOff>
    </xdr:to>
    <xdr:pic>
      <xdr:nvPicPr>
        <xdr:cNvPr id="6" name="Image 5">
          <a:extLst>
            <a:ext uri="{FF2B5EF4-FFF2-40B4-BE49-F238E27FC236}">
              <a16:creationId xmlns:a16="http://schemas.microsoft.com/office/drawing/2014/main" id="{F175BA49-CB84-04E9-9A57-60328D38AA57}"/>
            </a:ext>
          </a:extLst>
        </xdr:cNvPr>
        <xdr:cNvPicPr>
          <a:picLocks noChangeAspect="1"/>
        </xdr:cNvPicPr>
      </xdr:nvPicPr>
      <xdr:blipFill>
        <a:blip xmlns:r="http://schemas.openxmlformats.org/officeDocument/2006/relationships" r:embed="rId4"/>
        <a:stretch>
          <a:fillRect/>
        </a:stretch>
      </xdr:blipFill>
      <xdr:spPr>
        <a:xfrm>
          <a:off x="336742" y="8283863"/>
          <a:ext cx="8916644" cy="5096586"/>
        </a:xfrm>
        <a:prstGeom prst="rect">
          <a:avLst/>
        </a:prstGeom>
      </xdr:spPr>
    </xdr:pic>
    <xdr:clientData/>
  </xdr:twoCellAnchor>
  <xdr:twoCellAnchor>
    <xdr:from>
      <xdr:col>0</xdr:col>
      <xdr:colOff>336742</xdr:colOff>
      <xdr:row>41</xdr:row>
      <xdr:rowOff>100412</xdr:rowOff>
    </xdr:from>
    <xdr:to>
      <xdr:col>1</xdr:col>
      <xdr:colOff>619809</xdr:colOff>
      <xdr:row>46</xdr:row>
      <xdr:rowOff>33737</xdr:rowOff>
    </xdr:to>
    <xdr:sp macro="" textlink="">
      <xdr:nvSpPr>
        <xdr:cNvPr id="3" name="ZoneTexte 1">
          <a:extLst>
            <a:ext uri="{FF2B5EF4-FFF2-40B4-BE49-F238E27FC236}">
              <a16:creationId xmlns:a16="http://schemas.microsoft.com/office/drawing/2014/main" id="{53928160-3496-464A-A578-2058F2EF2DB9}"/>
            </a:ext>
          </a:extLst>
        </xdr:cNvPr>
        <xdr:cNvSpPr txBox="1"/>
      </xdr:nvSpPr>
      <xdr:spPr>
        <a:xfrm>
          <a:off x="336742" y="8283863"/>
          <a:ext cx="994088" cy="8724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100" kern="1200">
              <a:solidFill>
                <a:srgbClr val="FF0000"/>
              </a:solidFill>
            </a:rPr>
            <a:t>été</a:t>
          </a:r>
        </a:p>
        <a:p>
          <a:r>
            <a:rPr lang="fr-BE" sz="1100">
              <a:solidFill>
                <a:schemeClr val="dk1"/>
              </a:solidFill>
              <a:effectLst/>
              <a:latin typeface="+mn-lt"/>
              <a:ea typeface="+mn-ea"/>
              <a:cs typeface="+mn-cs"/>
            </a:rPr>
            <a:t>10423</a:t>
          </a:r>
          <a:r>
            <a:rPr lang="fr-BE" sz="1100" kern="1200"/>
            <a:t> m^3/h</a:t>
          </a:r>
        </a:p>
        <a:p>
          <a:r>
            <a:rPr lang="fr-BE" sz="1100" kern="1200">
              <a:solidFill>
                <a:schemeClr val="accent1"/>
              </a:solidFill>
            </a:rPr>
            <a:t>hiver</a:t>
          </a:r>
        </a:p>
        <a:p>
          <a:r>
            <a:rPr lang="fr-BE" sz="1100">
              <a:solidFill>
                <a:schemeClr val="dk1"/>
              </a:solidFill>
              <a:effectLst/>
              <a:latin typeface="+mn-lt"/>
              <a:ea typeface="+mn-ea"/>
              <a:cs typeface="+mn-cs"/>
            </a:rPr>
            <a:t>12877</a:t>
          </a:r>
          <a:r>
            <a:rPr lang="fr-BE" sz="1100" kern="1200" baseline="0"/>
            <a:t> m^3/h</a:t>
          </a:r>
          <a:endParaRPr lang="fr-BE" sz="1100" kern="1200"/>
        </a:p>
      </xdr:txBody>
    </xdr:sp>
    <xdr:clientData/>
  </xdr:twoCellAnchor>
  <xdr:twoCellAnchor>
    <xdr:from>
      <xdr:col>4</xdr:col>
      <xdr:colOff>509789</xdr:colOff>
      <xdr:row>62</xdr:row>
      <xdr:rowOff>0</xdr:rowOff>
    </xdr:from>
    <xdr:to>
      <xdr:col>5</xdr:col>
      <xdr:colOff>321972</xdr:colOff>
      <xdr:row>63</xdr:row>
      <xdr:rowOff>53663</xdr:rowOff>
    </xdr:to>
    <xdr:sp macro="" textlink="">
      <xdr:nvSpPr>
        <xdr:cNvPr id="4" name="ZoneTexte 1">
          <a:extLst>
            <a:ext uri="{FF2B5EF4-FFF2-40B4-BE49-F238E27FC236}">
              <a16:creationId xmlns:a16="http://schemas.microsoft.com/office/drawing/2014/main" id="{FB2C121C-E264-4038-81AF-D13F806E0D78}"/>
            </a:ext>
          </a:extLst>
        </xdr:cNvPr>
        <xdr:cNvSpPr txBox="1"/>
      </xdr:nvSpPr>
      <xdr:spPr>
        <a:xfrm>
          <a:off x="4534437" y="12127606"/>
          <a:ext cx="845176" cy="24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100" kern="1200"/>
            <a:t>5) 67,97</a:t>
          </a:r>
          <a:r>
            <a:rPr lang="fr-BE" sz="1100" kern="1200" baseline="0"/>
            <a:t> kW</a:t>
          </a:r>
          <a:endParaRPr lang="fr-BE" sz="1100" kern="1200"/>
        </a:p>
      </xdr:txBody>
    </xdr:sp>
    <xdr:clientData/>
  </xdr:twoCellAnchor>
  <xdr:twoCellAnchor editAs="oneCell">
    <xdr:from>
      <xdr:col>25</xdr:col>
      <xdr:colOff>340179</xdr:colOff>
      <xdr:row>9</xdr:row>
      <xdr:rowOff>54428</xdr:rowOff>
    </xdr:from>
    <xdr:to>
      <xdr:col>39</xdr:col>
      <xdr:colOff>367590</xdr:colOff>
      <xdr:row>36</xdr:row>
      <xdr:rowOff>4572</xdr:rowOff>
    </xdr:to>
    <xdr:pic>
      <xdr:nvPicPr>
        <xdr:cNvPr id="10" name="Image 3" descr="Image">
          <a:extLst>
            <a:ext uri="{FF2B5EF4-FFF2-40B4-BE49-F238E27FC236}">
              <a16:creationId xmlns:a16="http://schemas.microsoft.com/office/drawing/2014/main" id="{BD080536-A32D-4417-A8F6-A9141E5B753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471822" y="2204357"/>
          <a:ext cx="10314411" cy="4983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357675</xdr:colOff>
      <xdr:row>31</xdr:row>
      <xdr:rowOff>155510</xdr:rowOff>
    </xdr:from>
    <xdr:to>
      <xdr:col>51</xdr:col>
      <xdr:colOff>681146</xdr:colOff>
      <xdr:row>34</xdr:row>
      <xdr:rowOff>29611</xdr:rowOff>
    </xdr:to>
    <xdr:pic>
      <xdr:nvPicPr>
        <xdr:cNvPr id="8" name="Image 7">
          <a:extLst>
            <a:ext uri="{FF2B5EF4-FFF2-40B4-BE49-F238E27FC236}">
              <a16:creationId xmlns:a16="http://schemas.microsoft.com/office/drawing/2014/main" id="{F007D226-5F36-1DBB-F750-E0C66A854D95}"/>
            </a:ext>
          </a:extLst>
        </xdr:cNvPr>
        <xdr:cNvPicPr>
          <a:picLocks noChangeAspect="1"/>
        </xdr:cNvPicPr>
      </xdr:nvPicPr>
      <xdr:blipFill>
        <a:blip xmlns:r="http://schemas.openxmlformats.org/officeDocument/2006/relationships" r:embed="rId6"/>
        <a:stretch>
          <a:fillRect/>
        </a:stretch>
      </xdr:blipFill>
      <xdr:spPr>
        <a:xfrm>
          <a:off x="20698409" y="6383694"/>
          <a:ext cx="19567081" cy="4572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225</xdr:row>
      <xdr:rowOff>94342</xdr:rowOff>
    </xdr:from>
    <xdr:to>
      <xdr:col>13</xdr:col>
      <xdr:colOff>3544</xdr:colOff>
      <xdr:row>256</xdr:row>
      <xdr:rowOff>129642</xdr:rowOff>
    </xdr:to>
    <xdr:pic>
      <xdr:nvPicPr>
        <xdr:cNvPr id="4" name="Image 2">
          <a:extLst>
            <a:ext uri="{FF2B5EF4-FFF2-40B4-BE49-F238E27FC236}">
              <a16:creationId xmlns:a16="http://schemas.microsoft.com/office/drawing/2014/main" id="{EC7B102D-4512-534D-C9D1-0393FCE520F3}"/>
            </a:ext>
          </a:extLst>
        </xdr:cNvPr>
        <xdr:cNvPicPr>
          <a:picLocks noChangeAspect="1"/>
        </xdr:cNvPicPr>
      </xdr:nvPicPr>
      <xdr:blipFill>
        <a:blip xmlns:r="http://schemas.openxmlformats.org/officeDocument/2006/relationships" r:embed="rId1"/>
        <a:stretch>
          <a:fillRect/>
        </a:stretch>
      </xdr:blipFill>
      <xdr:spPr>
        <a:xfrm>
          <a:off x="609599" y="7968342"/>
          <a:ext cx="10718800" cy="5871133"/>
        </a:xfrm>
        <a:prstGeom prst="rect">
          <a:avLst/>
        </a:prstGeom>
        <a:effectLst>
          <a:glow rad="381000">
            <a:schemeClr val="accent1">
              <a:alpha val="70000"/>
            </a:schemeClr>
          </a:glow>
        </a:effectLst>
      </xdr:spPr>
    </xdr:pic>
    <xdr:clientData/>
  </xdr:twoCellAnchor>
  <xdr:twoCellAnchor>
    <xdr:from>
      <xdr:col>1</xdr:col>
      <xdr:colOff>1055914</xdr:colOff>
      <xdr:row>245</xdr:row>
      <xdr:rowOff>163286</xdr:rowOff>
    </xdr:from>
    <xdr:to>
      <xdr:col>2</xdr:col>
      <xdr:colOff>707572</xdr:colOff>
      <xdr:row>250</xdr:row>
      <xdr:rowOff>141514</xdr:rowOff>
    </xdr:to>
    <xdr:sp macro="" textlink="">
      <xdr:nvSpPr>
        <xdr:cNvPr id="26" name="ZoneTexte 2">
          <a:extLst>
            <a:ext uri="{FF2B5EF4-FFF2-40B4-BE49-F238E27FC236}">
              <a16:creationId xmlns:a16="http://schemas.microsoft.com/office/drawing/2014/main" id="{404EAF5D-6272-036B-4A3D-BCD774DA2EEC}"/>
            </a:ext>
          </a:extLst>
        </xdr:cNvPr>
        <xdr:cNvSpPr txBox="1"/>
      </xdr:nvSpPr>
      <xdr:spPr>
        <a:xfrm>
          <a:off x="1600200" y="11016343"/>
          <a:ext cx="1230086" cy="903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100">
              <a:solidFill>
                <a:srgbClr val="FF0000"/>
              </a:solidFill>
              <a:effectLst/>
              <a:latin typeface="+mn-lt"/>
              <a:ea typeface="+mn-ea"/>
              <a:cs typeface="+mn-cs"/>
            </a:rPr>
            <a:t>été</a:t>
          </a:r>
          <a:endParaRPr lang="fr-BE">
            <a:solidFill>
              <a:srgbClr val="FF0000"/>
            </a:solidFill>
            <a:effectLst/>
          </a:endParaRPr>
        </a:p>
        <a:p>
          <a:r>
            <a:rPr lang="fr-BE" sz="1100">
              <a:solidFill>
                <a:schemeClr val="dk1"/>
              </a:solidFill>
              <a:effectLst/>
              <a:latin typeface="+mn-lt"/>
              <a:ea typeface="+mn-ea"/>
              <a:cs typeface="+mn-cs"/>
            </a:rPr>
            <a:t>10423 m^3/h</a:t>
          </a:r>
          <a:endParaRPr lang="fr-BE">
            <a:effectLst/>
          </a:endParaRPr>
        </a:p>
        <a:p>
          <a:r>
            <a:rPr lang="fr-BE" sz="1100">
              <a:solidFill>
                <a:schemeClr val="accent1"/>
              </a:solidFill>
              <a:effectLst/>
              <a:latin typeface="+mn-lt"/>
              <a:ea typeface="+mn-ea"/>
              <a:cs typeface="+mn-cs"/>
            </a:rPr>
            <a:t>hiver</a:t>
          </a:r>
          <a:endParaRPr lang="fr-BE">
            <a:solidFill>
              <a:schemeClr val="accent1"/>
            </a:solidFill>
            <a:effectLst/>
          </a:endParaRPr>
        </a:p>
        <a:p>
          <a:r>
            <a:rPr lang="fr-BE" sz="1100">
              <a:solidFill>
                <a:schemeClr val="dk1"/>
              </a:solidFill>
              <a:effectLst/>
              <a:latin typeface="+mn-lt"/>
              <a:ea typeface="+mn-ea"/>
              <a:cs typeface="+mn-cs"/>
            </a:rPr>
            <a:t>12877 m^3/h</a:t>
          </a:r>
          <a:endParaRPr lang="fr-BE">
            <a:effectLst/>
          </a:endParaRPr>
        </a:p>
        <a:p>
          <a:endParaRPr lang="fr-BE" sz="1100" kern="1200"/>
        </a:p>
      </xdr:txBody>
    </xdr:sp>
    <xdr:clientData/>
  </xdr:twoCellAnchor>
  <xdr:twoCellAnchor>
    <xdr:from>
      <xdr:col>1</xdr:col>
      <xdr:colOff>1726975</xdr:colOff>
      <xdr:row>232</xdr:row>
      <xdr:rowOff>73929</xdr:rowOff>
    </xdr:from>
    <xdr:to>
      <xdr:col>2</xdr:col>
      <xdr:colOff>926269</xdr:colOff>
      <xdr:row>236</xdr:row>
      <xdr:rowOff>121112</xdr:rowOff>
    </xdr:to>
    <xdr:sp macro="" textlink="">
      <xdr:nvSpPr>
        <xdr:cNvPr id="30" name="ZoneTexte 3">
          <a:extLst>
            <a:ext uri="{FF2B5EF4-FFF2-40B4-BE49-F238E27FC236}">
              <a16:creationId xmlns:a16="http://schemas.microsoft.com/office/drawing/2014/main" id="{79426AB4-D958-C540-02BE-2F680F6FF4B9}"/>
            </a:ext>
          </a:extLst>
        </xdr:cNvPr>
        <xdr:cNvSpPr txBox="1"/>
      </xdr:nvSpPr>
      <xdr:spPr>
        <a:xfrm>
          <a:off x="2332302" y="8833368"/>
          <a:ext cx="1181444" cy="8068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BE" sz="1100" kern="1200"/>
        </a:p>
      </xdr:txBody>
    </xdr:sp>
    <xdr:clientData/>
  </xdr:twoCellAnchor>
  <xdr:twoCellAnchor>
    <xdr:from>
      <xdr:col>7</xdr:col>
      <xdr:colOff>556381</xdr:colOff>
      <xdr:row>236</xdr:row>
      <xdr:rowOff>152785</xdr:rowOff>
    </xdr:from>
    <xdr:to>
      <xdr:col>8</xdr:col>
      <xdr:colOff>589038</xdr:colOff>
      <xdr:row>240</xdr:row>
      <xdr:rowOff>163669</xdr:rowOff>
    </xdr:to>
    <xdr:sp macro="" textlink="">
      <xdr:nvSpPr>
        <xdr:cNvPr id="29" name="ZoneTexte 4">
          <a:extLst>
            <a:ext uri="{FF2B5EF4-FFF2-40B4-BE49-F238E27FC236}">
              <a16:creationId xmlns:a16="http://schemas.microsoft.com/office/drawing/2014/main" id="{9A6B7F07-B365-5AC2-AF73-B68724B91001}"/>
            </a:ext>
          </a:extLst>
        </xdr:cNvPr>
        <xdr:cNvSpPr txBox="1"/>
      </xdr:nvSpPr>
      <xdr:spPr>
        <a:xfrm>
          <a:off x="7582923" y="9671850"/>
          <a:ext cx="863498" cy="7705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BE" sz="1100" kern="1200"/>
        </a:p>
      </xdr:txBody>
    </xdr:sp>
    <xdr:clientData/>
  </xdr:twoCellAnchor>
  <xdr:twoCellAnchor editAs="oneCell">
    <xdr:from>
      <xdr:col>1</xdr:col>
      <xdr:colOff>491067</xdr:colOff>
      <xdr:row>258</xdr:row>
      <xdr:rowOff>76199</xdr:rowOff>
    </xdr:from>
    <xdr:to>
      <xdr:col>10</xdr:col>
      <xdr:colOff>874</xdr:colOff>
      <xdr:row>269</xdr:row>
      <xdr:rowOff>162231</xdr:rowOff>
    </xdr:to>
    <xdr:pic>
      <xdr:nvPicPr>
        <xdr:cNvPr id="28" name="Image 6">
          <a:extLst>
            <a:ext uri="{FF2B5EF4-FFF2-40B4-BE49-F238E27FC236}">
              <a16:creationId xmlns:a16="http://schemas.microsoft.com/office/drawing/2014/main" id="{B4B83807-55FF-C428-0072-E2960FF750FA}"/>
            </a:ext>
          </a:extLst>
        </xdr:cNvPr>
        <xdr:cNvPicPr>
          <a:picLocks noChangeAspect="1"/>
        </xdr:cNvPicPr>
      </xdr:nvPicPr>
      <xdr:blipFill>
        <a:blip xmlns:r="http://schemas.openxmlformats.org/officeDocument/2006/relationships" r:embed="rId2"/>
        <a:stretch>
          <a:fillRect/>
        </a:stretch>
      </xdr:blipFill>
      <xdr:spPr>
        <a:xfrm>
          <a:off x="1041400" y="13411199"/>
          <a:ext cx="7811590" cy="2181529"/>
        </a:xfrm>
        <a:prstGeom prst="rect">
          <a:avLst/>
        </a:prstGeom>
      </xdr:spPr>
    </xdr:pic>
    <xdr:clientData/>
  </xdr:twoCellAnchor>
  <xdr:twoCellAnchor editAs="oneCell">
    <xdr:from>
      <xdr:col>12</xdr:col>
      <xdr:colOff>0</xdr:colOff>
      <xdr:row>118</xdr:row>
      <xdr:rowOff>0</xdr:rowOff>
    </xdr:from>
    <xdr:to>
      <xdr:col>30</xdr:col>
      <xdr:colOff>693363</xdr:colOff>
      <xdr:row>121</xdr:row>
      <xdr:rowOff>20133</xdr:rowOff>
    </xdr:to>
    <xdr:pic>
      <xdr:nvPicPr>
        <xdr:cNvPr id="2" name="Image 1">
          <a:extLst>
            <a:ext uri="{FF2B5EF4-FFF2-40B4-BE49-F238E27FC236}">
              <a16:creationId xmlns:a16="http://schemas.microsoft.com/office/drawing/2014/main" id="{79EE0E0B-877F-BE2F-3915-69B008092365}"/>
            </a:ext>
          </a:extLst>
        </xdr:cNvPr>
        <xdr:cNvPicPr>
          <a:picLocks noChangeAspect="1"/>
        </xdr:cNvPicPr>
      </xdr:nvPicPr>
      <xdr:blipFill>
        <a:blip xmlns:r="http://schemas.openxmlformats.org/officeDocument/2006/relationships" r:embed="rId3"/>
        <a:stretch>
          <a:fillRect/>
        </a:stretch>
      </xdr:blipFill>
      <xdr:spPr>
        <a:xfrm>
          <a:off x="10160000" y="22241711"/>
          <a:ext cx="14680074" cy="571580"/>
        </a:xfrm>
        <a:prstGeom prst="rect">
          <a:avLst/>
        </a:prstGeom>
      </xdr:spPr>
    </xdr:pic>
    <xdr:clientData/>
  </xdr:twoCellAnchor>
  <xdr:twoCellAnchor editAs="oneCell">
    <xdr:from>
      <xdr:col>13</xdr:col>
      <xdr:colOff>651711</xdr:colOff>
      <xdr:row>39</xdr:row>
      <xdr:rowOff>8318</xdr:rowOff>
    </xdr:from>
    <xdr:to>
      <xdr:col>27</xdr:col>
      <xdr:colOff>6147</xdr:colOff>
      <xdr:row>102</xdr:row>
      <xdr:rowOff>172819</xdr:rowOff>
    </xdr:to>
    <xdr:pic>
      <xdr:nvPicPr>
        <xdr:cNvPr id="9" name="Image 2">
          <a:extLst>
            <a:ext uri="{FF2B5EF4-FFF2-40B4-BE49-F238E27FC236}">
              <a16:creationId xmlns:a16="http://schemas.microsoft.com/office/drawing/2014/main" id="{03205900-5006-0994-44A4-AB1052259976}"/>
            </a:ext>
          </a:extLst>
        </xdr:cNvPr>
        <xdr:cNvPicPr>
          <a:picLocks noChangeAspect="1"/>
        </xdr:cNvPicPr>
      </xdr:nvPicPr>
      <xdr:blipFill>
        <a:blip xmlns:r="http://schemas.openxmlformats.org/officeDocument/2006/relationships" r:embed="rId4"/>
        <a:stretch>
          <a:fillRect/>
        </a:stretch>
      </xdr:blipFill>
      <xdr:spPr>
        <a:xfrm>
          <a:off x="11430000" y="7661739"/>
          <a:ext cx="10206555" cy="11811738"/>
        </a:xfrm>
        <a:prstGeom prst="rect">
          <a:avLst/>
        </a:prstGeom>
      </xdr:spPr>
    </xdr:pic>
    <xdr:clientData/>
  </xdr:twoCellAnchor>
  <xdr:twoCellAnchor>
    <xdr:from>
      <xdr:col>29</xdr:col>
      <xdr:colOff>523875</xdr:colOff>
      <xdr:row>35</xdr:row>
      <xdr:rowOff>47625</xdr:rowOff>
    </xdr:from>
    <xdr:to>
      <xdr:col>42</xdr:col>
      <xdr:colOff>60008</xdr:colOff>
      <xdr:row>67</xdr:row>
      <xdr:rowOff>9525</xdr:rowOff>
    </xdr:to>
    <xdr:pic>
      <xdr:nvPicPr>
        <xdr:cNvPr id="10" name="Image 9">
          <a:extLst>
            <a:ext uri="{FF2B5EF4-FFF2-40B4-BE49-F238E27FC236}">
              <a16:creationId xmlns:a16="http://schemas.microsoft.com/office/drawing/2014/main" id="{5ABBDCD4-D6D5-64AB-09DB-C791254F3E3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455313" y="7167563"/>
          <a:ext cx="9132570" cy="610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263638</xdr:colOff>
      <xdr:row>124</xdr:row>
      <xdr:rowOff>149353</xdr:rowOff>
    </xdr:from>
    <xdr:to>
      <xdr:col>21</xdr:col>
      <xdr:colOff>295246</xdr:colOff>
      <xdr:row>127</xdr:row>
      <xdr:rowOff>57149</xdr:rowOff>
    </xdr:to>
    <xdr:pic>
      <xdr:nvPicPr>
        <xdr:cNvPr id="5" name="Image 4">
          <a:extLst>
            <a:ext uri="{FF2B5EF4-FFF2-40B4-BE49-F238E27FC236}">
              <a16:creationId xmlns:a16="http://schemas.microsoft.com/office/drawing/2014/main" id="{63B2E4C0-E1BA-6254-4D71-6D046E21E1B6}"/>
            </a:ext>
          </a:extLst>
        </xdr:cNvPr>
        <xdr:cNvPicPr>
          <a:picLocks noChangeAspect="1"/>
        </xdr:cNvPicPr>
      </xdr:nvPicPr>
      <xdr:blipFill>
        <a:blip xmlns:r="http://schemas.openxmlformats.org/officeDocument/2006/relationships" r:embed="rId6"/>
        <a:stretch>
          <a:fillRect/>
        </a:stretch>
      </xdr:blipFill>
      <xdr:spPr>
        <a:xfrm>
          <a:off x="7512164" y="23066503"/>
          <a:ext cx="10232882" cy="450722"/>
        </a:xfrm>
        <a:prstGeom prst="rect">
          <a:avLst/>
        </a:prstGeom>
      </xdr:spPr>
    </xdr:pic>
    <xdr:clientData/>
  </xdr:twoCellAnchor>
  <xdr:twoCellAnchor editAs="oneCell">
    <xdr:from>
      <xdr:col>13</xdr:col>
      <xdr:colOff>0</xdr:colOff>
      <xdr:row>133</xdr:row>
      <xdr:rowOff>0</xdr:rowOff>
    </xdr:from>
    <xdr:to>
      <xdr:col>13</xdr:col>
      <xdr:colOff>304800</xdr:colOff>
      <xdr:row>134</xdr:row>
      <xdr:rowOff>123825</xdr:rowOff>
    </xdr:to>
    <xdr:sp macro="" textlink="">
      <xdr:nvSpPr>
        <xdr:cNvPr id="6148" name="AutoShape 4" descr="Image">
          <a:extLst>
            <a:ext uri="{FF2B5EF4-FFF2-40B4-BE49-F238E27FC236}">
              <a16:creationId xmlns:a16="http://schemas.microsoft.com/office/drawing/2014/main" id="{97C40C21-91F5-34C5-7D86-75BBE0DD1889}"/>
            </a:ext>
          </a:extLst>
        </xdr:cNvPr>
        <xdr:cNvSpPr>
          <a:spLocks noChangeAspect="1" noChangeArrowheads="1"/>
        </xdr:cNvSpPr>
      </xdr:nvSpPr>
      <xdr:spPr bwMode="auto">
        <a:xfrm>
          <a:off x="11049000" y="2453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131</xdr:row>
      <xdr:rowOff>0</xdr:rowOff>
    </xdr:from>
    <xdr:to>
      <xdr:col>13</xdr:col>
      <xdr:colOff>304800</xdr:colOff>
      <xdr:row>132</xdr:row>
      <xdr:rowOff>123825</xdr:rowOff>
    </xdr:to>
    <xdr:sp macro="" textlink="">
      <xdr:nvSpPr>
        <xdr:cNvPr id="6149" name="AutoShape 5" descr="Image">
          <a:extLst>
            <a:ext uri="{FF2B5EF4-FFF2-40B4-BE49-F238E27FC236}">
              <a16:creationId xmlns:a16="http://schemas.microsoft.com/office/drawing/2014/main" id="{C0829697-9BB8-43F2-A2A6-D759C2B87490}"/>
            </a:ext>
          </a:extLst>
        </xdr:cNvPr>
        <xdr:cNvSpPr>
          <a:spLocks noChangeAspect="1" noChangeArrowheads="1"/>
        </xdr:cNvSpPr>
      </xdr:nvSpPr>
      <xdr:spPr bwMode="auto">
        <a:xfrm>
          <a:off x="11049000" y="2417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726281</xdr:colOff>
      <xdr:row>129</xdr:row>
      <xdr:rowOff>107156</xdr:rowOff>
    </xdr:from>
    <xdr:to>
      <xdr:col>25</xdr:col>
      <xdr:colOff>535781</xdr:colOff>
      <xdr:row>155</xdr:row>
      <xdr:rowOff>126207</xdr:rowOff>
    </xdr:to>
    <xdr:pic>
      <xdr:nvPicPr>
        <xdr:cNvPr id="6" name="Image 5" descr="Image">
          <a:extLst>
            <a:ext uri="{FF2B5EF4-FFF2-40B4-BE49-F238E27FC236}">
              <a16:creationId xmlns:a16="http://schemas.microsoft.com/office/drawing/2014/main" id="{CB0EE876-778A-9998-F25E-450854C7113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51281" y="23610094"/>
          <a:ext cx="10953750" cy="4662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6</xdr:col>
      <xdr:colOff>694868</xdr:colOff>
      <xdr:row>81</xdr:row>
      <xdr:rowOff>167194</xdr:rowOff>
    </xdr:to>
    <xdr:pic>
      <xdr:nvPicPr>
        <xdr:cNvPr id="7" name="Image 6">
          <a:extLst>
            <a:ext uri="{FF2B5EF4-FFF2-40B4-BE49-F238E27FC236}">
              <a16:creationId xmlns:a16="http://schemas.microsoft.com/office/drawing/2014/main" id="{E6F6546F-7346-EA94-78BD-E9AD2FF483E0}"/>
            </a:ext>
          </a:extLst>
        </xdr:cNvPr>
        <xdr:cNvPicPr>
          <a:picLocks noChangeAspect="1"/>
        </xdr:cNvPicPr>
      </xdr:nvPicPr>
      <xdr:blipFill>
        <a:blip xmlns:r="http://schemas.openxmlformats.org/officeDocument/2006/relationships" r:embed="rId8"/>
        <a:stretch>
          <a:fillRect/>
        </a:stretch>
      </xdr:blipFill>
      <xdr:spPr>
        <a:xfrm>
          <a:off x="531628" y="10691628"/>
          <a:ext cx="5715798" cy="4420217"/>
        </a:xfrm>
        <a:prstGeom prst="rect">
          <a:avLst/>
        </a:prstGeom>
      </xdr:spPr>
    </xdr:pic>
    <xdr:clientData/>
  </xdr:twoCellAnchor>
  <xdr:twoCellAnchor editAs="oneCell">
    <xdr:from>
      <xdr:col>1</xdr:col>
      <xdr:colOff>0</xdr:colOff>
      <xdr:row>83</xdr:row>
      <xdr:rowOff>154460</xdr:rowOff>
    </xdr:from>
    <xdr:to>
      <xdr:col>13</xdr:col>
      <xdr:colOff>341796</xdr:colOff>
      <xdr:row>106</xdr:row>
      <xdr:rowOff>99281</xdr:rowOff>
    </xdr:to>
    <xdr:pic>
      <xdr:nvPicPr>
        <xdr:cNvPr id="11" name="Image 10">
          <a:extLst>
            <a:ext uri="{FF2B5EF4-FFF2-40B4-BE49-F238E27FC236}">
              <a16:creationId xmlns:a16="http://schemas.microsoft.com/office/drawing/2014/main" id="{E414C112-4BCF-0B61-1C8D-6C75790F2618}"/>
            </a:ext>
          </a:extLst>
        </xdr:cNvPr>
        <xdr:cNvPicPr>
          <a:picLocks noChangeAspect="1"/>
        </xdr:cNvPicPr>
      </xdr:nvPicPr>
      <xdr:blipFill>
        <a:blip xmlns:r="http://schemas.openxmlformats.org/officeDocument/2006/relationships" r:embed="rId9"/>
        <a:stretch>
          <a:fillRect/>
        </a:stretch>
      </xdr:blipFill>
      <xdr:spPr>
        <a:xfrm>
          <a:off x="532027" y="16372703"/>
          <a:ext cx="10536120" cy="4286848"/>
        </a:xfrm>
        <a:prstGeom prst="rect">
          <a:avLst/>
        </a:prstGeom>
      </xdr:spPr>
    </xdr:pic>
    <xdr:clientData/>
  </xdr:twoCellAnchor>
  <xdr:twoCellAnchor editAs="oneCell">
    <xdr:from>
      <xdr:col>3</xdr:col>
      <xdr:colOff>563234</xdr:colOff>
      <xdr:row>30</xdr:row>
      <xdr:rowOff>175685</xdr:rowOff>
    </xdr:from>
    <xdr:to>
      <xdr:col>13</xdr:col>
      <xdr:colOff>58819</xdr:colOff>
      <xdr:row>53</xdr:row>
      <xdr:rowOff>129884</xdr:rowOff>
    </xdr:to>
    <xdr:pic>
      <xdr:nvPicPr>
        <xdr:cNvPr id="13" name="Image 7">
          <a:extLst>
            <a:ext uri="{FF2B5EF4-FFF2-40B4-BE49-F238E27FC236}">
              <a16:creationId xmlns:a16="http://schemas.microsoft.com/office/drawing/2014/main" id="{46AC8438-7F3C-7C35-4836-FE148888C2AF}"/>
            </a:ext>
          </a:extLst>
        </xdr:cNvPr>
        <xdr:cNvPicPr>
          <a:picLocks noChangeAspect="1"/>
        </xdr:cNvPicPr>
      </xdr:nvPicPr>
      <xdr:blipFill>
        <a:blip xmlns:r="http://schemas.openxmlformats.org/officeDocument/2006/relationships" r:embed="rId10"/>
        <a:stretch>
          <a:fillRect/>
        </a:stretch>
      </xdr:blipFill>
      <xdr:spPr>
        <a:xfrm>
          <a:off x="3770386" y="6433248"/>
          <a:ext cx="6582185" cy="4206159"/>
        </a:xfrm>
        <a:prstGeom prst="rect">
          <a:avLst/>
        </a:prstGeom>
      </xdr:spPr>
    </xdr:pic>
    <xdr:clientData/>
  </xdr:twoCellAnchor>
  <xdr:twoCellAnchor>
    <xdr:from>
      <xdr:col>29</xdr:col>
      <xdr:colOff>357188</xdr:colOff>
      <xdr:row>68</xdr:row>
      <xdr:rowOff>47625</xdr:rowOff>
    </xdr:from>
    <xdr:to>
      <xdr:col>42</xdr:col>
      <xdr:colOff>415389</xdr:colOff>
      <xdr:row>98</xdr:row>
      <xdr:rowOff>95249</xdr:rowOff>
    </xdr:to>
    <xdr:pic>
      <xdr:nvPicPr>
        <xdr:cNvPr id="12" name="Image 11">
          <a:extLst>
            <a:ext uri="{FF2B5EF4-FFF2-40B4-BE49-F238E27FC236}">
              <a16:creationId xmlns:a16="http://schemas.microsoft.com/office/drawing/2014/main" id="{08B1A073-6C4D-29B4-8E7A-8BB0B0B490F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2026563" y="13501688"/>
          <a:ext cx="9035514" cy="5762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408905</xdr:colOff>
      <xdr:row>46</xdr:row>
      <xdr:rowOff>31772</xdr:rowOff>
    </xdr:from>
    <xdr:to>
      <xdr:col>8</xdr:col>
      <xdr:colOff>669905</xdr:colOff>
      <xdr:row>46</xdr:row>
      <xdr:rowOff>137972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3" name="Encre 2">
              <a:extLst>
                <a:ext uri="{FF2B5EF4-FFF2-40B4-BE49-F238E27FC236}">
                  <a16:creationId xmlns:a16="http://schemas.microsoft.com/office/drawing/2014/main" id="{31801BFD-013F-2BFB-F955-CE75B1BFEFF3}"/>
                </a:ext>
              </a:extLst>
            </xdr14:cNvPr>
            <xdr14:cNvContentPartPr/>
          </xdr14:nvContentPartPr>
          <xdr14:nvPr macro=""/>
          <xdr14:xfrm>
            <a:off x="7355914" y="9073738"/>
            <a:ext cx="261000" cy="106200"/>
          </xdr14:xfrm>
        </xdr:contentPart>
      </mc:Choice>
      <mc:Fallback xmlns="">
        <xdr:pic>
          <xdr:nvPicPr>
            <xdr:cNvPr id="3" name="Encre 2">
              <a:extLst>
                <a:ext uri="{FF2B5EF4-FFF2-40B4-BE49-F238E27FC236}">
                  <a16:creationId xmlns:a16="http://schemas.microsoft.com/office/drawing/2014/main" id="{31801BFD-013F-2BFB-F955-CE75B1BFEFF3}"/>
                </a:ext>
              </a:extLst>
            </xdr:cNvPr>
            <xdr:cNvPicPr/>
          </xdr:nvPicPr>
          <xdr:blipFill>
            <a:blip xmlns:r="http://schemas.openxmlformats.org/officeDocument/2006/relationships" r:embed="rId13"/>
            <a:stretch>
              <a:fillRect/>
            </a:stretch>
          </xdr:blipFill>
          <xdr:spPr>
            <a:xfrm>
              <a:off x="7320274" y="9038098"/>
              <a:ext cx="332640" cy="177840"/>
            </a:xfrm>
            <a:prstGeom prst="rect">
              <a:avLst/>
            </a:prstGeom>
          </xdr:spPr>
        </xdr:pic>
      </mc:Fallback>
    </mc:AlternateContent>
    <xdr:clientData/>
  </xdr:twoCellAnchor>
  <xdr:twoCellAnchor editAs="oneCell">
    <xdr:from>
      <xdr:col>8</xdr:col>
      <xdr:colOff>355265</xdr:colOff>
      <xdr:row>46</xdr:row>
      <xdr:rowOff>5132</xdr:rowOff>
    </xdr:from>
    <xdr:to>
      <xdr:col>8</xdr:col>
      <xdr:colOff>369305</xdr:colOff>
      <xdr:row>46</xdr:row>
      <xdr:rowOff>152732</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8" name="Encre 7">
              <a:extLst>
                <a:ext uri="{FF2B5EF4-FFF2-40B4-BE49-F238E27FC236}">
                  <a16:creationId xmlns:a16="http://schemas.microsoft.com/office/drawing/2014/main" id="{A65E2E40-96D0-A5E7-DD8F-22246818B289}"/>
                </a:ext>
              </a:extLst>
            </xdr14:cNvPr>
            <xdr14:cNvContentPartPr/>
          </xdr14:nvContentPartPr>
          <xdr14:nvPr macro=""/>
          <xdr14:xfrm>
            <a:off x="7302274" y="9047098"/>
            <a:ext cx="14040" cy="147600"/>
          </xdr14:xfrm>
        </xdr:contentPart>
      </mc:Choice>
      <mc:Fallback xmlns="">
        <xdr:pic>
          <xdr:nvPicPr>
            <xdr:cNvPr id="8" name="Encre 7">
              <a:extLst>
                <a:ext uri="{FF2B5EF4-FFF2-40B4-BE49-F238E27FC236}">
                  <a16:creationId xmlns:a16="http://schemas.microsoft.com/office/drawing/2014/main" id="{A65E2E40-96D0-A5E7-DD8F-22246818B289}"/>
                </a:ext>
              </a:extLst>
            </xdr:cNvPr>
            <xdr:cNvPicPr/>
          </xdr:nvPicPr>
          <xdr:blipFill>
            <a:blip xmlns:r="http://schemas.openxmlformats.org/officeDocument/2006/relationships" r:embed="rId15"/>
            <a:stretch>
              <a:fillRect/>
            </a:stretch>
          </xdr:blipFill>
          <xdr:spPr>
            <a:xfrm>
              <a:off x="7296154" y="9040978"/>
              <a:ext cx="26280" cy="159840"/>
            </a:xfrm>
            <a:prstGeom prst="rect">
              <a:avLst/>
            </a:prstGeom>
          </xdr:spPr>
        </xdr:pic>
      </mc:Fallback>
    </mc:AlternateContent>
    <xdr:clientData/>
  </xdr:twoCellAnchor>
  <xdr:twoCellAnchor editAs="oneCell">
    <xdr:from>
      <xdr:col>8</xdr:col>
      <xdr:colOff>393065</xdr:colOff>
      <xdr:row>45</xdr:row>
      <xdr:rowOff>162662</xdr:rowOff>
    </xdr:from>
    <xdr:to>
      <xdr:col>9</xdr:col>
      <xdr:colOff>298675</xdr:colOff>
      <xdr:row>47</xdr:row>
      <xdr:rowOff>85962</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2" name="Encre 31">
              <a:extLst>
                <a:ext uri="{FF2B5EF4-FFF2-40B4-BE49-F238E27FC236}">
                  <a16:creationId xmlns:a16="http://schemas.microsoft.com/office/drawing/2014/main" id="{1C909545-8EDE-BF49-801E-1310503C397C}"/>
                </a:ext>
              </a:extLst>
            </xdr14:cNvPr>
            <xdr14:cNvContentPartPr/>
          </xdr14:nvContentPartPr>
          <xdr14:nvPr macro=""/>
          <xdr14:xfrm>
            <a:off x="7340074" y="9020098"/>
            <a:ext cx="623160" cy="291600"/>
          </xdr14:xfrm>
        </xdr:contentPart>
      </mc:Choice>
      <mc:Fallback xmlns="">
        <xdr:pic>
          <xdr:nvPicPr>
            <xdr:cNvPr id="32" name="Encre 31">
              <a:extLst>
                <a:ext uri="{FF2B5EF4-FFF2-40B4-BE49-F238E27FC236}">
                  <a16:creationId xmlns:a16="http://schemas.microsoft.com/office/drawing/2014/main" id="{1C909545-8EDE-BF49-801E-1310503C397C}"/>
                </a:ext>
              </a:extLst>
            </xdr:cNvPr>
            <xdr:cNvPicPr/>
          </xdr:nvPicPr>
          <xdr:blipFill>
            <a:blip xmlns:r="http://schemas.openxmlformats.org/officeDocument/2006/relationships" r:embed="rId17"/>
            <a:stretch>
              <a:fillRect/>
            </a:stretch>
          </xdr:blipFill>
          <xdr:spPr>
            <a:xfrm>
              <a:off x="7333958" y="9013970"/>
              <a:ext cx="635393" cy="303855"/>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171066</xdr:colOff>
      <xdr:row>241</xdr:row>
      <xdr:rowOff>129246</xdr:rowOff>
    </xdr:from>
    <xdr:to>
      <xdr:col>13</xdr:col>
      <xdr:colOff>2273</xdr:colOff>
      <xdr:row>270</xdr:row>
      <xdr:rowOff>174432</xdr:rowOff>
    </xdr:to>
    <xdr:pic>
      <xdr:nvPicPr>
        <xdr:cNvPr id="118" name="Image 2">
          <a:extLst>
            <a:ext uri="{FF2B5EF4-FFF2-40B4-BE49-F238E27FC236}">
              <a16:creationId xmlns:a16="http://schemas.microsoft.com/office/drawing/2014/main" id="{E7A5D1BB-027A-D2A4-A233-A2477E729926}"/>
            </a:ext>
          </a:extLst>
        </xdr:cNvPr>
        <xdr:cNvPicPr>
          <a:picLocks noChangeAspect="1"/>
        </xdr:cNvPicPr>
      </xdr:nvPicPr>
      <xdr:blipFill>
        <a:blip xmlns:r="http://schemas.openxmlformats.org/officeDocument/2006/relationships" r:embed="rId1"/>
        <a:stretch>
          <a:fillRect/>
        </a:stretch>
      </xdr:blipFill>
      <xdr:spPr>
        <a:xfrm>
          <a:off x="963546" y="7200606"/>
          <a:ext cx="10990186" cy="5569688"/>
        </a:xfrm>
        <a:prstGeom prst="rect">
          <a:avLst/>
        </a:prstGeom>
        <a:effectLst>
          <a:glow rad="381000">
            <a:schemeClr val="accent1">
              <a:alpha val="70000"/>
            </a:schemeClr>
          </a:glow>
        </a:effectLst>
      </xdr:spPr>
    </xdr:pic>
    <xdr:clientData/>
  </xdr:twoCellAnchor>
  <xdr:twoCellAnchor>
    <xdr:from>
      <xdr:col>1</xdr:col>
      <xdr:colOff>1300480</xdr:colOff>
      <xdr:row>261</xdr:row>
      <xdr:rowOff>50800</xdr:rowOff>
    </xdr:from>
    <xdr:to>
      <xdr:col>2</xdr:col>
      <xdr:colOff>731520</xdr:colOff>
      <xdr:row>266</xdr:row>
      <xdr:rowOff>40640</xdr:rowOff>
    </xdr:to>
    <xdr:sp macro="" textlink="">
      <xdr:nvSpPr>
        <xdr:cNvPr id="185" name="ZoneTexte 1">
          <a:extLst>
            <a:ext uri="{FF2B5EF4-FFF2-40B4-BE49-F238E27FC236}">
              <a16:creationId xmlns:a16="http://schemas.microsoft.com/office/drawing/2014/main" id="{9CFEB218-32E2-E6F0-0577-A0D9750A2AA5}"/>
            </a:ext>
          </a:extLst>
        </xdr:cNvPr>
        <xdr:cNvSpPr txBox="1"/>
      </xdr:nvSpPr>
      <xdr:spPr>
        <a:xfrm>
          <a:off x="2092960" y="10779760"/>
          <a:ext cx="944880" cy="90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100" kern="1200">
              <a:solidFill>
                <a:srgbClr val="FF0000"/>
              </a:solidFill>
            </a:rPr>
            <a:t>été</a:t>
          </a:r>
        </a:p>
        <a:p>
          <a:r>
            <a:rPr lang="fr-BE" sz="1100" kern="1200"/>
            <a:t>10423 m^3/h</a:t>
          </a:r>
        </a:p>
        <a:p>
          <a:r>
            <a:rPr lang="fr-BE" sz="1100" kern="1200">
              <a:solidFill>
                <a:schemeClr val="accent1"/>
              </a:solidFill>
            </a:rPr>
            <a:t>hiver</a:t>
          </a:r>
        </a:p>
        <a:p>
          <a:r>
            <a:rPr lang="fr-BE" sz="1100">
              <a:solidFill>
                <a:schemeClr val="dk1"/>
              </a:solidFill>
              <a:effectLst/>
              <a:latin typeface="+mn-lt"/>
              <a:ea typeface="+mn-ea"/>
              <a:cs typeface="+mn-cs"/>
            </a:rPr>
            <a:t>12877 m^3/h</a:t>
          </a:r>
          <a:endParaRPr lang="fr-BE" sz="1100" kern="1200"/>
        </a:p>
      </xdr:txBody>
    </xdr:sp>
    <xdr:clientData/>
  </xdr:twoCellAnchor>
  <xdr:twoCellAnchor>
    <xdr:from>
      <xdr:col>8</xdr:col>
      <xdr:colOff>302260</xdr:colOff>
      <xdr:row>252</xdr:row>
      <xdr:rowOff>17780</xdr:rowOff>
    </xdr:from>
    <xdr:to>
      <xdr:col>9</xdr:col>
      <xdr:colOff>464820</xdr:colOff>
      <xdr:row>256</xdr:row>
      <xdr:rowOff>119380</xdr:rowOff>
    </xdr:to>
    <xdr:sp macro="" textlink="">
      <xdr:nvSpPr>
        <xdr:cNvPr id="188" name="ZoneTexte 2">
          <a:extLst>
            <a:ext uri="{FF2B5EF4-FFF2-40B4-BE49-F238E27FC236}">
              <a16:creationId xmlns:a16="http://schemas.microsoft.com/office/drawing/2014/main" id="{F5352953-D923-C9A2-1D54-B5D5CFD0F029}"/>
            </a:ext>
          </a:extLst>
        </xdr:cNvPr>
        <xdr:cNvSpPr txBox="1"/>
      </xdr:nvSpPr>
      <xdr:spPr>
        <a:xfrm>
          <a:off x="7655560" y="8882380"/>
          <a:ext cx="1064260" cy="81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BE" sz="1100" kern="1200"/>
        </a:p>
      </xdr:txBody>
    </xdr:sp>
    <xdr:clientData/>
  </xdr:twoCellAnchor>
  <xdr:twoCellAnchor>
    <xdr:from>
      <xdr:col>2</xdr:col>
      <xdr:colOff>355600</xdr:colOff>
      <xdr:row>247</xdr:row>
      <xdr:rowOff>172720</xdr:rowOff>
    </xdr:from>
    <xdr:to>
      <xdr:col>3</xdr:col>
      <xdr:colOff>650240</xdr:colOff>
      <xdr:row>252</xdr:row>
      <xdr:rowOff>81280</xdr:rowOff>
    </xdr:to>
    <xdr:sp macro="" textlink="">
      <xdr:nvSpPr>
        <xdr:cNvPr id="164" name="ZoneTexte 3">
          <a:extLst>
            <a:ext uri="{FF2B5EF4-FFF2-40B4-BE49-F238E27FC236}">
              <a16:creationId xmlns:a16="http://schemas.microsoft.com/office/drawing/2014/main" id="{B8FE7501-0D8A-DC5A-E375-7173053DFA59}"/>
            </a:ext>
          </a:extLst>
        </xdr:cNvPr>
        <xdr:cNvSpPr txBox="1"/>
      </xdr:nvSpPr>
      <xdr:spPr>
        <a:xfrm>
          <a:off x="2661920" y="8341360"/>
          <a:ext cx="108712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BE" sz="1100" kern="1200"/>
        </a:p>
      </xdr:txBody>
    </xdr:sp>
    <xdr:clientData/>
  </xdr:twoCellAnchor>
  <xdr:twoCellAnchor editAs="oneCell">
    <xdr:from>
      <xdr:col>1</xdr:col>
      <xdr:colOff>1412240</xdr:colOff>
      <xdr:row>273</xdr:row>
      <xdr:rowOff>121920</xdr:rowOff>
    </xdr:from>
    <xdr:to>
      <xdr:col>10</xdr:col>
      <xdr:colOff>438593</xdr:colOff>
      <xdr:row>284</xdr:row>
      <xdr:rowOff>46000</xdr:rowOff>
    </xdr:to>
    <xdr:pic>
      <xdr:nvPicPr>
        <xdr:cNvPr id="187" name="Image 4">
          <a:extLst>
            <a:ext uri="{FF2B5EF4-FFF2-40B4-BE49-F238E27FC236}">
              <a16:creationId xmlns:a16="http://schemas.microsoft.com/office/drawing/2014/main" id="{F6F40A74-CAFA-4204-79E7-7F7B4D1E63B1}"/>
            </a:ext>
          </a:extLst>
        </xdr:cNvPr>
        <xdr:cNvPicPr>
          <a:picLocks noChangeAspect="1"/>
        </xdr:cNvPicPr>
      </xdr:nvPicPr>
      <xdr:blipFill>
        <a:blip xmlns:r="http://schemas.openxmlformats.org/officeDocument/2006/relationships" r:embed="rId2"/>
        <a:stretch>
          <a:fillRect/>
        </a:stretch>
      </xdr:blipFill>
      <xdr:spPr>
        <a:xfrm>
          <a:off x="2204720" y="13045440"/>
          <a:ext cx="7725853" cy="2019582"/>
        </a:xfrm>
        <a:prstGeom prst="rect">
          <a:avLst/>
        </a:prstGeom>
      </xdr:spPr>
    </xdr:pic>
    <xdr:clientData/>
  </xdr:twoCellAnchor>
  <xdr:twoCellAnchor editAs="oneCell">
    <xdr:from>
      <xdr:col>2</xdr:col>
      <xdr:colOff>0</xdr:colOff>
      <xdr:row>215</xdr:row>
      <xdr:rowOff>0</xdr:rowOff>
    </xdr:from>
    <xdr:to>
      <xdr:col>19</xdr:col>
      <xdr:colOff>382509</xdr:colOff>
      <xdr:row>219</xdr:row>
      <xdr:rowOff>142172</xdr:rowOff>
    </xdr:to>
    <xdr:pic>
      <xdr:nvPicPr>
        <xdr:cNvPr id="3" name="Image 2">
          <a:extLst>
            <a:ext uri="{FF2B5EF4-FFF2-40B4-BE49-F238E27FC236}">
              <a16:creationId xmlns:a16="http://schemas.microsoft.com/office/drawing/2014/main" id="{46FEDA68-0DAF-48C6-AF12-0F63029A58B7}"/>
            </a:ext>
          </a:extLst>
        </xdr:cNvPr>
        <xdr:cNvPicPr>
          <a:picLocks noChangeAspect="1"/>
        </xdr:cNvPicPr>
      </xdr:nvPicPr>
      <xdr:blipFill>
        <a:blip xmlns:r="http://schemas.openxmlformats.org/officeDocument/2006/relationships" r:embed="rId3"/>
        <a:stretch>
          <a:fillRect/>
        </a:stretch>
      </xdr:blipFill>
      <xdr:spPr>
        <a:xfrm>
          <a:off x="2524125" y="39376350"/>
          <a:ext cx="14504909" cy="878772"/>
        </a:xfrm>
        <a:prstGeom prst="rect">
          <a:avLst/>
        </a:prstGeom>
      </xdr:spPr>
    </xdr:pic>
    <xdr:clientData/>
  </xdr:twoCellAnchor>
  <xdr:twoCellAnchor>
    <xdr:from>
      <xdr:col>13</xdr:col>
      <xdr:colOff>505906</xdr:colOff>
      <xdr:row>29</xdr:row>
      <xdr:rowOff>59278</xdr:rowOff>
    </xdr:from>
    <xdr:to>
      <xdr:col>24</xdr:col>
      <xdr:colOff>509184</xdr:colOff>
      <xdr:row>60</xdr:row>
      <xdr:rowOff>177310</xdr:rowOff>
    </xdr:to>
    <xdr:pic>
      <xdr:nvPicPr>
        <xdr:cNvPr id="17" name="Image 1">
          <a:extLst>
            <a:ext uri="{FF2B5EF4-FFF2-40B4-BE49-F238E27FC236}">
              <a16:creationId xmlns:a16="http://schemas.microsoft.com/office/drawing/2014/main" id="{FA77CF08-BD82-2815-631F-0A125E15FB1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543361" y="5878187"/>
          <a:ext cx="9031823" cy="5890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661459</xdr:colOff>
      <xdr:row>58</xdr:row>
      <xdr:rowOff>8820</xdr:rowOff>
    </xdr:from>
    <xdr:ext cx="6098977" cy="7364236"/>
    <xdr:pic>
      <xdr:nvPicPr>
        <xdr:cNvPr id="23" name="Image 10">
          <a:extLst>
            <a:ext uri="{FF2B5EF4-FFF2-40B4-BE49-F238E27FC236}">
              <a16:creationId xmlns:a16="http://schemas.microsoft.com/office/drawing/2014/main" id="{A4166886-D2A9-A46A-EE36-4BABB5FEDE64}"/>
            </a:ext>
          </a:extLst>
        </xdr:cNvPr>
        <xdr:cNvPicPr>
          <a:picLocks noChangeAspect="1"/>
        </xdr:cNvPicPr>
      </xdr:nvPicPr>
      <xdr:blipFill>
        <a:blip xmlns:r="http://schemas.openxmlformats.org/officeDocument/2006/relationships" r:embed="rId5"/>
        <a:stretch>
          <a:fillRect/>
        </a:stretch>
      </xdr:blipFill>
      <xdr:spPr>
        <a:xfrm>
          <a:off x="19429237" y="11897431"/>
          <a:ext cx="6098977" cy="7364236"/>
        </a:xfrm>
        <a:prstGeom prst="rect">
          <a:avLst/>
        </a:prstGeom>
      </xdr:spPr>
    </xdr:pic>
    <xdr:clientData/>
  </xdr:oneCellAnchor>
  <xdr:twoCellAnchor editAs="oneCell">
    <xdr:from>
      <xdr:col>18</xdr:col>
      <xdr:colOff>36693</xdr:colOff>
      <xdr:row>83</xdr:row>
      <xdr:rowOff>79503</xdr:rowOff>
    </xdr:from>
    <xdr:to>
      <xdr:col>36</xdr:col>
      <xdr:colOff>610696</xdr:colOff>
      <xdr:row>86</xdr:row>
      <xdr:rowOff>106798</xdr:rowOff>
    </xdr:to>
    <xdr:pic>
      <xdr:nvPicPr>
        <xdr:cNvPr id="2" name="Image 1">
          <a:extLst>
            <a:ext uri="{FF2B5EF4-FFF2-40B4-BE49-F238E27FC236}">
              <a16:creationId xmlns:a16="http://schemas.microsoft.com/office/drawing/2014/main" id="{707246BD-45BF-F873-7D13-99F3F5446DD0}"/>
            </a:ext>
          </a:extLst>
        </xdr:cNvPr>
        <xdr:cNvPicPr>
          <a:picLocks noChangeAspect="1"/>
        </xdr:cNvPicPr>
      </xdr:nvPicPr>
      <xdr:blipFill>
        <a:blip xmlns:r="http://schemas.openxmlformats.org/officeDocument/2006/relationships" r:embed="rId6"/>
        <a:stretch>
          <a:fillRect/>
        </a:stretch>
      </xdr:blipFill>
      <xdr:spPr>
        <a:xfrm>
          <a:off x="15680321" y="15845442"/>
          <a:ext cx="14474693" cy="577696"/>
        </a:xfrm>
        <a:prstGeom prst="rect">
          <a:avLst/>
        </a:prstGeom>
      </xdr:spPr>
    </xdr:pic>
    <xdr:clientData/>
  </xdr:twoCellAnchor>
  <xdr:twoCellAnchor editAs="oneCell">
    <xdr:from>
      <xdr:col>19</xdr:col>
      <xdr:colOff>0</xdr:colOff>
      <xdr:row>165</xdr:row>
      <xdr:rowOff>0</xdr:rowOff>
    </xdr:from>
    <xdr:to>
      <xdr:col>36</xdr:col>
      <xdr:colOff>426712</xdr:colOff>
      <xdr:row>258</xdr:row>
      <xdr:rowOff>130027</xdr:rowOff>
    </xdr:to>
    <xdr:pic>
      <xdr:nvPicPr>
        <xdr:cNvPr id="15" name="Image 4">
          <a:extLst>
            <a:ext uri="{FF2B5EF4-FFF2-40B4-BE49-F238E27FC236}">
              <a16:creationId xmlns:a16="http://schemas.microsoft.com/office/drawing/2014/main" id="{1B8B70C2-2A9D-DFE0-679E-812EC90FABE0}"/>
            </a:ext>
          </a:extLst>
        </xdr:cNvPr>
        <xdr:cNvPicPr>
          <a:picLocks noChangeAspect="1"/>
        </xdr:cNvPicPr>
      </xdr:nvPicPr>
      <xdr:blipFill>
        <a:blip xmlns:r="http://schemas.openxmlformats.org/officeDocument/2006/relationships" r:embed="rId7"/>
        <a:stretch>
          <a:fillRect/>
        </a:stretch>
      </xdr:blipFill>
      <xdr:spPr>
        <a:xfrm>
          <a:off x="16855850" y="31296429"/>
          <a:ext cx="13594072" cy="17137867"/>
        </a:xfrm>
        <a:prstGeom prst="rect">
          <a:avLst/>
        </a:prstGeom>
      </xdr:spPr>
    </xdr:pic>
    <xdr:clientData/>
  </xdr:twoCellAnchor>
  <xdr:twoCellAnchor editAs="oneCell">
    <xdr:from>
      <xdr:col>10</xdr:col>
      <xdr:colOff>381000</xdr:colOff>
      <xdr:row>69</xdr:row>
      <xdr:rowOff>170747</xdr:rowOff>
    </xdr:from>
    <xdr:to>
      <xdr:col>23</xdr:col>
      <xdr:colOff>635002</xdr:colOff>
      <xdr:row>96</xdr:row>
      <xdr:rowOff>170748</xdr:rowOff>
    </xdr:to>
    <xdr:pic>
      <xdr:nvPicPr>
        <xdr:cNvPr id="5" name="Image 3" descr="Image">
          <a:extLst>
            <a:ext uri="{FF2B5EF4-FFF2-40B4-BE49-F238E27FC236}">
              <a16:creationId xmlns:a16="http://schemas.microsoft.com/office/drawing/2014/main" id="{F5BD0D1C-5F4D-41D3-B27C-3B804AAF84A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413697" y="13368147"/>
          <a:ext cx="10925671" cy="4953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32016</xdr:colOff>
      <xdr:row>28</xdr:row>
      <xdr:rowOff>32018</xdr:rowOff>
    </xdr:from>
    <xdr:to>
      <xdr:col>15</xdr:col>
      <xdr:colOff>422623</xdr:colOff>
      <xdr:row>47</xdr:row>
      <xdr:rowOff>101569</xdr:rowOff>
    </xdr:to>
    <xdr:pic>
      <xdr:nvPicPr>
        <xdr:cNvPr id="12" name="Image 11">
          <a:extLst>
            <a:ext uri="{FF2B5EF4-FFF2-40B4-BE49-F238E27FC236}">
              <a16:creationId xmlns:a16="http://schemas.microsoft.com/office/drawing/2014/main" id="{64F22DF9-43E0-D19D-A74B-D10687D9E842}"/>
            </a:ext>
          </a:extLst>
        </xdr:cNvPr>
        <xdr:cNvPicPr>
          <a:picLocks noChangeAspect="1"/>
        </xdr:cNvPicPr>
      </xdr:nvPicPr>
      <xdr:blipFill>
        <a:blip xmlns:r="http://schemas.openxmlformats.org/officeDocument/2006/relationships" r:embed="rId9"/>
        <a:stretch>
          <a:fillRect/>
        </a:stretch>
      </xdr:blipFill>
      <xdr:spPr>
        <a:xfrm>
          <a:off x="7152554" y="5698993"/>
          <a:ext cx="5993548" cy="3649030"/>
        </a:xfrm>
        <a:prstGeom prst="rect">
          <a:avLst/>
        </a:prstGeom>
      </xdr:spPr>
    </xdr:pic>
    <xdr:clientData/>
  </xdr:twoCellAnchor>
  <xdr:twoCellAnchor>
    <xdr:from>
      <xdr:col>27</xdr:col>
      <xdr:colOff>0</xdr:colOff>
      <xdr:row>30</xdr:row>
      <xdr:rowOff>0</xdr:rowOff>
    </xdr:from>
    <xdr:to>
      <xdr:col>39</xdr:col>
      <xdr:colOff>342900</xdr:colOff>
      <xdr:row>61</xdr:row>
      <xdr:rowOff>175260</xdr:rowOff>
    </xdr:to>
    <xdr:pic>
      <xdr:nvPicPr>
        <xdr:cNvPr id="4" name="Image 3">
          <a:extLst>
            <a:ext uri="{FF2B5EF4-FFF2-40B4-BE49-F238E27FC236}">
              <a16:creationId xmlns:a16="http://schemas.microsoft.com/office/drawing/2014/main" id="{F184C98F-DB24-733D-07B7-AF034BAC723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907500" y="5974080"/>
          <a:ext cx="9144000" cy="586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59346</xdr:colOff>
      <xdr:row>180</xdr:row>
      <xdr:rowOff>23738</xdr:rowOff>
    </xdr:from>
    <xdr:to>
      <xdr:col>7</xdr:col>
      <xdr:colOff>674643</xdr:colOff>
      <xdr:row>199</xdr:row>
      <xdr:rowOff>73734</xdr:rowOff>
    </xdr:to>
    <xdr:pic>
      <xdr:nvPicPr>
        <xdr:cNvPr id="5" name="Image 1">
          <a:extLst>
            <a:ext uri="{FF2B5EF4-FFF2-40B4-BE49-F238E27FC236}">
              <a16:creationId xmlns:a16="http://schemas.microsoft.com/office/drawing/2014/main" id="{201F5527-96DE-A266-B975-BC1848D18DFF}"/>
            </a:ext>
            <a:ext uri="{147F2762-F138-4A5C-976F-8EAC2B608ADB}">
              <a16:predDERef xmlns:a16="http://schemas.microsoft.com/office/drawing/2014/main" pred="{9397A72B-13D7-72F4-95A6-A197A2C64F0B}"/>
            </a:ext>
          </a:extLst>
        </xdr:cNvPr>
        <xdr:cNvPicPr>
          <a:picLocks noChangeAspect="1"/>
        </xdr:cNvPicPr>
      </xdr:nvPicPr>
      <xdr:blipFill>
        <a:blip xmlns:r="http://schemas.openxmlformats.org/officeDocument/2006/relationships" r:embed="rId1"/>
        <a:stretch>
          <a:fillRect/>
        </a:stretch>
      </xdr:blipFill>
      <xdr:spPr>
        <a:xfrm>
          <a:off x="890187" y="6682336"/>
          <a:ext cx="7772400" cy="3658223"/>
        </a:xfrm>
        <a:prstGeom prst="rect">
          <a:avLst/>
        </a:prstGeom>
      </xdr:spPr>
    </xdr:pic>
    <xdr:clientData/>
  </xdr:twoCellAnchor>
  <xdr:twoCellAnchor editAs="oneCell">
    <xdr:from>
      <xdr:col>0</xdr:col>
      <xdr:colOff>371187</xdr:colOff>
      <xdr:row>231</xdr:row>
      <xdr:rowOff>178183</xdr:rowOff>
    </xdr:from>
    <xdr:to>
      <xdr:col>6</xdr:col>
      <xdr:colOff>985405</xdr:colOff>
      <xdr:row>283</xdr:row>
      <xdr:rowOff>151300</xdr:rowOff>
    </xdr:to>
    <xdr:pic>
      <xdr:nvPicPr>
        <xdr:cNvPr id="3" name="Image 2">
          <a:extLst>
            <a:ext uri="{FF2B5EF4-FFF2-40B4-BE49-F238E27FC236}">
              <a16:creationId xmlns:a16="http://schemas.microsoft.com/office/drawing/2014/main" id="{073F69CF-340D-F897-6EEE-EC2DEB4AB590}"/>
            </a:ext>
          </a:extLst>
        </xdr:cNvPr>
        <xdr:cNvPicPr>
          <a:picLocks noChangeAspect="1"/>
        </xdr:cNvPicPr>
      </xdr:nvPicPr>
      <xdr:blipFill>
        <a:blip xmlns:r="http://schemas.openxmlformats.org/officeDocument/2006/relationships" r:embed="rId2"/>
        <a:stretch>
          <a:fillRect/>
        </a:stretch>
      </xdr:blipFill>
      <xdr:spPr>
        <a:xfrm>
          <a:off x="371187" y="43603525"/>
          <a:ext cx="7252854" cy="9729027"/>
        </a:xfrm>
        <a:prstGeom prst="rect">
          <a:avLst/>
        </a:prstGeom>
        <a:effectLst>
          <a:glow rad="381000">
            <a:schemeClr val="accent1">
              <a:alpha val="70000"/>
            </a:schemeClr>
          </a:glow>
        </a:effectLst>
      </xdr:spPr>
    </xdr:pic>
    <xdr:clientData/>
  </xdr:twoCellAnchor>
  <xdr:twoCellAnchor editAs="oneCell">
    <xdr:from>
      <xdr:col>0</xdr:col>
      <xdr:colOff>649064</xdr:colOff>
      <xdr:row>200</xdr:row>
      <xdr:rowOff>102803</xdr:rowOff>
    </xdr:from>
    <xdr:to>
      <xdr:col>4</xdr:col>
      <xdr:colOff>119740</xdr:colOff>
      <xdr:row>207</xdr:row>
      <xdr:rowOff>48716</xdr:rowOff>
    </xdr:to>
    <xdr:pic>
      <xdr:nvPicPr>
        <xdr:cNvPr id="4" name="Image 9">
          <a:extLst>
            <a:ext uri="{FF2B5EF4-FFF2-40B4-BE49-F238E27FC236}">
              <a16:creationId xmlns:a16="http://schemas.microsoft.com/office/drawing/2014/main" id="{43E13D79-D346-6D87-6CAC-381F56DA7912}"/>
            </a:ext>
          </a:extLst>
        </xdr:cNvPr>
        <xdr:cNvPicPr>
          <a:picLocks noChangeAspect="1"/>
        </xdr:cNvPicPr>
      </xdr:nvPicPr>
      <xdr:blipFill>
        <a:blip xmlns:r="http://schemas.openxmlformats.org/officeDocument/2006/relationships" r:embed="rId3"/>
        <a:stretch>
          <a:fillRect/>
        </a:stretch>
      </xdr:blipFill>
      <xdr:spPr>
        <a:xfrm>
          <a:off x="649064" y="10450418"/>
          <a:ext cx="4478518" cy="1259210"/>
        </a:xfrm>
        <a:prstGeom prst="rect">
          <a:avLst/>
        </a:prstGeom>
      </xdr:spPr>
    </xdr:pic>
    <xdr:clientData/>
  </xdr:twoCellAnchor>
  <xdr:twoCellAnchor>
    <xdr:from>
      <xdr:col>4</xdr:col>
      <xdr:colOff>502595</xdr:colOff>
      <xdr:row>202</xdr:row>
      <xdr:rowOff>162127</xdr:rowOff>
    </xdr:from>
    <xdr:to>
      <xdr:col>6</xdr:col>
      <xdr:colOff>170234</xdr:colOff>
      <xdr:row>206</xdr:row>
      <xdr:rowOff>8106</xdr:rowOff>
    </xdr:to>
    <xdr:sp macro="" textlink="">
      <xdr:nvSpPr>
        <xdr:cNvPr id="25" name="ZoneTexte 10">
          <a:extLst>
            <a:ext uri="{FF2B5EF4-FFF2-40B4-BE49-F238E27FC236}">
              <a16:creationId xmlns:a16="http://schemas.microsoft.com/office/drawing/2014/main" id="{6B09962A-36C9-1C9A-8497-F028F9DF06B0}"/>
            </a:ext>
          </a:extLst>
        </xdr:cNvPr>
        <xdr:cNvSpPr txBox="1"/>
      </xdr:nvSpPr>
      <xdr:spPr>
        <a:xfrm>
          <a:off x="5415063" y="10822021"/>
          <a:ext cx="1288916" cy="5917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800" kern="1200">
              <a:solidFill>
                <a:schemeClr val="tx2">
                  <a:lumMod val="75000"/>
                  <a:lumOff val="25000"/>
                </a:schemeClr>
              </a:solidFill>
            </a:rPr>
            <a:t>5022 m^3/h</a:t>
          </a:r>
        </a:p>
      </xdr:txBody>
    </xdr:sp>
    <xdr:clientData/>
  </xdr:twoCellAnchor>
  <xdr:twoCellAnchor editAs="oneCell">
    <xdr:from>
      <xdr:col>0</xdr:col>
      <xdr:colOff>1733550</xdr:colOff>
      <xdr:row>31</xdr:row>
      <xdr:rowOff>49169</xdr:rowOff>
    </xdr:from>
    <xdr:to>
      <xdr:col>9</xdr:col>
      <xdr:colOff>1838325</xdr:colOff>
      <xdr:row>35</xdr:row>
      <xdr:rowOff>101829</xdr:rowOff>
    </xdr:to>
    <xdr:pic>
      <xdr:nvPicPr>
        <xdr:cNvPr id="7" name="Image 1">
          <a:extLst>
            <a:ext uri="{FF2B5EF4-FFF2-40B4-BE49-F238E27FC236}">
              <a16:creationId xmlns:a16="http://schemas.microsoft.com/office/drawing/2014/main" id="{57E903A8-4D7F-EBBF-4EF6-622445D7813E}"/>
            </a:ext>
          </a:extLst>
        </xdr:cNvPr>
        <xdr:cNvPicPr>
          <a:picLocks noChangeAspect="1"/>
        </xdr:cNvPicPr>
      </xdr:nvPicPr>
      <xdr:blipFill>
        <a:blip xmlns:r="http://schemas.openxmlformats.org/officeDocument/2006/relationships" r:embed="rId4"/>
        <a:stretch>
          <a:fillRect/>
        </a:stretch>
      </xdr:blipFill>
      <xdr:spPr>
        <a:xfrm>
          <a:off x="1733550" y="5716545"/>
          <a:ext cx="11172825" cy="789260"/>
        </a:xfrm>
        <a:prstGeom prst="rect">
          <a:avLst/>
        </a:prstGeom>
      </xdr:spPr>
    </xdr:pic>
    <xdr:clientData/>
  </xdr:twoCellAnchor>
  <xdr:twoCellAnchor editAs="oneCell">
    <xdr:from>
      <xdr:col>0</xdr:col>
      <xdr:colOff>1834445</xdr:colOff>
      <xdr:row>35</xdr:row>
      <xdr:rowOff>137192</xdr:rowOff>
    </xdr:from>
    <xdr:to>
      <xdr:col>10</xdr:col>
      <xdr:colOff>397719</xdr:colOff>
      <xdr:row>109</xdr:row>
      <xdr:rowOff>1256</xdr:rowOff>
    </xdr:to>
    <xdr:pic>
      <xdr:nvPicPr>
        <xdr:cNvPr id="8" name="Image 5">
          <a:extLst>
            <a:ext uri="{FF2B5EF4-FFF2-40B4-BE49-F238E27FC236}">
              <a16:creationId xmlns:a16="http://schemas.microsoft.com/office/drawing/2014/main" id="{47EF5FC0-9386-DEDC-DFB7-2D037F91AE0A}"/>
            </a:ext>
          </a:extLst>
        </xdr:cNvPr>
        <xdr:cNvPicPr>
          <a:picLocks noChangeAspect="1"/>
        </xdr:cNvPicPr>
      </xdr:nvPicPr>
      <xdr:blipFill>
        <a:blip xmlns:r="http://schemas.openxmlformats.org/officeDocument/2006/relationships" r:embed="rId5"/>
        <a:stretch>
          <a:fillRect/>
        </a:stretch>
      </xdr:blipFill>
      <xdr:spPr>
        <a:xfrm>
          <a:off x="1834445" y="6569507"/>
          <a:ext cx="12186376" cy="13351934"/>
        </a:xfrm>
        <a:prstGeom prst="rect">
          <a:avLst/>
        </a:prstGeom>
      </xdr:spPr>
    </xdr:pic>
    <xdr:clientData/>
  </xdr:twoCellAnchor>
  <xdr:twoCellAnchor editAs="oneCell">
    <xdr:from>
      <xdr:col>27</xdr:col>
      <xdr:colOff>277092</xdr:colOff>
      <xdr:row>9</xdr:row>
      <xdr:rowOff>0</xdr:rowOff>
    </xdr:from>
    <xdr:to>
      <xdr:col>38</xdr:col>
      <xdr:colOff>278233</xdr:colOff>
      <xdr:row>52</xdr:row>
      <xdr:rowOff>600</xdr:rowOff>
    </xdr:to>
    <xdr:pic>
      <xdr:nvPicPr>
        <xdr:cNvPr id="18" name="Image 8">
          <a:extLst>
            <a:ext uri="{FF2B5EF4-FFF2-40B4-BE49-F238E27FC236}">
              <a16:creationId xmlns:a16="http://schemas.microsoft.com/office/drawing/2014/main" id="{1B7CD960-66F3-EBF2-41CD-E66C7CA56CD6}"/>
            </a:ext>
          </a:extLst>
        </xdr:cNvPr>
        <xdr:cNvPicPr>
          <a:picLocks noChangeAspect="1"/>
        </xdr:cNvPicPr>
      </xdr:nvPicPr>
      <xdr:blipFill>
        <a:blip xmlns:r="http://schemas.openxmlformats.org/officeDocument/2006/relationships" r:embed="rId6"/>
        <a:stretch>
          <a:fillRect/>
        </a:stretch>
      </xdr:blipFill>
      <xdr:spPr>
        <a:xfrm>
          <a:off x="25336501" y="1818409"/>
          <a:ext cx="8173591" cy="8154538"/>
        </a:xfrm>
        <a:prstGeom prst="rect">
          <a:avLst/>
        </a:prstGeom>
      </xdr:spPr>
    </xdr:pic>
    <xdr:clientData/>
  </xdr:twoCellAnchor>
  <xdr:twoCellAnchor editAs="oneCell">
    <xdr:from>
      <xdr:col>3</xdr:col>
      <xdr:colOff>628560</xdr:colOff>
      <xdr:row>34</xdr:row>
      <xdr:rowOff>28733</xdr:rowOff>
    </xdr:from>
    <xdr:to>
      <xdr:col>4</xdr:col>
      <xdr:colOff>451490</xdr:colOff>
      <xdr:row>35</xdr:row>
      <xdr:rowOff>168223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9" name="Encre 10">
              <a:extLst>
                <a:ext uri="{FF2B5EF4-FFF2-40B4-BE49-F238E27FC236}">
                  <a16:creationId xmlns:a16="http://schemas.microsoft.com/office/drawing/2014/main" id="{CCAA01F2-5F7B-E1A5-F0F9-DDE61119E728}"/>
                </a:ext>
              </a:extLst>
            </xdr14:cNvPr>
            <xdr14:cNvContentPartPr/>
          </xdr14:nvContentPartPr>
          <xdr14:nvPr macro=""/>
          <xdr14:xfrm>
            <a:off x="5369079" y="6615637"/>
            <a:ext cx="845280" cy="323640"/>
          </xdr14:xfrm>
        </xdr:contentPart>
      </mc:Choice>
      <mc:Fallback xmlns="">
        <xdr:pic>
          <xdr:nvPicPr>
            <xdr:cNvPr id="11" name="Encre 10">
              <a:extLst>
                <a:ext uri="{FF2B5EF4-FFF2-40B4-BE49-F238E27FC236}">
                  <a16:creationId xmlns:a16="http://schemas.microsoft.com/office/drawing/2014/main" id="{CCAA01F2-5F7B-E1A5-F0F9-DDE61119E728}"/>
                </a:ext>
              </a:extLst>
            </xdr:cNvPr>
            <xdr:cNvPicPr/>
          </xdr:nvPicPr>
          <xdr:blipFill>
            <a:blip xmlns:r="http://schemas.openxmlformats.org/officeDocument/2006/relationships" r:embed="rId9"/>
            <a:stretch>
              <a:fillRect/>
            </a:stretch>
          </xdr:blipFill>
          <xdr:spPr>
            <a:xfrm>
              <a:off x="5362959" y="6609517"/>
              <a:ext cx="857520" cy="335880"/>
            </a:xfrm>
            <a:prstGeom prst="rect">
              <a:avLst/>
            </a:prstGeom>
          </xdr:spPr>
        </xdr:pic>
      </mc:Fallback>
    </mc:AlternateContent>
    <xdr:clientData/>
  </xdr:twoCellAnchor>
  <xdr:twoCellAnchor editAs="oneCell">
    <xdr:from>
      <xdr:col>8</xdr:col>
      <xdr:colOff>499319</xdr:colOff>
      <xdr:row>34</xdr:row>
      <xdr:rowOff>824</xdr:rowOff>
    </xdr:from>
    <xdr:to>
      <xdr:col>8</xdr:col>
      <xdr:colOff>915839</xdr:colOff>
      <xdr:row>34</xdr:row>
      <xdr:rowOff>35024</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0" name="Encre 12">
              <a:extLst>
                <a:ext uri="{FF2B5EF4-FFF2-40B4-BE49-F238E27FC236}">
                  <a16:creationId xmlns:a16="http://schemas.microsoft.com/office/drawing/2014/main" id="{581D1199-A654-CAC6-FF43-99737B339598}"/>
                </a:ext>
              </a:extLst>
            </xdr14:cNvPr>
            <xdr14:cNvContentPartPr/>
          </xdr14:nvContentPartPr>
          <xdr14:nvPr macro=""/>
          <xdr14:xfrm>
            <a:off x="9966240" y="6447623"/>
            <a:ext cx="416520" cy="34200"/>
          </xdr14:xfrm>
        </xdr:contentPart>
      </mc:Choice>
      <mc:Fallback xmlns="">
        <xdr:pic>
          <xdr:nvPicPr>
            <xdr:cNvPr id="13" name="Encre 12">
              <a:extLst>
                <a:ext uri="{FF2B5EF4-FFF2-40B4-BE49-F238E27FC236}">
                  <a16:creationId xmlns:a16="http://schemas.microsoft.com/office/drawing/2014/main" id="{581D1199-A654-CAC6-FF43-99737B339598}"/>
                </a:ext>
              </a:extLst>
            </xdr:cNvPr>
            <xdr:cNvPicPr/>
          </xdr:nvPicPr>
          <xdr:blipFill>
            <a:blip xmlns:r="http://schemas.openxmlformats.org/officeDocument/2006/relationships" r:embed="rId11"/>
            <a:stretch>
              <a:fillRect/>
            </a:stretch>
          </xdr:blipFill>
          <xdr:spPr>
            <a:xfrm>
              <a:off x="9930240" y="6375623"/>
              <a:ext cx="488160" cy="177840"/>
            </a:xfrm>
            <a:prstGeom prst="rect">
              <a:avLst/>
            </a:prstGeom>
          </xdr:spPr>
        </xdr:pic>
      </mc:Fallback>
    </mc:AlternateContent>
    <xdr:clientData/>
  </xdr:twoCellAnchor>
  <xdr:twoCellAnchor editAs="oneCell">
    <xdr:from>
      <xdr:col>8</xdr:col>
      <xdr:colOff>579599</xdr:colOff>
      <xdr:row>33</xdr:row>
      <xdr:rowOff>184158</xdr:rowOff>
    </xdr:from>
    <xdr:to>
      <xdr:col>9</xdr:col>
      <xdr:colOff>661709</xdr:colOff>
      <xdr:row>34</xdr:row>
      <xdr:rowOff>165968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1" name="Encre 13">
              <a:extLst>
                <a:ext uri="{FF2B5EF4-FFF2-40B4-BE49-F238E27FC236}">
                  <a16:creationId xmlns:a16="http://schemas.microsoft.com/office/drawing/2014/main" id="{852CD6D1-F412-95C7-3BE6-F78354FD777A}"/>
                </a:ext>
              </a:extLst>
            </xdr14:cNvPr>
            <xdr14:cNvContentPartPr/>
          </xdr14:nvContentPartPr>
          <xdr14:nvPr macro=""/>
          <xdr14:xfrm>
            <a:off x="10046520" y="6445103"/>
            <a:ext cx="1244160" cy="165960"/>
          </xdr14:xfrm>
        </xdr:contentPart>
      </mc:Choice>
      <mc:Fallback xmlns="">
        <xdr:pic>
          <xdr:nvPicPr>
            <xdr:cNvPr id="14" name="Encre 13">
              <a:extLst>
                <a:ext uri="{FF2B5EF4-FFF2-40B4-BE49-F238E27FC236}">
                  <a16:creationId xmlns:a16="http://schemas.microsoft.com/office/drawing/2014/main" id="{852CD6D1-F412-95C7-3BE6-F78354FD777A}"/>
                </a:ext>
              </a:extLst>
            </xdr:cNvPr>
            <xdr:cNvPicPr/>
          </xdr:nvPicPr>
          <xdr:blipFill>
            <a:blip xmlns:r="http://schemas.openxmlformats.org/officeDocument/2006/relationships" r:embed="rId13"/>
            <a:stretch>
              <a:fillRect/>
            </a:stretch>
          </xdr:blipFill>
          <xdr:spPr>
            <a:xfrm>
              <a:off x="10010520" y="6373103"/>
              <a:ext cx="1315800" cy="309600"/>
            </a:xfrm>
            <a:prstGeom prst="rect">
              <a:avLst/>
            </a:prstGeom>
          </xdr:spPr>
        </xdr:pic>
      </mc:Fallback>
    </mc:AlternateContent>
    <xdr:clientData/>
  </xdr:twoCellAnchor>
  <xdr:twoCellAnchor>
    <xdr:from>
      <xdr:col>12</xdr:col>
      <xdr:colOff>169917</xdr:colOff>
      <xdr:row>62</xdr:row>
      <xdr:rowOff>91371</xdr:rowOff>
    </xdr:from>
    <xdr:to>
      <xdr:col>25</xdr:col>
      <xdr:colOff>94214</xdr:colOff>
      <xdr:row>94</xdr:row>
      <xdr:rowOff>109332</xdr:rowOff>
    </xdr:to>
    <xdr:pic>
      <xdr:nvPicPr>
        <xdr:cNvPr id="9" name="Image 1">
          <a:extLst>
            <a:ext uri="{FF2B5EF4-FFF2-40B4-BE49-F238E27FC236}">
              <a16:creationId xmlns:a16="http://schemas.microsoft.com/office/drawing/2014/main" id="{8ABB75AC-B5E9-D4D7-4661-5106666CF3F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984093" y="11274842"/>
          <a:ext cx="9247592" cy="57553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304649</xdr:colOff>
      <xdr:row>26</xdr:row>
      <xdr:rowOff>151564</xdr:rowOff>
    </xdr:from>
    <xdr:to>
      <xdr:col>25</xdr:col>
      <xdr:colOff>234390</xdr:colOff>
      <xdr:row>58</xdr:row>
      <xdr:rowOff>164479</xdr:rowOff>
    </xdr:to>
    <xdr:pic>
      <xdr:nvPicPr>
        <xdr:cNvPr id="2" name="Image 11">
          <a:extLst>
            <a:ext uri="{FF2B5EF4-FFF2-40B4-BE49-F238E27FC236}">
              <a16:creationId xmlns:a16="http://schemas.microsoft.com/office/drawing/2014/main" id="{4C2A4D5F-881C-75E0-08BC-27587DC5D06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118825" y="4880446"/>
          <a:ext cx="9253036" cy="5750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742950</xdr:colOff>
      <xdr:row>2</xdr:row>
      <xdr:rowOff>19050</xdr:rowOff>
    </xdr:from>
    <xdr:to>
      <xdr:col>21</xdr:col>
      <xdr:colOff>171450</xdr:colOff>
      <xdr:row>19</xdr:row>
      <xdr:rowOff>161925</xdr:rowOff>
    </xdr:to>
    <xdr:pic>
      <xdr:nvPicPr>
        <xdr:cNvPr id="5" name="Image 2">
          <a:extLst>
            <a:ext uri="{FF2B5EF4-FFF2-40B4-BE49-F238E27FC236}">
              <a16:creationId xmlns:a16="http://schemas.microsoft.com/office/drawing/2014/main" id="{FA4BF133-6F5A-7474-6350-FA938060E710}"/>
            </a:ext>
          </a:extLst>
        </xdr:cNvPr>
        <xdr:cNvPicPr>
          <a:picLocks noChangeAspect="1"/>
        </xdr:cNvPicPr>
      </xdr:nvPicPr>
      <xdr:blipFill>
        <a:blip xmlns:r="http://schemas.openxmlformats.org/officeDocument/2006/relationships" r:embed="rId1"/>
        <a:stretch>
          <a:fillRect/>
        </a:stretch>
      </xdr:blipFill>
      <xdr:spPr>
        <a:xfrm>
          <a:off x="11372850" y="400050"/>
          <a:ext cx="5524500" cy="338137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9T08:51:16.249"/>
    </inkml:context>
    <inkml:brush xml:id="br0">
      <inkml:brushProperty name="width" value="0.2" units="cm"/>
      <inkml:brushProperty name="height" value="0.2" units="cm"/>
      <inkml:brushProperty name="color" value="#FFFFFF"/>
    </inkml:brush>
  </inkml:definitions>
  <inkml:trace contextRef="#ctx0" brushRef="#br0">598 47 24575,'-13'0'0,"-1"-2"0,-15-3 0,-16-2 0,-64-9 0,86 11 0,-1 0 0,0 2 0,0 1 0,0 1 0,-26 2 0,42 0 0,0 1 0,1 1 0,0-1 0,-1 1 0,1 0 0,0 1 0,0 0 0,1 0 0,-9 7 0,8-6 0,0 0 0,0-1 0,-1 1 0,0-2 0,0 1 0,0-1 0,-9 3 0,8-4 0,-29 6 0,37-7 0,0-1 0,0 0 0,0 0 0,0 1 0,0-1 0,0 1 0,0-1 0,0 1 0,0 0 0,0-1 0,0 1 0,0 0 0,0 0 0,0 0 0,1-1 0,-1 1 0,0 0 0,1 0 0,-1 0 0,0 0 0,1 0 0,-1 0 0,1 0 0,0 0 0,-1 3 0,1-3 0,1 0 0,-1 0 0,0 0 0,1 0 0,0 0 0,-1 0 0,1 0 0,-1 0 0,1 0 0,0-1 0,0 1 0,0 0 0,-1 0 0,1-1 0,0 1 0,0 0 0,0-1 0,0 1 0,0-1 0,0 1 0,0-1 0,2 1 0,24 8 0,-12-7 0,1 0 0,0 0 0,0-2 0,30-2 0,-28 1 0,-1 0 0,1 1 0,25 4 0,-38-3 0,0 1 0,0-1 0,0 1 0,0 0 0,-1 1 0,1-1 0,-1 1 0,1 0 0,6 6 0,35 39 0,-22-23 0,-20-21 0,0-1 0,0 1 0,0-1 0,0 0 0,1 0 0,0-1 0,-1 0 0,1 1 0,0-1 0,0-1 0,0 1 0,0-1 0,1 0 0,-1 0 0,0 0 0,1-1 0,-1 0 0,8-1 0,60-1 0,-43 0 0,0 1 0,45 6 0,-71-4-136,0 0-1,0 0 1,0 1-1,0-1 1,0 1-1,-1 0 1,1 0-1,-1 0 0,5 4 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9T08:51:22.526"/>
    </inkml:context>
    <inkml:brush xml:id="br0">
      <inkml:brushProperty name="width" value="0.035" units="cm"/>
      <inkml:brushProperty name="height" value="0.035" units="cm"/>
    </inkml:brush>
  </inkml:definitions>
  <inkml:trace contextRef="#ctx0" brushRef="#br0">23 1 24575,'-1'74'0,"3"80"0,5-109 0,-5-33 0,0 0 0,0 1 0,-1 17 0,-1-25 0,0-1 0,-1 0 0,0 0 0,0 0 0,0 0 0,0 0 0,-1 0 0,1 0 0,-1 0 0,0 0 0,0-1 0,0 1 0,-1-1 0,-3 5 0,6-8-54,-1 1-1,1-1 0,0 1 1,-1-1-1,1 0 1,-1 1-1,1-1 0,0 1 1,-1-1-1,1 0 1,-1 0-1,1 1 0,-1-1 1,0 0-1,1 0 0,-1 1 1,1-1-1,-1 0 1,1 0-1,-1 0 0,1 0 1,-1 0-1,0 0 1,0 0-1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9T08:51:34.025"/>
    </inkml:context>
    <inkml:brush xml:id="br0">
      <inkml:brushProperty name="width" value="0.035" units="cm"/>
      <inkml:brushProperty name="height" value="0.035" units="cm"/>
    </inkml:brush>
  </inkml:definitions>
  <inkml:trace contextRef="#ctx0" brushRef="#br0">108 1 24575,'-1'9'0,"0"0"0,0 1 0,-1-1 0,0 0 0,-5 15 0,3-13 0,1-1 0,1 0 0,-1 0 0,1 16 0,1 109 0,2-66 0,-1-67 0,0 0 0,0 0 0,0 2 0,0-1 0,0-2 0,0 1 0,1 0 0,-1 2 0,1-2 0,0 0 0,0 0 0,0 0 0,0 0 0,0 1 0,1-1 0,-1 0 0,0-1 0,1 1 0,-1 0 0,1-1 0,0 1 0,-1 0 0,0-1 0,1 1 0,0-1 0,0 0 0,3 1 0,4 1 0,1 2 0,-1-4 0,1 1 0,-1-1 0,12 0 0,-14 0 0,2-1 0,-1 1 0,0 0 0,0 1 0,-1 1 0,9 2 0,-2 4 0,2-2 0,17 7 0,-29-13 0,1 0 0,0 2 0,0-3 0,-1 1 0,1-1 0,0 0 0,0 0 0,-1 0 0,1-1 0,0 1 0,0-3 0,4 1 0,-8 2 0,0 0 0,0 0 0,0-1 0,-1 1 0,1 0 0,0 0 0,0-1 0,0 1 0,-1 0 0,1-1 0,-1 1 0,1-1 0,-1 1 0,1-1 0,0 0 0,-1 1 0,1-1 0,-1 0 0,1 1 0,-1-1 0,1-1 0,-1 2 0,1-1 0,-1 0 0,0 0 0,1 0 0,-1 1 0,0-1 0,0 0 0,0 0 0,0 0 0,0 0 0,1 0 0,-1 1 0,-1-1 0,1-3 0,-1 0 0,-1 1 0,0-2 0,0 1 0,1 1 0,-1 0 0,-6-7 0,-6-15 0,10 14 0,0-1 0,0 3 0,-1-1 0,0-1 0,-8-11 0,10 17 0,-1 1 0,0 1 0,1-2 0,-1 1 0,0 1 0,0 0 0,0-1 0,0 2 0,-1-1 0,0 1 0,1 0 0,-1 0 0,-5-2 0,-29-8-341,-2 3 0,0 1-1,-80-2 1,106 10-6485</inkml:trace>
  <inkml:trace contextRef="#ctx0" brushRef="#br0" timeOffset="2172.97">394 34 24575,'34'-3'0,"-22"2"0,0 1 0,0 0 0,0 0 0,0 1 0,15 5 0,-26-6 0,0 0 0,1 1 0,-1-1 0,0 1 0,-1-1 0,1 1 0,0-1 0,0 1 0,0 0 0,0 0 0,0 0 0,0-1 0,0 1 0,0-1 0,0 2 0,0-1 0,-1 1 0,1-1 0,0 0 0,-1 1 0,1-1 0,-1 0 0,1 0 0,-1 0 0,0 1 0,1-1 0,-1 1 0,0-1 0,0 1 0,0-1 0,0 0 0,0 0 0,0 1 0,0-2 0,-1 2 0,1 2 0,-3 4 0,1 2 0,-1-1 0,-1-1 0,-4 13 0,-2-1 0,8-13 0,1-1 0,0 1 0,0 0 0,0 1 0,0-2 0,1 1 0,-1 0 0,3 14 0,11 56 0,-4-24 0,-9-52-124,1 2 0,-1-1 0,0-1 0,1 2 0,0-1 0,-1 0-1,1-1 1,0 2 0,0-1 0,2 2 0,4 2-6702</inkml:trace>
  <inkml:trace contextRef="#ctx0" brushRef="#br0" timeOffset="4590.14">379 229 24575,'2'0'0,"4"0"0,3 0 0,2 0 0,2 0 0,1 0 0,5-4 0,5 1 0,3-1 0,4 2 0,-1 0 0,2-3 0,-2 1 0,-4 0 0,-3 1 0,-4 1 0,-5 1-8191</inkml:trace>
  <inkml:trace contextRef="#ctx0" brushRef="#br0" timeOffset="6675.32">636 342 24575,'0'5'0,"-3"5"0,-2 4 0,-4 4 0,0 3 0,0-1 0,0 1 0,3-3 0,-2 4 0,1 3 0,-6-2 0,1 0 0,-1-5 0,2-2 0,4-2 0,-1-3 0,2-2-8191</inkml:trace>
  <inkml:trace contextRef="#ctx0" brushRef="#br0" timeOffset="10532.03">722 471 24575,'24'3'0,"34"4"0,-43-2 0,0-3 0,0 0 0,0-1 0,0-1 0,-1 0 0,26-4 0,-37 3 0,0-1 0,0 1 0,-1 1 0,1-2 0,-1 1 0,1 0 0,0-1 0,-1 1 0,1-1 0,-2-1 0,1 1 0,0 0 0,1 0 0,-1 0 0,0 0 0,-1-3 0,1 4 0,0-1 0,0-4 0,-1 1 0,1 1 0,-1 1 0,0-2 0,0 1 0,0 0 0,-1 1 0,1-3 0,-1 2 0,0 1 0,0-4 0,0 3 0,-2-8 0,1 7 0,0 0 0,0 1 0,0-1 0,-1 0 0,1 1 0,0 0 0,-1-1 0,-1 1 0,1 1 0,0-2 0,-1 1 0,0 1 0,1 0 0,-1-2 0,0 1 0,-1 3 0,1-2 0,-1-1 0,1 2 0,0-1 0,-1 2 0,0-1 0,1 0 0,-2 0 0,1 0 0,-5-2 0,-19 4 0,0 0 0,-33 4 0,56-2 0,0-2 0,0 2 0,-1-1 0,2 1 0,-2 0 0,1 0 0,0 0 0,-8 7 0,-33 33 0,37-33 0,2-1 0,-3 0 0,2-1 0,-2 0 0,1-1 0,-12 6 0,16-10 0,0 1 0,0 0 0,0 0 0,0-1 0,1 3 0,0-2 0,-7 7 0,11-9 0,-1 0 0,0 0 0,0 0 0,1 0 0,-1 0 0,1 0 0,-1 0 0,0 0 0,1 0 0,0 0 0,-1-1 0,1 3 0,0-2 0,-1 0 0,1 0 0,0 1 0,0-1 0,0 1 0,0-1 0,1 0 0,-1 1 0,1 0 0,-1 0 0,1-1 0,0 0 0,-1 0 0,1 0 0,0 0 0,0 0 0,0 1 0,-1-2 0,1 1 0,0 1 0,0-1 0,0 0 0,1 0 0,-1-1 0,1 2 0,7 3 6,0 0 0,0-1 0,1 0 1,-1-2-1,1 2 0,-1-2 0,2 0 0,9-1 0,82 1-332,-57-4-768,-30 2-5732</inkml:trace>
  <inkml:trace contextRef="#ctx0" brushRef="#br0" timeOffset="12679.52">993 358 24575,'-10'24'0,"3"1"0,-1 0 0,-5 29 0,3-12 0,8-25 0,-1 1 0,1 1 0,0-1 0,2 19 0,0-20 0,0-1 0,-1 1 0,-1 1 0,-6 30 0,2-24 0,4-18 0,1 1 0,-1 0 0,0 0 0,-5 11 0,5-16 0,1 1 0,0 0 0,0-3 0,-1 2 0,1-1 0,-1 1 0,0-1 0,1 1 0,-1-1 0,1 1 0,-1-2 0,0 2 0,0-1 0,0 0 0,0 0 0,0-1 0,0 1 0,0-1 0,-2 1 0,-19 1 0,1-1 0,-43-3 0,8-1 0,39 3-1365,3 0-5461</inkml:trace>
  <inkml:trace contextRef="#ctx0" brushRef="#br0" timeOffset="17586.59">1121 456 24575,'16'0'0,"58"-1"0,1 5 0,91 15 0,3 8 0,-168-27 0,0 0 0,0 0 0,1 0 0,-1 0 0,0 0 0,0 1 0,0-1 0,-1 1 0,1-1 0,0 0 0,0 2 0,0-2 0,0 0 0,-1 1 0,1-1 0,1 2 0,-2 0 0,0-2 0,0 0 0,0 1 0,0-1 0,0 1 0,0-1 0,0 0 0,0 1 0,0-1 0,0 1 0,0-1 0,0 0 0,0 1 0,-1-1 0,1 0 0,0 1 0,0-1 0,0 0 0,-1 0 0,1 0 0,0 0 0,-1 2 0,1-2 0,0 0 0,0 0 0,-1 1 0,1-1 0,-1 0 0,-37 23 0,23-15 0,-37 21 0,36-22 0,1 2 0,0 1 0,1-1 0,-20 18 0,-1 0 0,28-23 0,1 0 0,0 0 0,0 1 0,0 1 0,-8 9 0,-20 35 0,26-36 0,-2 0 0,1 0 0,-18 17 0,6-5-1365,15-12-5461</inkml:trace>
  <inkml:trace contextRef="#ctx0" brushRef="#br0" timeOffset="19441.38">1135 684 24575,'11'0'0,"33"-1"0,2 3 0,80 13 0,-53 0-1365,-59-14-5461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5:47:07.449"/>
    </inkml:context>
    <inkml:brush xml:id="br0">
      <inkml:brushProperty name="width" value="0.035" units="cm"/>
      <inkml:brushProperty name="height" value="0.035" units="cm"/>
      <inkml:brushProperty name="color" value="#E71224"/>
    </inkml:brush>
  </inkml:definitions>
  <inkml:trace contextRef="#ctx0" brushRef="#br0">2222 210 24575,'0'-6'0,"-1"2"0,-1 0 0,2-3 0,-2 3 0,2-2 0,-2 2 0,0 1 0,-1-1 0,1-1 0,0 1 0,0 0 0,-2 0 0,1 0 0,0 1 0,1 0 0,-2 1 0,0 0 0,-5-8 0,-12-5 0,4 1 0,-33-12 0,35 17 0,-4 1 0,-2 2 0,4 1 0,-2-2 0,-2 3 0,4 0 0,-3 1 0,0 1 0,-30 2 0,-20-3 0,5-7 0,44 6 0,-2 1 0,-22 0 0,-900 4 0,923 0 0,4 2 0,-1 0 0,-1 1 0,-20 7 0,-35 11 0,-40-3 0,-98 23 0,201-40 0,0-1 0,2 1 0,-2 1 0,1 1 0,-1 0 0,4 3 0,-4 0 0,-18 9 0,24-11 0,2-1 0,1 1 0,-2-1 0,0 0 0,3 0 0,-3 2 0,1 0 0,1 1 0,1-3 0,0 1 0,-2 2 0,2-1 0,1 1 0,-1-3 0,0 3 0,1-2 0,0 2 0,0 1 0,0 5 0,0 2 0,1 1 0,0-1 0,1-2 0,0 1 0,1 2 0,1-2 0,-1 1 0,2 0 0,-1-3 0,1 2 0,3 0 0,0-2 0,-1 3 0,1-4 0,-1 2 0,2-3 0,1 4 0,17 15 0,-12-11 0,4 1 0,-4-5 0,5 2 0,-2-1 0,2-1 0,38 22 0,-13-17 0,1 1 0,-1-2 0,74 16 0,-44-19 0,63 11 0,-1-5 0,-87-13 0,21 5 0,11-1 0,-29-7 0,-2 7 0,-31-8 0,0-1 0,26 2 0,51 6 0,-67-7 0,41 2 0,4-5 0,82-3 0,-142 0 0,-2-1 0,1 0 0,1-2 0,-3 2 0,0-2 0,0-2 0,2 1 0,-1-2 0,-1 3 0,-1-3 0,3 0 0,-4-3 0,17-14 0,-16 16 0,2-1 0,0-1 0,22-14 0,-24 18 0,1 2 0,-1-1 0,-3-2 0,2-1 0,0 1 0,-1-1 0,14-16 0,24-41 0,-30 44 0,0 0 0,16-31 0,15-21 0,-38 66 0,-3-1 0,2 0 0,-5 1 0,5-3 0,-3 1 0,1 1 0,-1-5 0,-2 5 0,0-2 0,2-2 0,-3 3 0,0 0 0,2-15 0,-3 17-68,0-1 0,-1 2-1,0-2 1,0 0 0,-1-1 0,0 2-1,-1 1 1,0-2 0,0 0 0,0 2-1,-1-4 1,1 3 0,-2 1 0,-2 0-1,3-1 1,-2 0 0,1 2 0,-2 1-1,-7-15 1,4 13-6758</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2-14T16:45:57.11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0 94,'874'0,"-852"-1,-1-1,1-1,0 0,-1-2,0-1,0-1,0 0,-1-2,37-21,-23 9</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2-14T16:46:04.853"/>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1681 198,'49'-1,"151"7,-171-3,1 2,-1 0,0 2,49 19,-28-4,-20-9,0-1,0-1,42 9,-7-8,1-2,0-3,1-3,74-5,-122-3,-1 0,0-1,0 0,0-2,-1 0,27-16,35-14,0 11,-47 17,-2-2,57-27,-27 10,-46 23,1-2,-1 0,-1 0,22-16,-34 23,-1-1,1 1,0 0,-1-1,1 1,-1 0,1-1,-1 1,0-1,1 1,-1-1,1 1,-1-1,0 1,1-1,-1 1,0-1,0 0,1 1,-1-1,0 1,0-1,0 0,0 1,0-1,0 0,0 1,0-1,0 0,0 1,0-2,-19-5,-29 8,26 3,0 1,1 1,0 0,0 2,-37 19,36-16,-1 0,0-2,-1-1,-37 8,-1-9,-1-3,0-3,-79-9,96 1,0-2,1-2,-81-30,58 18,24 6,-1 3,0 2,-1 2,-1 2,0 2,-66-1,0 10,-182-21,124 5,-206 10,180 6,-262-3,515-1,-29-1,1 1,-1 2,1 1,-1 1,0 1,28 8,55 20,1-5,1-6,141 10,-211-23,0 2,0 1,-1 3,53 25,-17-8,166 52,-200-73,0-1,0-2,85 3,673-16,-780 4,0-1,0-1,0 0,0-2,-1 0,0-1,0-2,-1 0,29-17,43-19,-81 41,0-1,-1 0,1 0,-1-1,0 0,0-1,11-11,-20 17,1 1,-1 0,0 0,0-1,1 1,-1 0,0-1,0 1,0 0,0-1,0 1,0-1,1 1,-1 0,0-1,0 1,0 0,0-1,0 1,0-1,-1 1,1 0,0-1,0 1,0 0,0-1,0 1,0 0,-1-1,1 1,0 0,0-1,0 1,-1 0,1 0,0-1,-1 1,1 0,0 0,0-1,-1 1,1 0,0 0,-1 0,1 0,-1-1,1 1,0 0,-1 0,1 0,0 0,-1 0,1 0,-1 0,1 0,-1 0,-23-2,-61 11,57-5,-45 1,-305-31,-50 1,381 23,1-2,-82-18,-25-3,-535 11,419 17,-601-3,907 2,-1 1,0 2,63 16,103 46,-131-38,1-4,1-2,1-4,121 16,-126-25,95 26,-102-20,1-3,68 5,-97-15,-1 0,1 2,-1 2,37 11,-40-9,1-1,1-2,-1-1,36 1,129-6,-106-1,274-8,-254 0,135-27,-152 18,0 4,1 4,103 3,-196 7,94-3,-86 2,0 0,0-1,0 0,-1 0,1-1,0 0,-1-1,9-5,-16 9,0 0,-1 0,1 0,-1 0,1-1,-1 1,1 0,-1 0,0-1,1 1,-1 0,1 0,-1-1,1 1,-1-1,0 1,1 0,-1-1,0 1,1-1,-1 1,0-1,0 1,0-1,1 1,-1-1,0 1,0-1,0 1,0-1,0 1,0-1,0 1,0-1,0 1,0-1,0 1,0-1,0 1,0-1,-1 1,1-1,0 1,0-1,-1 1,1-1,0 1,0-1,-1 1,1 0,-1-1,1 1,0 0,-1-1,1 1,-1 0,1-1,-1 1,1 0,-1 0,1 0,-1-1,1 1,-1 0,-42-12,34 9,-102-27,46 10,-2 3,-87-10,129 23,1-1,0-1,-34-14,-29-7,35 16,-1 2,-84-2,-107 12,153 3,0-5,-167-21,252 21,-164-31,-239-15,131 47,250 1</inkml:trace>
</inkml:ink>
</file>

<file path=xl/persons/person.xml><?xml version="1.0" encoding="utf-8"?>
<personList xmlns="http://schemas.microsoft.com/office/spreadsheetml/2018/threadedcomments" xmlns:x="http://schemas.openxmlformats.org/spreadsheetml/2006/main">
  <person displayName="Mohamed Chaibi" id="{240D2215-72AE-4896-B24E-D6F073DFABAF}" userId="S::21066@ecam.be::5d82ad00-7328-4f7c-99c2-86d7c94e6958" providerId="AD"/>
  <person displayName="Marouane Azouaoui" id="{736803C9-E107-1747-9BFC-3D809D459359}" userId="S::22148@ecam.be::821cbf8e-82bf-4456-ab57-2784dc835c48" providerId="AD"/>
  <person displayName="Salma Nadi" id="{8EFA1005-218C-564E-8258-E49B72834AA2}" userId="S::22181@ecam.be::06026c94-3851-4edd-b3af-57fed6990f70"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5" dT="2024-11-26T12:01:19.05" personId="{8EFA1005-218C-564E-8258-E49B72834AA2}" id="{5F6686A5-3887-417B-958B-2BC381F01E15}">
    <text xml:space="preserve">p.157 a p.164
</text>
  </threadedComment>
  <threadedComment ref="U6" dT="2024-11-26T12:19:22.85" personId="{240D2215-72AE-4896-B24E-D6F073DFABAF}" id="{73128604-8FDE-4F6B-8977-68B514DA1C1A}">
    <text>Slide 11</text>
  </threadedComment>
  <threadedComment ref="V6" dT="2024-11-26T12:06:57.98" personId="{240D2215-72AE-4896-B24E-D6F073DFABAF}" id="{A019DE30-0205-4999-BEE2-6B3A03901D99}">
    <text>Slide 11</text>
  </threadedComment>
  <threadedComment ref="W6" dT="2024-11-26T12:06:13.76" personId="{240D2215-72AE-4896-B24E-D6F073DFABAF}" id="{ED5BCB85-24E5-411A-8ADF-8E59E3D6BF31}">
    <text>Slide 15</text>
  </threadedComment>
  <threadedComment ref="X6" dT="2024-11-26T12:07:50.16" personId="{240D2215-72AE-4896-B24E-D6F073DFABAF}" id="{9435F4E9-E39E-47A1-BFC8-047B4F80B697}">
    <text>11</text>
  </threadedComment>
  <threadedComment ref="Y6" dT="2024-11-26T12:18:02.52" personId="{240D2215-72AE-4896-B24E-D6F073DFABAF}" id="{AC17F668-111B-4445-A98C-34304CCB9A35}">
    <text>Slide 7</text>
  </threadedComment>
  <threadedComment ref="Z6" dT="2024-11-26T12:21:09.39" personId="{240D2215-72AE-4896-B24E-D6F073DFABAF}" id="{65CBA071-67B9-4689-952E-9F68C394EA13}">
    <text>Slide 11</text>
  </threadedComment>
  <threadedComment ref="AA6" dT="2024-11-26T12:20:38.96" personId="{240D2215-72AE-4896-B24E-D6F073DFABAF}" id="{2D9EE569-F99F-45F9-8458-5BDCA25DA6A4}">
    <text>Slide 10</text>
  </threadedComment>
  <threadedComment ref="BP8" dT="2024-11-26T12:01:19.05" personId="{8EFA1005-218C-564E-8258-E49B72834AA2}" id="{05E9F6ED-E52D-4CC4-BE4F-5FAE22C59497}">
    <text xml:space="preserve">p.157 a p.164
</text>
  </threadedComment>
  <threadedComment ref="BR9" dT="2024-11-26T12:19:22.85" personId="{240D2215-72AE-4896-B24E-D6F073DFABAF}" id="{B6946D9B-ECE9-4466-8ED9-43069C121F86}">
    <text>Slide 11</text>
  </threadedComment>
  <threadedComment ref="BS9" dT="2024-11-26T12:06:57.98" personId="{240D2215-72AE-4896-B24E-D6F073DFABAF}" id="{81850438-908B-4F4C-A2FF-74E8C69F4E26}">
    <text>Slide 11</text>
  </threadedComment>
  <threadedComment ref="BT9" dT="2024-11-26T12:06:13.76" personId="{240D2215-72AE-4896-B24E-D6F073DFABAF}" id="{60F8C8ED-E288-4421-A122-153C89297709}">
    <text>Slide 15</text>
  </threadedComment>
  <threadedComment ref="BU9" dT="2024-11-26T12:07:50.16" personId="{240D2215-72AE-4896-B24E-D6F073DFABAF}" id="{5D37A712-6890-43B2-ABDD-9CDF8FC68C67}">
    <text>11</text>
  </threadedComment>
  <threadedComment ref="BV9" dT="2024-11-26T12:18:02.52" personId="{240D2215-72AE-4896-B24E-D6F073DFABAF}" id="{91153F0F-F5D9-4EFE-B9F9-AE4D247FA4F3}">
    <text>Slide 7</text>
  </threadedComment>
  <threadedComment ref="BW9" dT="2024-11-26T12:21:09.39" personId="{240D2215-72AE-4896-B24E-D6F073DFABAF}" id="{4630F782-1006-407E-B2A7-3E2928F74954}">
    <text>Slide 11</text>
  </threadedComment>
  <threadedComment ref="BX9" dT="2024-11-26T12:20:38.96" personId="{240D2215-72AE-4896-B24E-D6F073DFABAF}" id="{F7B3DF02-1B80-4509-99FC-416527408161}">
    <text>Slide 10</text>
  </threadedComment>
  <threadedComment ref="BZ17" dT="2024-11-26T12:01:19.05" personId="{8EFA1005-218C-564E-8258-E49B72834AA2}" id="{F4D153C9-A053-4FD9-B96C-81773B644B6F}">
    <text xml:space="preserve">p.201 a p.203
</text>
  </threadedComment>
</ThreadedComments>
</file>

<file path=xl/threadedComments/threadedComment2.xml><?xml version="1.0" encoding="utf-8"?>
<ThreadedComments xmlns="http://schemas.microsoft.com/office/spreadsheetml/2018/threadedcomments" xmlns:x="http://schemas.openxmlformats.org/spreadsheetml/2006/main">
  <threadedComment ref="AB5" dT="2024-11-26T18:37:46.98" personId="{736803C9-E107-1747-9BFC-3D809D459359}" id="{6B4BB309-4C61-4208-933C-2E949B89049C}">
    <text>Avec une trop grande efficacité, le point 0 se retrouve au dessus du point 1 (hiver),  donc test dans l’ordre décroissant de l’efficacité jusqu’à ce que le point 0 se trouve en dessous du pt 1</text>
  </threadedComment>
  <threadedComment ref="W7" dT="2024-11-25T16:14:10.83" personId="{8EFA1005-218C-564E-8258-E49B72834AA2}" id="{042B1770-3088-F34B-B321-DEA3ADB01F1B}">
    <text xml:space="preserve">efficacitéé d’une roue d’enthalpie d’après chat gpt
</text>
  </threadedComment>
  <threadedComment ref="T9" dT="2024-11-26T12:01:19.05" personId="{8EFA1005-218C-564E-8258-E49B72834AA2}" id="{4CFD1001-821D-234A-999E-9CAEBE86F7D0}">
    <text xml:space="preserve">p.209 a p.210
</text>
  </threadedComment>
</ThreadedComments>
</file>

<file path=xl/threadedComments/threadedComment3.xml><?xml version="1.0" encoding="utf-8"?>
<ThreadedComments xmlns="http://schemas.microsoft.com/office/spreadsheetml/2018/threadedcomments" xmlns:x="http://schemas.openxmlformats.org/spreadsheetml/2006/main">
  <threadedComment ref="T9" dT="2024-11-26T12:01:19.05" personId="{8EFA1005-218C-564E-8258-E49B72834AA2}" id="{8AF9157D-17FC-1B41-AC79-229736BFDA9D}">
    <text xml:space="preserve">p.2016 a p.208
</text>
  </threadedComment>
  <threadedComment ref="AD10" dT="2024-11-25T16:10:36.37" personId="{8EFA1005-218C-564E-8258-E49B72834AA2}" id="{CCBACD79-1E79-F84D-A1D4-B76B64F1964D}">
    <text xml:space="preserve">demander au prof
</text>
  </threadedComment>
</ThreadedComments>
</file>

<file path=xl/threadedComments/threadedComment4.xml><?xml version="1.0" encoding="utf-8"?>
<ThreadedComments xmlns="http://schemas.microsoft.com/office/spreadsheetml/2018/threadedcomments" xmlns:x="http://schemas.openxmlformats.org/spreadsheetml/2006/main">
  <threadedComment ref="J9" dT="2024-12-11T18:03:21.08" personId="{240D2215-72AE-4896-B24E-D6F073DFABAF}" id="{9CB041EE-8332-4E44-9537-894B26F20675}">
    <text>Page 5 : Code de type - Appareil de base</text>
  </threadedComment>
  <threadedComment ref="N10" dT="2024-11-26T12:19:22.85" personId="{240D2215-72AE-4896-B24E-D6F073DFABAF}" id="{B462F385-8892-4008-8FA6-ECA943729275}">
    <text>Slide 11</text>
  </threadedComment>
  <threadedComment ref="O10" dT="2024-11-26T12:06:57.98" personId="{240D2215-72AE-4896-B24E-D6F073DFABAF}" id="{D96FA4F0-94AF-4A93-91C2-C555833C5A4E}">
    <text>Slide 11</text>
  </threadedComment>
  <threadedComment ref="P10" dT="2024-11-26T12:06:13.76" personId="{240D2215-72AE-4896-B24E-D6F073DFABAF}" id="{49272A8D-2308-44EA-A04D-B095BA273278}">
    <text>Slide 15</text>
  </threadedComment>
  <threadedComment ref="Q10" dT="2024-11-26T12:07:50.16" personId="{240D2215-72AE-4896-B24E-D6F073DFABAF}" id="{565B76E5-9426-41C1-9ED7-88950B6975B7}">
    <text>11</text>
  </threadedComment>
  <threadedComment ref="R10" dT="2024-11-26T12:18:02.52" personId="{240D2215-72AE-4896-B24E-D6F073DFABAF}" id="{CA591054-83B5-4FD9-90F3-85649EA8E0D9}">
    <text>Slide 7</text>
  </threadedComment>
  <threadedComment ref="S10" dT="2024-11-26T12:21:09.39" personId="{240D2215-72AE-4896-B24E-D6F073DFABAF}" id="{381A579D-B4D8-4F4B-A70E-719B393B053F}">
    <text>Slide 11</text>
  </threadedComment>
  <threadedComment ref="T10" dT="2024-11-26T12:20:38.96" personId="{240D2215-72AE-4896-B24E-D6F073DFABAF}" id="{56A2FFD6-AF25-413F-A377-E08A2A607391}">
    <text>Slide 10</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B239-B659-4E35-B2FD-7A1849A68916}">
  <dimension ref="B4:L26"/>
  <sheetViews>
    <sheetView topLeftCell="A2" zoomScale="76" workbookViewId="0">
      <selection activeCell="G29" sqref="G29"/>
    </sheetView>
  </sheetViews>
  <sheetFormatPr baseColWidth="10" defaultColWidth="10.7109375" defaultRowHeight="15"/>
  <cols>
    <col min="2" max="2" width="22.28515625" customWidth="1"/>
  </cols>
  <sheetData>
    <row r="4" spans="2:12">
      <c r="B4" s="158" t="s">
        <v>213</v>
      </c>
    </row>
    <row r="5" spans="2:12">
      <c r="B5" s="157" t="s">
        <v>214</v>
      </c>
    </row>
    <row r="6" spans="2:12">
      <c r="B6" s="153" t="s">
        <v>215</v>
      </c>
    </row>
    <row r="7" spans="2:12">
      <c r="B7" s="160" t="s">
        <v>220</v>
      </c>
    </row>
    <row r="8" spans="2:12">
      <c r="B8" s="162" t="s">
        <v>222</v>
      </c>
    </row>
    <row r="9" spans="2:12">
      <c r="F9" s="152">
        <v>45989</v>
      </c>
      <c r="H9" s="152">
        <v>45996</v>
      </c>
      <c r="J9" s="152">
        <v>45996</v>
      </c>
      <c r="L9" s="152">
        <v>46010</v>
      </c>
    </row>
    <row r="10" spans="2:12">
      <c r="B10" s="179" t="s">
        <v>208</v>
      </c>
      <c r="C10" s="180"/>
      <c r="D10" s="154" t="s">
        <v>202</v>
      </c>
      <c r="E10" s="155" t="s">
        <v>203</v>
      </c>
      <c r="F10" s="154" t="s">
        <v>204</v>
      </c>
      <c r="G10" s="155" t="s">
        <v>205</v>
      </c>
      <c r="H10" s="154" t="s">
        <v>206</v>
      </c>
      <c r="I10" s="155" t="s">
        <v>205</v>
      </c>
      <c r="J10" s="154" t="s">
        <v>207</v>
      </c>
      <c r="K10" s="155" t="s">
        <v>205</v>
      </c>
      <c r="L10" s="156" t="s">
        <v>216</v>
      </c>
    </row>
    <row r="11" spans="2:12">
      <c r="J11" s="160"/>
    </row>
    <row r="12" spans="2:12">
      <c r="B12" t="s">
        <v>209</v>
      </c>
      <c r="D12" s="157"/>
      <c r="J12" s="160"/>
    </row>
    <row r="13" spans="2:12">
      <c r="B13" t="s">
        <v>210</v>
      </c>
      <c r="F13" s="157"/>
      <c r="J13" s="160"/>
    </row>
    <row r="14" spans="2:12">
      <c r="B14" t="s">
        <v>211</v>
      </c>
      <c r="F14" s="161"/>
      <c r="G14" s="158"/>
      <c r="J14" s="160"/>
    </row>
    <row r="15" spans="2:12">
      <c r="B15" t="s">
        <v>212</v>
      </c>
      <c r="F15" s="162"/>
      <c r="H15" s="158"/>
      <c r="J15" s="160"/>
    </row>
    <row r="16" spans="2:12">
      <c r="B16" t="s">
        <v>217</v>
      </c>
      <c r="H16" s="159"/>
      <c r="J16" s="160"/>
    </row>
    <row r="17" spans="2:10">
      <c r="B17" t="s">
        <v>218</v>
      </c>
      <c r="I17" s="159"/>
      <c r="J17" s="160"/>
    </row>
    <row r="18" spans="2:10">
      <c r="B18" t="s">
        <v>219</v>
      </c>
      <c r="I18" s="159"/>
      <c r="J18" s="160"/>
    </row>
    <row r="19" spans="2:10">
      <c r="J19" s="160"/>
    </row>
    <row r="20" spans="2:10">
      <c r="J20" s="160"/>
    </row>
    <row r="21" spans="2:10">
      <c r="J21" s="160"/>
    </row>
    <row r="22" spans="2:10">
      <c r="J22" s="160"/>
    </row>
    <row r="23" spans="2:10">
      <c r="J23" s="160"/>
    </row>
    <row r="24" spans="2:10">
      <c r="J24" s="160"/>
    </row>
    <row r="25" spans="2:10">
      <c r="J25" s="160"/>
    </row>
    <row r="26" spans="2:10">
      <c r="J26" s="160"/>
    </row>
  </sheetData>
  <mergeCells count="1">
    <mergeCell ref="B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4A65-2036-4B27-A241-ED2765D91429}">
  <sheetPr>
    <tabColor rgb="FFC00000"/>
  </sheetPr>
  <dimension ref="B3:AE58"/>
  <sheetViews>
    <sheetView topLeftCell="H1" zoomScale="82" zoomScaleNormal="80" workbookViewId="0">
      <selection activeCell="W18" sqref="W18"/>
    </sheetView>
  </sheetViews>
  <sheetFormatPr baseColWidth="10" defaultColWidth="10.28515625" defaultRowHeight="15"/>
  <cols>
    <col min="3" max="3" width="16" customWidth="1"/>
    <col min="4" max="4" width="5.7109375" customWidth="1"/>
    <col min="5" max="6" width="6.140625" customWidth="1"/>
    <col min="7" max="7" width="6.7109375" customWidth="1"/>
    <col min="8" max="8" width="9.7109375" customWidth="1"/>
    <col min="11" max="11" width="21.7109375" customWidth="1"/>
    <col min="12" max="12" width="14.28515625" bestFit="1" customWidth="1"/>
  </cols>
  <sheetData>
    <row r="3" spans="2:23">
      <c r="O3" s="1" t="s">
        <v>145</v>
      </c>
      <c r="P3" s="1" t="s">
        <v>147</v>
      </c>
    </row>
    <row r="4" spans="2:23">
      <c r="O4" s="1" t="s">
        <v>146</v>
      </c>
      <c r="P4" s="1" t="s">
        <v>148</v>
      </c>
    </row>
    <row r="5" spans="2:23" ht="26.25">
      <c r="C5" s="55"/>
      <c r="D5" s="55"/>
      <c r="E5" s="55"/>
      <c r="F5" s="55"/>
      <c r="G5" s="55"/>
    </row>
    <row r="6" spans="2:23" ht="36" customHeight="1">
      <c r="C6" s="55"/>
      <c r="D6" s="55"/>
      <c r="E6" s="55"/>
      <c r="F6" s="55"/>
      <c r="G6" s="55"/>
      <c r="K6" s="75" t="s">
        <v>54</v>
      </c>
      <c r="L6" s="75" t="s">
        <v>55</v>
      </c>
      <c r="M6" s="75" t="s">
        <v>56</v>
      </c>
      <c r="N6" s="75" t="s">
        <v>57</v>
      </c>
      <c r="O6" s="75" t="s">
        <v>58</v>
      </c>
      <c r="P6" s="75" t="s">
        <v>59</v>
      </c>
      <c r="Q6" s="75" t="s">
        <v>60</v>
      </c>
      <c r="R6" s="75" t="s">
        <v>61</v>
      </c>
      <c r="S6" s="76" t="s">
        <v>62</v>
      </c>
      <c r="T6" s="76" t="s">
        <v>63</v>
      </c>
      <c r="U6" s="76" t="s">
        <v>78</v>
      </c>
      <c r="V6" s="75" t="s">
        <v>64</v>
      </c>
      <c r="W6" s="75" t="s">
        <v>53</v>
      </c>
    </row>
    <row r="7" spans="2:23" ht="18.75">
      <c r="C7" s="57"/>
      <c r="D7" s="57"/>
      <c r="E7" s="57"/>
      <c r="F7" s="49"/>
      <c r="K7" s="31" t="s">
        <v>157</v>
      </c>
      <c r="L7" s="44" cm="1">
        <f t="array" ref="L7:L27">TRANSPOSE(K58:AE58)/3.6</f>
        <v>30.36</v>
      </c>
      <c r="M7" s="21">
        <v>3.6</v>
      </c>
      <c r="N7" s="44">
        <f t="shared" ref="N7:N27" si="0">L7*M7</f>
        <v>109.29600000000001</v>
      </c>
      <c r="O7" s="30">
        <v>20</v>
      </c>
      <c r="P7" s="30">
        <v>50</v>
      </c>
      <c r="Q7" s="30">
        <v>25</v>
      </c>
      <c r="R7" s="30">
        <v>50</v>
      </c>
      <c r="S7" s="105">
        <v>1</v>
      </c>
      <c r="T7" s="21">
        <f>0</f>
        <v>0</v>
      </c>
      <c r="U7" s="1">
        <f>U35/1000</f>
        <v>0.44464500000000007</v>
      </c>
      <c r="V7" s="21">
        <f>30/(10^3)*L7+U7</f>
        <v>1.355445</v>
      </c>
      <c r="W7" s="21">
        <f>50*L7/1000</f>
        <v>1.518</v>
      </c>
    </row>
    <row r="8" spans="2:23" ht="18.75">
      <c r="C8" s="57"/>
      <c r="K8" s="31" t="s">
        <v>158</v>
      </c>
      <c r="L8" s="44">
        <v>22.85</v>
      </c>
      <c r="M8" s="21">
        <v>3.6</v>
      </c>
      <c r="N8" s="44">
        <f t="shared" si="0"/>
        <v>82.26</v>
      </c>
      <c r="O8" s="30">
        <v>20</v>
      </c>
      <c r="P8" s="30">
        <v>50</v>
      </c>
      <c r="Q8" s="30">
        <v>25</v>
      </c>
      <c r="R8" s="30">
        <v>50</v>
      </c>
      <c r="S8" s="105">
        <v>10</v>
      </c>
      <c r="T8" s="21">
        <f>L8/S8</f>
        <v>2.2850000000000001</v>
      </c>
      <c r="U8" s="1">
        <f t="shared" ref="U8:U27" si="1">U36/1000</f>
        <v>1.4532420222222222</v>
      </c>
      <c r="V8" s="21">
        <f>30/(10^3)*L8+U8</f>
        <v>2.138742022222222</v>
      </c>
      <c r="W8" s="21">
        <f t="shared" ref="W8:W27" si="2">50*L8/1000</f>
        <v>1.1425000000000001</v>
      </c>
    </row>
    <row r="9" spans="2:23" ht="18.75">
      <c r="C9" s="57"/>
      <c r="D9" s="20"/>
      <c r="E9" s="20"/>
      <c r="F9" s="20"/>
      <c r="K9" s="31" t="s">
        <v>159</v>
      </c>
      <c r="L9" s="44">
        <v>12.41</v>
      </c>
      <c r="M9" s="21">
        <v>3.6</v>
      </c>
      <c r="N9" s="44">
        <f t="shared" si="0"/>
        <v>44.676000000000002</v>
      </c>
      <c r="O9" s="30">
        <v>20</v>
      </c>
      <c r="P9" s="30">
        <v>50</v>
      </c>
      <c r="Q9" s="30">
        <v>25</v>
      </c>
      <c r="R9" s="30">
        <v>50</v>
      </c>
      <c r="S9" s="105">
        <v>1</v>
      </c>
      <c r="T9" s="21">
        <f>0</f>
        <v>0</v>
      </c>
      <c r="U9" s="1">
        <f t="shared" si="1"/>
        <v>0.11612799999999998</v>
      </c>
      <c r="V9" s="21">
        <f>30/(10^3)*L9+U9</f>
        <v>0.48842799999999997</v>
      </c>
      <c r="W9" s="21">
        <f t="shared" si="2"/>
        <v>0.62050000000000005</v>
      </c>
    </row>
    <row r="10" spans="2:23" ht="18.75">
      <c r="C10" s="57"/>
      <c r="D10" s="20"/>
      <c r="E10" s="20"/>
      <c r="F10" s="20"/>
      <c r="K10" s="31" t="s">
        <v>160</v>
      </c>
      <c r="L10" s="44">
        <v>27.488888888888887</v>
      </c>
      <c r="M10" s="21">
        <v>3.6</v>
      </c>
      <c r="N10" s="44">
        <f t="shared" si="0"/>
        <v>98.96</v>
      </c>
      <c r="O10" s="30">
        <v>20</v>
      </c>
      <c r="P10" s="30">
        <v>50</v>
      </c>
      <c r="Q10" s="30">
        <v>25</v>
      </c>
      <c r="R10" s="30">
        <v>50</v>
      </c>
      <c r="S10" s="105">
        <v>3</v>
      </c>
      <c r="T10" s="21">
        <v>0</v>
      </c>
      <c r="U10" s="1">
        <f t="shared" si="1"/>
        <v>1.4143466222222223</v>
      </c>
      <c r="V10" s="21">
        <f t="shared" ref="V10:V27" si="3">30/(10^3)*L10+U10</f>
        <v>2.2390132888888887</v>
      </c>
      <c r="W10" s="21">
        <f t="shared" si="2"/>
        <v>1.3744444444444444</v>
      </c>
    </row>
    <row r="11" spans="2:23" ht="18.75">
      <c r="C11" s="54"/>
      <c r="D11" s="54"/>
      <c r="E11" s="54"/>
      <c r="F11" s="54"/>
      <c r="G11" s="54"/>
      <c r="K11" s="31" t="s">
        <v>161</v>
      </c>
      <c r="L11" s="44">
        <v>18.019444444444446</v>
      </c>
      <c r="M11" s="21">
        <v>3.6</v>
      </c>
      <c r="N11" s="44">
        <f t="shared" si="0"/>
        <v>64.87</v>
      </c>
      <c r="O11" s="30">
        <v>20</v>
      </c>
      <c r="P11" s="30">
        <v>50</v>
      </c>
      <c r="Q11" s="30">
        <v>25</v>
      </c>
      <c r="R11" s="30">
        <v>50</v>
      </c>
      <c r="S11" s="105">
        <v>3</v>
      </c>
      <c r="T11" s="21">
        <f>L11/S11</f>
        <v>6.0064814814814822</v>
      </c>
      <c r="U11" s="1">
        <f t="shared" si="1"/>
        <v>0.82667666666666662</v>
      </c>
      <c r="V11" s="21">
        <f t="shared" si="3"/>
        <v>1.3672599999999999</v>
      </c>
      <c r="W11" s="21">
        <f t="shared" si="2"/>
        <v>0.90097222222222229</v>
      </c>
    </row>
    <row r="12" spans="2:23" ht="18.75">
      <c r="C12" s="56"/>
      <c r="D12" s="56"/>
      <c r="E12" s="56"/>
      <c r="F12" s="49"/>
      <c r="K12" s="31" t="s">
        <v>162</v>
      </c>
      <c r="L12" s="21">
        <v>18.13</v>
      </c>
      <c r="M12" s="21">
        <v>3.6</v>
      </c>
      <c r="N12" s="44">
        <f t="shared" si="0"/>
        <v>65.268000000000001</v>
      </c>
      <c r="O12" s="30">
        <v>20</v>
      </c>
      <c r="P12" s="30">
        <v>50</v>
      </c>
      <c r="Q12" s="30">
        <v>25</v>
      </c>
      <c r="R12" s="30">
        <v>50</v>
      </c>
      <c r="S12" s="105">
        <v>3</v>
      </c>
      <c r="T12" s="21">
        <f>L12/S12</f>
        <v>6.043333333333333</v>
      </c>
      <c r="U12" s="1">
        <f t="shared" si="1"/>
        <v>0.82667666666666662</v>
      </c>
      <c r="V12" s="21">
        <f t="shared" si="3"/>
        <v>1.3705766666666666</v>
      </c>
      <c r="W12" s="21">
        <f t="shared" si="2"/>
        <v>0.90649999999999997</v>
      </c>
    </row>
    <row r="13" spans="2:23" ht="18.75">
      <c r="C13" s="56"/>
      <c r="D13" s="58"/>
      <c r="E13" s="56"/>
      <c r="F13" s="20"/>
      <c r="K13" s="31" t="s">
        <v>163</v>
      </c>
      <c r="L13" s="44">
        <v>18.13</v>
      </c>
      <c r="M13" s="21">
        <v>3.6</v>
      </c>
      <c r="N13" s="44">
        <f t="shared" si="0"/>
        <v>65.268000000000001</v>
      </c>
      <c r="O13" s="30">
        <v>20</v>
      </c>
      <c r="P13" s="30">
        <v>50</v>
      </c>
      <c r="Q13" s="30">
        <v>25</v>
      </c>
      <c r="R13" s="30">
        <v>50</v>
      </c>
      <c r="S13" s="105">
        <v>3</v>
      </c>
      <c r="T13" s="21">
        <f>L13/S13</f>
        <v>6.043333333333333</v>
      </c>
      <c r="U13" s="1">
        <f t="shared" si="1"/>
        <v>0.86315666666666668</v>
      </c>
      <c r="V13" s="21">
        <f t="shared" si="3"/>
        <v>1.4070566666666666</v>
      </c>
      <c r="W13" s="21">
        <f t="shared" si="2"/>
        <v>0.90649999999999997</v>
      </c>
    </row>
    <row r="14" spans="2:23" ht="18.75">
      <c r="C14" s="56"/>
      <c r="D14" s="56"/>
      <c r="E14" s="58"/>
      <c r="F14" s="20"/>
      <c r="K14" s="31" t="s">
        <v>164</v>
      </c>
      <c r="L14" s="44">
        <v>33.299999999999997</v>
      </c>
      <c r="M14" s="21">
        <v>3.6</v>
      </c>
      <c r="N14" s="44">
        <f t="shared" si="0"/>
        <v>119.88</v>
      </c>
      <c r="O14" s="30">
        <v>20</v>
      </c>
      <c r="P14" s="30">
        <v>50</v>
      </c>
      <c r="Q14" s="30">
        <v>25</v>
      </c>
      <c r="R14" s="30">
        <v>50</v>
      </c>
      <c r="S14" s="105">
        <v>14</v>
      </c>
      <c r="T14" s="21">
        <f>L14/S14</f>
        <v>2.3785714285714286</v>
      </c>
      <c r="U14" s="1">
        <f t="shared" si="1"/>
        <v>2.0638063111111116</v>
      </c>
      <c r="V14" s="21">
        <f t="shared" si="3"/>
        <v>3.0628063111111112</v>
      </c>
      <c r="W14" s="21">
        <f t="shared" si="2"/>
        <v>1.6649999999999998</v>
      </c>
    </row>
    <row r="15" spans="2:23" ht="18.75">
      <c r="B15" s="60"/>
      <c r="C15" s="59"/>
      <c r="D15" s="59"/>
      <c r="E15" s="59"/>
      <c r="F15" s="59"/>
      <c r="G15" s="50"/>
      <c r="K15" s="31" t="s">
        <v>165</v>
      </c>
      <c r="L15" s="45">
        <v>45.8</v>
      </c>
      <c r="M15" s="21">
        <v>3.6</v>
      </c>
      <c r="N15" s="44">
        <f t="shared" si="0"/>
        <v>164.88</v>
      </c>
      <c r="O15" s="30">
        <v>20</v>
      </c>
      <c r="P15" s="30">
        <v>50</v>
      </c>
      <c r="Q15" s="30">
        <v>25</v>
      </c>
      <c r="R15" s="30">
        <v>50</v>
      </c>
      <c r="S15" s="105">
        <v>1</v>
      </c>
      <c r="T15" s="21">
        <v>0</v>
      </c>
      <c r="U15" s="1">
        <f t="shared" si="1"/>
        <v>0.39250000000000002</v>
      </c>
      <c r="V15" s="21">
        <f t="shared" si="3"/>
        <v>1.7665</v>
      </c>
      <c r="W15" s="21">
        <f t="shared" si="2"/>
        <v>2.29</v>
      </c>
    </row>
    <row r="16" spans="2:23" ht="15" customHeight="1">
      <c r="C16" s="50"/>
      <c r="D16" s="56"/>
      <c r="E16" s="58"/>
      <c r="F16" s="56"/>
      <c r="G16" s="56"/>
      <c r="H16" s="37"/>
      <c r="K16" s="31" t="s">
        <v>166</v>
      </c>
      <c r="L16" s="21">
        <v>7.24</v>
      </c>
      <c r="M16" s="21">
        <v>3.6</v>
      </c>
      <c r="N16" s="44">
        <f t="shared" si="0"/>
        <v>26.064</v>
      </c>
      <c r="O16" s="30">
        <v>20</v>
      </c>
      <c r="P16" s="30">
        <v>50</v>
      </c>
      <c r="Q16" s="30">
        <v>25</v>
      </c>
      <c r="R16" s="30">
        <v>50</v>
      </c>
      <c r="S16" s="105">
        <v>1</v>
      </c>
      <c r="T16" s="21">
        <v>0</v>
      </c>
      <c r="U16" s="1">
        <f t="shared" si="1"/>
        <v>6.8724000000000007E-2</v>
      </c>
      <c r="V16" s="21">
        <f t="shared" si="3"/>
        <v>0.28592400000000001</v>
      </c>
      <c r="W16" s="21">
        <f t="shared" si="2"/>
        <v>0.36199999999999999</v>
      </c>
    </row>
    <row r="17" spans="3:23" ht="15" customHeight="1">
      <c r="C17" s="50"/>
      <c r="D17" s="58"/>
      <c r="E17" s="56"/>
      <c r="F17" s="56"/>
      <c r="G17" s="56"/>
      <c r="H17" s="37"/>
      <c r="K17" s="104" t="s">
        <v>167</v>
      </c>
      <c r="L17" s="44">
        <v>18.2075</v>
      </c>
      <c r="M17" s="21">
        <v>3.6</v>
      </c>
      <c r="N17" s="44">
        <f t="shared" si="0"/>
        <v>65.546999999999997</v>
      </c>
      <c r="O17" s="30">
        <v>20</v>
      </c>
      <c r="P17" s="30">
        <v>50</v>
      </c>
      <c r="Q17" s="30">
        <v>25</v>
      </c>
      <c r="R17" s="30">
        <v>50</v>
      </c>
      <c r="S17" s="108">
        <v>1</v>
      </c>
      <c r="T17" s="21">
        <f>0</f>
        <v>0</v>
      </c>
      <c r="U17" s="1">
        <f t="shared" si="1"/>
        <v>0.14565999999999998</v>
      </c>
      <c r="V17" s="21">
        <f t="shared" si="3"/>
        <v>0.69188499999999997</v>
      </c>
      <c r="W17" s="21">
        <f t="shared" si="2"/>
        <v>0.91037500000000005</v>
      </c>
    </row>
    <row r="18" spans="3:23" ht="18.75">
      <c r="C18" s="50"/>
      <c r="D18" s="51"/>
      <c r="E18" s="20"/>
      <c r="F18" s="20"/>
      <c r="G18" s="20"/>
      <c r="H18" s="38"/>
      <c r="K18" s="31" t="s">
        <v>168</v>
      </c>
      <c r="L18" s="44">
        <v>21.21</v>
      </c>
      <c r="M18" s="21">
        <v>3.6</v>
      </c>
      <c r="N18" s="44">
        <f t="shared" si="0"/>
        <v>76.356000000000009</v>
      </c>
      <c r="O18" s="30">
        <v>20</v>
      </c>
      <c r="P18" s="30">
        <v>50</v>
      </c>
      <c r="Q18" s="30">
        <v>25</v>
      </c>
      <c r="R18" s="30">
        <v>50</v>
      </c>
      <c r="S18" s="105">
        <v>3</v>
      </c>
      <c r="T18" s="21">
        <f>L18/S18</f>
        <v>7.07</v>
      </c>
      <c r="U18" s="1">
        <f>U46/1000</f>
        <v>2.334560666666667</v>
      </c>
      <c r="V18" s="21">
        <f t="shared" si="3"/>
        <v>2.9708606666666668</v>
      </c>
      <c r="W18" s="21">
        <f t="shared" si="2"/>
        <v>1.0605</v>
      </c>
    </row>
    <row r="19" spans="3:23" ht="18.75">
      <c r="C19" s="50"/>
      <c r="D19" s="37"/>
      <c r="E19" s="20"/>
      <c r="F19" s="20"/>
      <c r="G19" s="37"/>
      <c r="H19" s="38"/>
      <c r="K19" s="31" t="s">
        <v>169</v>
      </c>
      <c r="L19" s="44">
        <v>30.02</v>
      </c>
      <c r="M19" s="21">
        <v>3.6</v>
      </c>
      <c r="N19" s="44">
        <f t="shared" si="0"/>
        <v>108.072</v>
      </c>
      <c r="O19" s="30">
        <v>20</v>
      </c>
      <c r="P19" s="30">
        <v>50</v>
      </c>
      <c r="Q19" s="30">
        <v>25</v>
      </c>
      <c r="R19" s="30">
        <v>50</v>
      </c>
      <c r="S19" s="105">
        <v>6</v>
      </c>
      <c r="T19" s="21">
        <f>L19/S19</f>
        <v>5.003333333333333</v>
      </c>
      <c r="U19" s="1">
        <f t="shared" si="1"/>
        <v>1.4059333333333333</v>
      </c>
      <c r="V19" s="21">
        <f t="shared" si="3"/>
        <v>2.3065333333333333</v>
      </c>
      <c r="W19" s="21">
        <f t="shared" si="2"/>
        <v>1.5009999999999999</v>
      </c>
    </row>
    <row r="20" spans="3:23">
      <c r="E20" s="20"/>
      <c r="F20" s="20"/>
      <c r="G20" s="37"/>
      <c r="H20" s="38"/>
      <c r="K20" s="31" t="s">
        <v>170</v>
      </c>
      <c r="L20" s="44">
        <v>52.62</v>
      </c>
      <c r="M20" s="21">
        <v>3.6</v>
      </c>
      <c r="N20" s="44">
        <f t="shared" si="0"/>
        <v>189.43199999999999</v>
      </c>
      <c r="O20" s="30">
        <v>20</v>
      </c>
      <c r="P20" s="30">
        <v>50</v>
      </c>
      <c r="Q20" s="30">
        <v>25</v>
      </c>
      <c r="R20" s="30">
        <v>50</v>
      </c>
      <c r="S20" s="105">
        <v>26</v>
      </c>
      <c r="T20" s="21">
        <f>L20/S20</f>
        <v>2.0238461538461539</v>
      </c>
      <c r="U20" s="1">
        <f t="shared" si="1"/>
        <v>3.6597177777777778</v>
      </c>
      <c r="V20" s="21">
        <f t="shared" si="3"/>
        <v>5.2383177777777776</v>
      </c>
      <c r="W20" s="21">
        <f t="shared" si="2"/>
        <v>2.6309999999999998</v>
      </c>
    </row>
    <row r="21" spans="3:23">
      <c r="E21" s="20"/>
      <c r="F21" s="20"/>
      <c r="G21" s="37"/>
      <c r="H21" s="38"/>
      <c r="K21" s="31" t="s">
        <v>171</v>
      </c>
      <c r="L21" s="21">
        <v>55.32</v>
      </c>
      <c r="M21" s="21">
        <v>3.6</v>
      </c>
      <c r="N21" s="44">
        <f t="shared" si="0"/>
        <v>199.15200000000002</v>
      </c>
      <c r="O21" s="30">
        <v>20</v>
      </c>
      <c r="P21" s="30">
        <v>50</v>
      </c>
      <c r="Q21" s="30">
        <v>25</v>
      </c>
      <c r="R21" s="30">
        <v>50</v>
      </c>
      <c r="S21" s="105">
        <v>9</v>
      </c>
      <c r="T21" s="21">
        <v>0</v>
      </c>
      <c r="U21" s="1">
        <f t="shared" si="1"/>
        <v>1.4499468060836502</v>
      </c>
      <c r="V21" s="21">
        <f t="shared" si="3"/>
        <v>3.1095468060836504</v>
      </c>
      <c r="W21" s="21">
        <f t="shared" si="2"/>
        <v>2.766</v>
      </c>
    </row>
    <row r="22" spans="3:23">
      <c r="E22" s="20"/>
      <c r="F22" s="20"/>
      <c r="G22" s="37"/>
      <c r="H22" s="38"/>
      <c r="K22" s="31" t="s">
        <v>172</v>
      </c>
      <c r="L22" s="44">
        <v>4.7300000000000004</v>
      </c>
      <c r="M22" s="21">
        <v>3.6</v>
      </c>
      <c r="N22" s="44">
        <f t="shared" si="0"/>
        <v>17.028000000000002</v>
      </c>
      <c r="O22" s="30">
        <v>20</v>
      </c>
      <c r="P22" s="30">
        <v>50</v>
      </c>
      <c r="Q22" s="30">
        <v>25</v>
      </c>
      <c r="R22" s="30">
        <v>50</v>
      </c>
      <c r="S22" s="105">
        <v>1</v>
      </c>
      <c r="T22" s="21">
        <f>L22/S22</f>
        <v>4.7300000000000004</v>
      </c>
      <c r="U22" s="1">
        <f t="shared" si="1"/>
        <v>0.15447888888888889</v>
      </c>
      <c r="V22" s="21">
        <f t="shared" si="3"/>
        <v>0.29637888888888886</v>
      </c>
      <c r="W22" s="21">
        <f t="shared" si="2"/>
        <v>0.23650000000000002</v>
      </c>
    </row>
    <row r="23" spans="3:23">
      <c r="E23" s="20"/>
      <c r="F23" s="20"/>
      <c r="G23" s="37"/>
      <c r="H23" s="38"/>
      <c r="K23" s="31" t="s">
        <v>173</v>
      </c>
      <c r="L23" s="44">
        <v>4.37</v>
      </c>
      <c r="M23" s="21">
        <v>3.6</v>
      </c>
      <c r="N23" s="44">
        <f t="shared" si="0"/>
        <v>15.732000000000001</v>
      </c>
      <c r="O23" s="30">
        <v>20</v>
      </c>
      <c r="P23" s="30">
        <v>50</v>
      </c>
      <c r="Q23" s="30">
        <v>25</v>
      </c>
      <c r="R23" s="30">
        <v>50</v>
      </c>
      <c r="S23" s="105">
        <v>1</v>
      </c>
      <c r="T23" s="21">
        <f>L23/S23</f>
        <v>4.37</v>
      </c>
      <c r="U23" s="1">
        <f t="shared" si="1"/>
        <v>0.15159888888888889</v>
      </c>
      <c r="V23" s="21">
        <f t="shared" si="3"/>
        <v>0.28269888888888889</v>
      </c>
      <c r="W23" s="21">
        <f t="shared" si="2"/>
        <v>0.2185</v>
      </c>
    </row>
    <row r="24" spans="3:23">
      <c r="D24" s="20"/>
      <c r="E24" s="20"/>
      <c r="F24" s="20"/>
      <c r="G24" s="38"/>
      <c r="H24" s="38"/>
      <c r="K24" s="31" t="s">
        <v>174</v>
      </c>
      <c r="L24" s="44">
        <v>17.399999999999999</v>
      </c>
      <c r="M24" s="21">
        <v>3.6</v>
      </c>
      <c r="N24" s="44">
        <f t="shared" si="0"/>
        <v>62.639999999999993</v>
      </c>
      <c r="O24" s="30">
        <v>20</v>
      </c>
      <c r="P24" s="30">
        <v>50</v>
      </c>
      <c r="Q24" s="30">
        <v>25</v>
      </c>
      <c r="R24" s="30">
        <v>50</v>
      </c>
      <c r="S24" s="105">
        <v>5</v>
      </c>
      <c r="T24" s="21">
        <f>L24/S24</f>
        <v>3.4799999999999995</v>
      </c>
      <c r="U24" s="1">
        <f t="shared" si="1"/>
        <v>0.72239444444444434</v>
      </c>
      <c r="V24" s="21">
        <f t="shared" si="3"/>
        <v>1.2443944444444441</v>
      </c>
      <c r="W24" s="21">
        <f t="shared" si="2"/>
        <v>0.86999999999999988</v>
      </c>
    </row>
    <row r="25" spans="3:23">
      <c r="D25" s="20"/>
      <c r="E25" s="20"/>
      <c r="F25" s="20"/>
      <c r="G25" s="38"/>
      <c r="H25" s="38"/>
      <c r="K25" s="31" t="s">
        <v>175</v>
      </c>
      <c r="L25" s="2">
        <v>12.27</v>
      </c>
      <c r="M25" s="21">
        <v>3.6</v>
      </c>
      <c r="N25" s="44">
        <f t="shared" si="0"/>
        <v>44.171999999999997</v>
      </c>
      <c r="O25" s="30">
        <v>20</v>
      </c>
      <c r="P25" s="30">
        <v>50</v>
      </c>
      <c r="Q25" s="30">
        <v>25</v>
      </c>
      <c r="R25" s="30">
        <v>50</v>
      </c>
      <c r="S25" s="105">
        <v>5</v>
      </c>
      <c r="T25" s="21">
        <f t="shared" ref="T25" si="4">L25/S25</f>
        <v>2.4539999999999997</v>
      </c>
      <c r="U25" s="1">
        <f t="shared" si="1"/>
        <v>0.68135444444444437</v>
      </c>
      <c r="V25" s="21">
        <f t="shared" si="3"/>
        <v>1.0494544444444442</v>
      </c>
      <c r="W25" s="21">
        <f t="shared" si="2"/>
        <v>0.61350000000000005</v>
      </c>
    </row>
    <row r="26" spans="3:23">
      <c r="D26" s="20"/>
      <c r="E26" s="20"/>
      <c r="F26" s="20"/>
      <c r="G26" s="38"/>
      <c r="H26" s="38"/>
      <c r="K26" s="31" t="s">
        <v>176</v>
      </c>
      <c r="L26" s="2">
        <v>10.89</v>
      </c>
      <c r="M26" s="21">
        <v>3.6</v>
      </c>
      <c r="N26" s="44">
        <f t="shared" si="0"/>
        <v>39.204000000000001</v>
      </c>
      <c r="O26" s="30">
        <v>20</v>
      </c>
      <c r="P26" s="30">
        <v>50</v>
      </c>
      <c r="Q26" s="30">
        <v>25</v>
      </c>
      <c r="R26" s="30">
        <v>50</v>
      </c>
      <c r="S26" s="105">
        <v>0</v>
      </c>
      <c r="T26" s="21">
        <f>0</f>
        <v>0</v>
      </c>
      <c r="U26" s="1">
        <f t="shared" si="1"/>
        <v>0</v>
      </c>
      <c r="V26" s="21">
        <f t="shared" si="3"/>
        <v>0.32669999999999999</v>
      </c>
      <c r="W26" s="21">
        <f t="shared" si="2"/>
        <v>0.54449999999999998</v>
      </c>
    </row>
    <row r="27" spans="3:23">
      <c r="D27" s="20"/>
      <c r="E27" s="20"/>
      <c r="F27" s="20"/>
      <c r="G27" s="38"/>
      <c r="H27" s="38"/>
      <c r="K27" s="32" t="s">
        <v>177</v>
      </c>
      <c r="L27" s="2">
        <v>3.5139999999999993</v>
      </c>
      <c r="M27" s="21">
        <v>3.6</v>
      </c>
      <c r="N27" s="44">
        <f t="shared" si="0"/>
        <v>12.650399999999998</v>
      </c>
      <c r="O27" s="30">
        <v>20</v>
      </c>
      <c r="P27" s="30">
        <v>50</v>
      </c>
      <c r="Q27" s="30">
        <v>25</v>
      </c>
      <c r="R27" s="30">
        <v>50</v>
      </c>
      <c r="S27" s="107">
        <v>0</v>
      </c>
      <c r="T27" s="21">
        <f>0</f>
        <v>0</v>
      </c>
      <c r="U27" s="1">
        <f t="shared" si="1"/>
        <v>0</v>
      </c>
      <c r="V27" s="21">
        <f t="shared" si="3"/>
        <v>0.10541999999999997</v>
      </c>
      <c r="W27" s="21">
        <f t="shared" si="2"/>
        <v>0.17569999999999997</v>
      </c>
    </row>
    <row r="28" spans="3:23">
      <c r="D28" s="20"/>
      <c r="E28" s="20"/>
      <c r="F28" s="20"/>
      <c r="G28" s="38"/>
      <c r="H28" s="38"/>
      <c r="L28" s="17">
        <f>SUM(_xlfn.ANCHORARRAY(L7))</f>
        <v>464.27983333333333</v>
      </c>
      <c r="U28" s="165">
        <f>SUM(U7:U27)</f>
        <v>19.17554720608365</v>
      </c>
      <c r="V28" s="165">
        <f>SUM(V7:V27)</f>
        <v>33.103942206083651</v>
      </c>
      <c r="W28" s="165">
        <f>SUM(W7:W27)</f>
        <v>23.213991666666665</v>
      </c>
    </row>
    <row r="29" spans="3:23">
      <c r="D29" s="20"/>
      <c r="E29" s="20"/>
      <c r="F29" s="20"/>
      <c r="G29" s="38"/>
      <c r="H29" s="38"/>
      <c r="I29" s="17">
        <f>SUM(L22:L25)</f>
        <v>38.769999999999996</v>
      </c>
    </row>
    <row r="30" spans="3:23">
      <c r="D30" s="20"/>
      <c r="E30" s="20"/>
      <c r="F30" s="20"/>
      <c r="G30" s="38"/>
      <c r="H30" s="38"/>
    </row>
    <row r="31" spans="3:23">
      <c r="D31" s="20"/>
      <c r="E31" s="20"/>
      <c r="F31" s="20"/>
      <c r="G31" s="38"/>
      <c r="H31" s="38"/>
    </row>
    <row r="32" spans="3:23" ht="18.75">
      <c r="C32" s="54"/>
      <c r="D32" s="54"/>
      <c r="E32" s="54"/>
    </row>
    <row r="33" spans="3:23" ht="18.75">
      <c r="C33" s="50"/>
      <c r="D33" s="50"/>
      <c r="E33" s="50"/>
      <c r="F33" s="50"/>
      <c r="G33" s="50"/>
    </row>
    <row r="34" spans="3:23" ht="18.75">
      <c r="C34" s="51"/>
      <c r="D34" s="52"/>
      <c r="E34" s="49"/>
      <c r="F34" s="49"/>
      <c r="G34" s="49"/>
      <c r="H34" s="49"/>
      <c r="K34" s="35" t="s">
        <v>157</v>
      </c>
      <c r="L34" s="92"/>
      <c r="M34" s="93"/>
    </row>
    <row r="35" spans="3:23" ht="18.75">
      <c r="C35" s="50"/>
      <c r="D35" s="38"/>
      <c r="E35" s="20"/>
      <c r="F35" s="20"/>
      <c r="G35" s="20"/>
      <c r="H35" s="38"/>
      <c r="K35" s="35" t="s">
        <v>158</v>
      </c>
      <c r="L35" s="92"/>
      <c r="M35" s="93"/>
      <c r="O35" s="105">
        <v>0</v>
      </c>
      <c r="P35" s="106"/>
      <c r="U35">
        <v>444.6450000000001</v>
      </c>
      <c r="W35" s="110">
        <v>1270.867089064393</v>
      </c>
    </row>
    <row r="36" spans="3:23" ht="18.75">
      <c r="C36" s="50"/>
      <c r="D36" s="38"/>
      <c r="E36" s="20"/>
      <c r="F36" s="20"/>
      <c r="G36" s="20"/>
      <c r="H36" s="38"/>
      <c r="K36" s="35" t="s">
        <v>159</v>
      </c>
      <c r="L36" s="92"/>
      <c r="M36" s="93"/>
      <c r="O36" s="105">
        <v>10</v>
      </c>
      <c r="P36" s="106"/>
      <c r="U36">
        <v>1453.2420222222222</v>
      </c>
      <c r="W36" s="110">
        <v>2449.9142209195297</v>
      </c>
    </row>
    <row r="37" spans="3:23" ht="15.75">
      <c r="D37" s="20"/>
      <c r="E37" s="20"/>
      <c r="F37" s="20"/>
      <c r="G37" s="20"/>
      <c r="H37" s="38"/>
      <c r="K37" s="35" t="s">
        <v>160</v>
      </c>
      <c r="L37" s="92"/>
      <c r="M37" s="93"/>
      <c r="O37" s="105">
        <v>0</v>
      </c>
      <c r="P37" s="106"/>
      <c r="U37">
        <v>116.12799999999999</v>
      </c>
      <c r="W37" s="110">
        <v>290.31999999999994</v>
      </c>
    </row>
    <row r="38" spans="3:23" ht="15.75">
      <c r="D38" s="20"/>
      <c r="E38" s="20"/>
      <c r="F38" s="20"/>
      <c r="G38" s="20"/>
      <c r="H38" s="38"/>
      <c r="K38" s="35" t="s">
        <v>161</v>
      </c>
      <c r="L38" s="92"/>
      <c r="M38" s="93"/>
      <c r="O38" s="105">
        <v>7</v>
      </c>
      <c r="P38" s="106"/>
      <c r="U38">
        <v>1414.3466222222223</v>
      </c>
      <c r="W38" s="110">
        <v>2795.9102067206222</v>
      </c>
    </row>
    <row r="39" spans="3:23" ht="15.75">
      <c r="D39" s="20"/>
      <c r="E39" s="20"/>
      <c r="F39" s="20"/>
      <c r="G39" s="20"/>
      <c r="H39" s="38"/>
      <c r="K39" s="35" t="s">
        <v>162</v>
      </c>
      <c r="L39" s="92"/>
      <c r="M39" s="93"/>
      <c r="O39" s="105">
        <v>3</v>
      </c>
      <c r="P39" s="106"/>
      <c r="U39">
        <v>826.67666666666662</v>
      </c>
      <c r="W39" s="110">
        <v>1953.3870781132985</v>
      </c>
    </row>
    <row r="40" spans="3:23" ht="15.75">
      <c r="D40" s="20"/>
      <c r="E40" s="20"/>
      <c r="F40" s="20"/>
      <c r="G40" s="20"/>
      <c r="H40" s="38"/>
      <c r="K40" s="35" t="s">
        <v>163</v>
      </c>
      <c r="L40" s="92"/>
      <c r="M40" s="93"/>
      <c r="O40" s="105">
        <v>3</v>
      </c>
      <c r="P40" s="106"/>
      <c r="U40">
        <v>826.67666666666662</v>
      </c>
      <c r="W40" s="110">
        <v>1518.0604749902338</v>
      </c>
    </row>
    <row r="41" spans="3:23" ht="15.75">
      <c r="D41" s="53"/>
      <c r="E41" s="20"/>
      <c r="F41" s="20"/>
      <c r="G41" s="20"/>
      <c r="H41" s="38"/>
      <c r="K41" s="35" t="s">
        <v>164</v>
      </c>
      <c r="L41" s="92"/>
      <c r="M41" s="93"/>
      <c r="O41" s="105">
        <v>3</v>
      </c>
      <c r="P41" s="106"/>
      <c r="U41">
        <v>863.15666666666664</v>
      </c>
      <c r="W41" s="110">
        <v>1703.1368655132092</v>
      </c>
    </row>
    <row r="42" spans="3:23" ht="15.75">
      <c r="D42" s="20"/>
      <c r="E42" s="20"/>
      <c r="F42" s="20"/>
      <c r="G42" s="20"/>
      <c r="H42" s="38"/>
      <c r="K42" s="35" t="s">
        <v>165</v>
      </c>
      <c r="L42" s="92"/>
      <c r="M42" s="93"/>
      <c r="O42" s="105">
        <v>14</v>
      </c>
      <c r="P42" s="106"/>
      <c r="U42">
        <v>2063.8063111111114</v>
      </c>
      <c r="W42" s="110">
        <v>4765.3843777313505</v>
      </c>
    </row>
    <row r="43" spans="3:23" ht="15.75">
      <c r="D43" s="20"/>
      <c r="E43" s="20"/>
      <c r="F43" s="20"/>
      <c r="G43" s="20"/>
      <c r="H43" s="38"/>
      <c r="K43" s="35" t="s">
        <v>166</v>
      </c>
      <c r="L43" s="92"/>
      <c r="M43" s="93"/>
      <c r="O43" s="105">
        <v>0</v>
      </c>
      <c r="P43" s="106"/>
      <c r="U43">
        <v>392.5</v>
      </c>
      <c r="W43" s="110">
        <v>2254.6884497449287</v>
      </c>
    </row>
    <row r="44" spans="3:23" ht="15.75">
      <c r="D44" s="37"/>
      <c r="E44" s="20"/>
      <c r="F44" s="20"/>
      <c r="G44" s="37"/>
      <c r="H44" s="38"/>
      <c r="K44" s="97" t="s">
        <v>167</v>
      </c>
      <c r="L44" s="98"/>
      <c r="M44" s="99"/>
      <c r="O44" s="105">
        <v>0</v>
      </c>
      <c r="P44" s="106"/>
      <c r="U44">
        <v>68.724000000000004</v>
      </c>
      <c r="W44" s="110">
        <v>314.45947940200642</v>
      </c>
    </row>
    <row r="45" spans="3:23" ht="15.75">
      <c r="D45" s="37"/>
      <c r="E45" s="20"/>
      <c r="F45" s="20"/>
      <c r="G45" s="37"/>
      <c r="H45" s="38"/>
      <c r="K45" s="35" t="s">
        <v>168</v>
      </c>
      <c r="L45" s="92"/>
      <c r="M45" s="93"/>
      <c r="O45" s="108">
        <v>0</v>
      </c>
      <c r="P45" s="109"/>
      <c r="U45">
        <v>145.66</v>
      </c>
      <c r="W45" s="110">
        <v>1584.5080840436799</v>
      </c>
    </row>
    <row r="46" spans="3:23" ht="15.75">
      <c r="D46" s="37"/>
      <c r="E46" s="20"/>
      <c r="F46" s="20"/>
      <c r="G46" s="37"/>
      <c r="H46" s="38"/>
      <c r="K46" s="35" t="s">
        <v>169</v>
      </c>
      <c r="L46" s="92"/>
      <c r="M46" s="93"/>
      <c r="O46" s="105">
        <v>3</v>
      </c>
      <c r="P46" s="106"/>
      <c r="U46">
        <v>2334.5606666666667</v>
      </c>
      <c r="W46" s="110">
        <v>856.61341921845246</v>
      </c>
    </row>
    <row r="47" spans="3:23" ht="15.75">
      <c r="D47" s="37"/>
      <c r="E47" s="20"/>
      <c r="F47" s="20"/>
      <c r="G47" s="37"/>
      <c r="H47" s="38"/>
      <c r="K47" s="35" t="s">
        <v>170</v>
      </c>
      <c r="L47" s="92"/>
      <c r="M47" s="93"/>
      <c r="O47" s="105">
        <v>6</v>
      </c>
      <c r="P47" s="106"/>
      <c r="U47">
        <v>1405.9333333333332</v>
      </c>
      <c r="W47" s="110">
        <v>3146.8827519837869</v>
      </c>
    </row>
    <row r="48" spans="3:23" ht="15.75">
      <c r="D48" s="37"/>
      <c r="E48" s="20"/>
      <c r="F48" s="20"/>
      <c r="G48" s="37"/>
      <c r="H48" s="38"/>
      <c r="K48" s="35" t="s">
        <v>171</v>
      </c>
      <c r="L48" s="92"/>
      <c r="M48" s="93"/>
      <c r="O48" s="105">
        <v>26</v>
      </c>
      <c r="P48" s="106"/>
      <c r="U48">
        <v>3659.7177777777779</v>
      </c>
      <c r="W48" s="110">
        <v>5004.7872082699378</v>
      </c>
    </row>
    <row r="49" spans="4:31" ht="15.75">
      <c r="D49" s="20"/>
      <c r="E49" s="20"/>
      <c r="F49" s="20"/>
      <c r="G49" s="20"/>
      <c r="H49" s="38"/>
      <c r="K49" s="35" t="s">
        <v>172</v>
      </c>
      <c r="L49" s="92"/>
      <c r="M49" s="93"/>
      <c r="O49" s="105">
        <v>9</v>
      </c>
      <c r="P49" s="106"/>
      <c r="U49">
        <v>1449.9468060836502</v>
      </c>
      <c r="W49" s="110">
        <v>3210.8674170860158</v>
      </c>
    </row>
    <row r="50" spans="4:31" ht="15.75">
      <c r="K50" s="35" t="s">
        <v>173</v>
      </c>
      <c r="L50" s="92"/>
      <c r="M50" s="93"/>
      <c r="O50" s="105">
        <v>1</v>
      </c>
      <c r="P50" s="106"/>
      <c r="U50">
        <v>154.47888888888889</v>
      </c>
      <c r="W50" s="110">
        <v>315.62098229754224</v>
      </c>
    </row>
    <row r="51" spans="4:31" ht="15.75">
      <c r="K51" s="35" t="s">
        <v>174</v>
      </c>
      <c r="L51" s="92"/>
      <c r="M51" s="93"/>
      <c r="O51" s="105">
        <v>1</v>
      </c>
      <c r="P51" s="106"/>
      <c r="U51">
        <v>151.59888888888889</v>
      </c>
      <c r="W51" s="110">
        <v>291.46165984369054</v>
      </c>
    </row>
    <row r="52" spans="4:31" ht="15.75">
      <c r="K52" s="35" t="s">
        <v>175</v>
      </c>
      <c r="L52" s="92"/>
      <c r="M52" s="93"/>
      <c r="O52" s="105">
        <v>5</v>
      </c>
      <c r="P52" s="106"/>
      <c r="U52">
        <v>722.39444444444439</v>
      </c>
      <c r="W52" s="110">
        <v>1398.8813542539194</v>
      </c>
    </row>
    <row r="53" spans="4:31" ht="15.75">
      <c r="K53" s="35" t="s">
        <v>176</v>
      </c>
      <c r="L53" s="92"/>
      <c r="M53" s="93"/>
      <c r="O53" s="105">
        <v>5</v>
      </c>
      <c r="P53" s="106"/>
      <c r="U53">
        <v>681.35444444444443</v>
      </c>
      <c r="W53" s="110">
        <v>931.70474475084575</v>
      </c>
    </row>
    <row r="54" spans="4:31" ht="16.5" thickBot="1">
      <c r="K54" s="94" t="s">
        <v>177</v>
      </c>
      <c r="L54" s="95"/>
      <c r="M54" s="96"/>
      <c r="O54" s="105">
        <v>0</v>
      </c>
      <c r="P54" s="106"/>
      <c r="U54">
        <v>0</v>
      </c>
      <c r="W54" s="110">
        <v>217.8</v>
      </c>
    </row>
    <row r="55" spans="4:31" ht="15.75">
      <c r="O55" s="107">
        <v>0</v>
      </c>
      <c r="P55" s="111"/>
      <c r="U55">
        <v>0</v>
      </c>
      <c r="W55" s="110">
        <v>70.279999999999987</v>
      </c>
    </row>
    <row r="58" spans="4:31">
      <c r="K58" s="32">
        <f>6.9*4.4*3.6</f>
        <v>109.29600000000001</v>
      </c>
      <c r="L58" s="32">
        <f>4.57*5*3.6</f>
        <v>82.26</v>
      </c>
      <c r="M58" s="32">
        <f>3.65*3.4*3.6</f>
        <v>44.676000000000002</v>
      </c>
      <c r="N58" s="100">
        <f>98.96</f>
        <v>98.96</v>
      </c>
      <c r="O58" s="100">
        <f>64.87</f>
        <v>64.87</v>
      </c>
      <c r="P58" s="100">
        <v>65.268000000000001</v>
      </c>
      <c r="Q58" s="100">
        <v>65.268000000000001</v>
      </c>
      <c r="R58" s="100">
        <v>119.88</v>
      </c>
      <c r="S58" s="100">
        <v>164.88</v>
      </c>
      <c r="T58" s="32">
        <v>26.064</v>
      </c>
      <c r="U58" s="33">
        <v>65.546999999999997</v>
      </c>
      <c r="V58" s="100">
        <v>76.356000000000009</v>
      </c>
      <c r="W58" s="100">
        <v>108.072</v>
      </c>
      <c r="X58" s="100">
        <v>189.43199999999999</v>
      </c>
      <c r="Y58" s="101">
        <v>199.15200000000002</v>
      </c>
      <c r="Z58" s="102">
        <v>17.028000000000002</v>
      </c>
      <c r="AA58" s="102">
        <v>15.732000000000001</v>
      </c>
      <c r="AB58" s="103">
        <v>62.639999999999993</v>
      </c>
      <c r="AC58" s="103">
        <v>44.171999999999997</v>
      </c>
      <c r="AD58" s="102">
        <v>39.204000000000001</v>
      </c>
      <c r="AE58" s="102">
        <v>12.650399999999998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7505-C612-4931-9702-BF7C509E75EC}">
  <dimension ref="B1:W44"/>
  <sheetViews>
    <sheetView zoomScale="78" zoomScaleNormal="78" workbookViewId="0">
      <selection activeCell="F35" sqref="F35"/>
    </sheetView>
  </sheetViews>
  <sheetFormatPr baseColWidth="10" defaultColWidth="10.28515625" defaultRowHeight="15"/>
  <cols>
    <col min="2" max="2" width="27.140625" customWidth="1"/>
    <col min="3" max="3" width="19.7109375" customWidth="1"/>
    <col min="4" max="4" width="17.28515625" customWidth="1"/>
    <col min="5" max="5" width="23.28515625" customWidth="1"/>
    <col min="6" max="6" width="15.28515625" customWidth="1"/>
    <col min="7" max="7" width="15.140625" customWidth="1"/>
    <col min="8" max="8" width="16.7109375" customWidth="1"/>
    <col min="9" max="9" width="14.7109375" customWidth="1"/>
    <col min="12" max="12" width="21.28515625" customWidth="1"/>
    <col min="13" max="13" width="17.28515625" customWidth="1"/>
    <col min="14" max="15" width="19.7109375" customWidth="1"/>
    <col min="16" max="17" width="13.7109375" customWidth="1"/>
    <col min="18" max="18" width="22.7109375" customWidth="1"/>
    <col min="19" max="19" width="17" customWidth="1"/>
    <col min="20" max="20" width="19.28515625" customWidth="1"/>
  </cols>
  <sheetData>
    <row r="1" spans="2:22">
      <c r="B1" s="38"/>
      <c r="C1" s="38"/>
      <c r="D1" s="38"/>
      <c r="E1" s="38"/>
      <c r="F1" s="38"/>
      <c r="G1" s="38"/>
      <c r="H1" s="38"/>
      <c r="I1" s="38"/>
      <c r="J1" s="38"/>
      <c r="K1" s="38"/>
      <c r="L1" s="38"/>
      <c r="M1" s="38"/>
      <c r="N1" s="38"/>
      <c r="O1" s="38"/>
      <c r="P1" s="38"/>
      <c r="Q1" s="38"/>
      <c r="R1" s="38"/>
      <c r="S1" s="38"/>
      <c r="T1" s="38"/>
      <c r="U1" s="38"/>
      <c r="V1" s="38"/>
    </row>
    <row r="2" spans="2:22">
      <c r="B2" s="38"/>
      <c r="C2" s="38"/>
      <c r="D2" s="38"/>
      <c r="E2" s="38"/>
      <c r="F2" s="38"/>
      <c r="G2" s="38"/>
      <c r="H2" s="38"/>
      <c r="I2" s="38"/>
      <c r="J2" s="38"/>
      <c r="K2" s="38"/>
      <c r="L2" s="38"/>
      <c r="M2" s="38"/>
      <c r="N2" s="38"/>
      <c r="O2" s="38"/>
      <c r="P2" s="38"/>
      <c r="Q2" s="38"/>
      <c r="R2" s="38"/>
      <c r="S2" s="38"/>
      <c r="T2" s="38"/>
      <c r="U2" s="38"/>
      <c r="V2" s="38"/>
    </row>
    <row r="3" spans="2:22" ht="18">
      <c r="B3" s="38"/>
      <c r="C3" s="38"/>
      <c r="D3" s="38"/>
      <c r="E3" s="38"/>
      <c r="F3" s="38"/>
      <c r="G3" s="38"/>
      <c r="H3" s="38"/>
      <c r="I3" s="38"/>
      <c r="J3" s="38"/>
      <c r="K3" s="3"/>
      <c r="L3" s="3" t="s">
        <v>0</v>
      </c>
      <c r="M3" s="38"/>
      <c r="N3" s="84" t="s">
        <v>65</v>
      </c>
      <c r="O3" s="43">
        <f>MIN(L9:L29)</f>
        <v>5.6694676923076921</v>
      </c>
      <c r="P3" s="181" t="s">
        <v>23</v>
      </c>
      <c r="Q3" s="38"/>
      <c r="R3" s="132" t="s">
        <v>95</v>
      </c>
      <c r="S3" s="133">
        <f>MIN($Q$9:$Q$26)</f>
        <v>30.581461632778772</v>
      </c>
      <c r="T3" s="38"/>
      <c r="U3" s="38"/>
      <c r="V3" s="38"/>
    </row>
    <row r="4" spans="2:22">
      <c r="B4" s="38"/>
      <c r="C4" s="38"/>
      <c r="D4" s="38"/>
      <c r="E4" s="38"/>
      <c r="F4" s="38" t="s">
        <v>266</v>
      </c>
      <c r="G4" s="38"/>
      <c r="H4" s="38"/>
      <c r="I4" s="38"/>
      <c r="J4" s="38"/>
      <c r="K4" s="3" t="s">
        <v>1</v>
      </c>
      <c r="L4" s="3">
        <v>30</v>
      </c>
      <c r="M4" s="38"/>
      <c r="N4" s="84" t="s">
        <v>66</v>
      </c>
      <c r="O4" s="43">
        <f>IF(MIN(M9:M29)&lt;8,MIN(M9:M29),8)</f>
        <v>8</v>
      </c>
      <c r="P4" s="181"/>
      <c r="Q4" s="38"/>
      <c r="R4" s="134" t="s">
        <v>98</v>
      </c>
      <c r="S4" s="133">
        <f>$P$22</f>
        <v>0</v>
      </c>
      <c r="T4" s="38"/>
      <c r="U4" s="38"/>
      <c r="V4" s="38"/>
    </row>
    <row r="5" spans="2:22">
      <c r="B5" s="38"/>
      <c r="C5" s="38"/>
      <c r="D5" s="38"/>
      <c r="E5" s="38"/>
      <c r="F5" s="38"/>
      <c r="G5" s="38"/>
      <c r="H5" s="38"/>
      <c r="I5" s="38"/>
      <c r="J5" s="38"/>
      <c r="K5" s="3" t="s">
        <v>3</v>
      </c>
      <c r="L5" s="3">
        <v>50</v>
      </c>
      <c r="M5" s="38"/>
      <c r="N5" s="112" t="s">
        <v>76</v>
      </c>
      <c r="O5" s="135">
        <f>SUM(N9:N29)</f>
        <v>4.0945628278583026</v>
      </c>
      <c r="P5" s="182" t="s">
        <v>79</v>
      </c>
      <c r="Q5" s="38"/>
      <c r="R5" s="38"/>
      <c r="S5" s="38"/>
      <c r="T5" s="38"/>
      <c r="U5" s="38"/>
      <c r="V5" s="38"/>
    </row>
    <row r="6" spans="2:22" ht="15.75" thickBot="1">
      <c r="B6" s="38"/>
      <c r="C6" s="38"/>
      <c r="D6" s="38"/>
      <c r="E6" s="38"/>
      <c r="F6" s="38"/>
      <c r="G6" s="38"/>
      <c r="H6" s="38"/>
      <c r="I6" s="38"/>
      <c r="J6" s="38"/>
      <c r="K6" s="38"/>
      <c r="L6" s="38"/>
      <c r="M6" s="38"/>
      <c r="N6" s="112" t="s">
        <v>77</v>
      </c>
      <c r="O6" s="135">
        <f>SUM(O9:O29)</f>
        <v>4.1379927757604564</v>
      </c>
      <c r="P6" s="183"/>
      <c r="Q6" s="38"/>
      <c r="R6" s="38"/>
      <c r="S6" s="38"/>
      <c r="T6" s="38"/>
      <c r="U6" s="38"/>
      <c r="V6" s="38"/>
    </row>
    <row r="7" spans="2:22" ht="15.75" thickBot="1">
      <c r="B7" s="38"/>
      <c r="C7" s="38"/>
      <c r="D7" s="38"/>
      <c r="E7" s="38"/>
      <c r="F7" s="38"/>
      <c r="G7" s="38"/>
      <c r="H7" s="187" t="s">
        <v>183</v>
      </c>
      <c r="I7" s="188"/>
      <c r="J7" s="38"/>
      <c r="K7" s="38"/>
      <c r="L7" s="187" t="s">
        <v>186</v>
      </c>
      <c r="M7" s="189"/>
      <c r="N7" s="187" t="s">
        <v>187</v>
      </c>
      <c r="O7" s="188"/>
      <c r="P7" s="38"/>
      <c r="Q7" s="38"/>
      <c r="R7" s="187" t="s">
        <v>181</v>
      </c>
      <c r="S7" s="188"/>
      <c r="T7" s="186"/>
      <c r="U7" s="186"/>
      <c r="V7" s="38"/>
    </row>
    <row r="8" spans="2:22" ht="18">
      <c r="B8" s="125" t="s">
        <v>51</v>
      </c>
      <c r="C8" s="113" t="s">
        <v>55</v>
      </c>
      <c r="D8" s="126" t="s">
        <v>52</v>
      </c>
      <c r="E8" s="113" t="s">
        <v>90</v>
      </c>
      <c r="F8" s="113" t="s">
        <v>93</v>
      </c>
      <c r="G8" s="113" t="s">
        <v>94</v>
      </c>
      <c r="H8" s="116" t="s">
        <v>182</v>
      </c>
      <c r="I8" s="116" t="s">
        <v>184</v>
      </c>
      <c r="J8" s="113" t="s">
        <v>53</v>
      </c>
      <c r="K8" s="114" t="s">
        <v>64</v>
      </c>
      <c r="L8" s="116" t="s">
        <v>185</v>
      </c>
      <c r="M8" s="116" t="s">
        <v>146</v>
      </c>
      <c r="N8" s="113" t="s">
        <v>188</v>
      </c>
      <c r="O8" s="113" t="s">
        <v>146</v>
      </c>
      <c r="P8" s="127" t="s">
        <v>92</v>
      </c>
      <c r="Q8" s="144" t="s">
        <v>91</v>
      </c>
      <c r="R8" s="116" t="s">
        <v>180</v>
      </c>
      <c r="S8" s="115" t="s">
        <v>179</v>
      </c>
      <c r="T8" s="117"/>
      <c r="U8" s="117"/>
      <c r="V8" s="38"/>
    </row>
    <row r="9" spans="2:22">
      <c r="B9" s="128" t="s">
        <v>157</v>
      </c>
      <c r="C9" s="118">
        <f>Données!L7</f>
        <v>30.36</v>
      </c>
      <c r="D9" s="119">
        <f>Données!S7</f>
        <v>1</v>
      </c>
      <c r="E9" s="119">
        <f>54*D9</f>
        <v>54</v>
      </c>
      <c r="F9" s="147">
        <v>0.84040000000000004</v>
      </c>
      <c r="G9" s="147">
        <v>0.85799999999999998</v>
      </c>
      <c r="H9" s="119">
        <f>E9/F9/3600</f>
        <v>1.7848643503093765E-2</v>
      </c>
      <c r="I9" s="119">
        <f>E9/G9/3600</f>
        <v>1.7482517482517484E-2</v>
      </c>
      <c r="J9" s="119">
        <f>Données!W7</f>
        <v>1.518</v>
      </c>
      <c r="K9" s="120">
        <f>Données!V7</f>
        <v>1.355445</v>
      </c>
      <c r="L9" s="121"/>
      <c r="M9" s="121"/>
      <c r="N9" s="119">
        <f>J9/O$3</f>
        <v>0.26775000447742486</v>
      </c>
      <c r="O9" s="119">
        <f>K9/O$4</f>
        <v>0.169430625</v>
      </c>
      <c r="P9" s="119">
        <f>100 * (1-H9/N9)</f>
        <v>93.333840072970503</v>
      </c>
      <c r="Q9" s="120">
        <f>100 * (1-I9/O9)</f>
        <v>89.681607157786573</v>
      </c>
      <c r="R9" s="119">
        <f>$D9*38/3600/1000</f>
        <v>1.0555555555555555E-5</v>
      </c>
      <c r="S9" s="119">
        <f>$D9*70/3600/1000</f>
        <v>1.9444444444444445E-5</v>
      </c>
      <c r="T9" s="38"/>
      <c r="U9" s="38"/>
      <c r="V9" s="38"/>
    </row>
    <row r="10" spans="2:22">
      <c r="B10" s="128" t="s">
        <v>158</v>
      </c>
      <c r="C10" s="118">
        <f>Données!L8</f>
        <v>22.85</v>
      </c>
      <c r="D10" s="119">
        <f>Données!S8</f>
        <v>10</v>
      </c>
      <c r="E10" s="119">
        <f>54*D10</f>
        <v>540</v>
      </c>
      <c r="F10" s="147">
        <v>0.84040000000000004</v>
      </c>
      <c r="G10" s="147">
        <v>0.85799999999999998</v>
      </c>
      <c r="H10" s="119">
        <f>E10/F10/3600</f>
        <v>0.17848643503093764</v>
      </c>
      <c r="I10" s="119">
        <f t="shared" ref="I10:I25" si="0">E10/G10/3600</f>
        <v>0.17482517482517482</v>
      </c>
      <c r="J10" s="119">
        <f>Données!W8</f>
        <v>1.1425000000000001</v>
      </c>
      <c r="K10" s="119">
        <f>Données!V8</f>
        <v>2.138742022222222</v>
      </c>
      <c r="L10" s="119">
        <f>J10/H10</f>
        <v>6.4010466666666677</v>
      </c>
      <c r="M10" s="119">
        <f>K10/I10</f>
        <v>12.233604367111111</v>
      </c>
      <c r="N10" s="119">
        <f t="shared" ref="N10:N28" si="1">J10/O$3</f>
        <v>0.20151803696670481</v>
      </c>
      <c r="O10" s="119">
        <f>K10/O$4</f>
        <v>0.26734275277777775</v>
      </c>
      <c r="P10" s="119">
        <f t="shared" ref="P10:P29" si="2">100 * (1-H10/N10)</f>
        <v>11.429052348089563</v>
      </c>
      <c r="Q10" s="120">
        <f t="shared" ref="Q10:Q29" si="3">100 * (1-I10/O10)</f>
        <v>34.606353451258862</v>
      </c>
      <c r="R10" s="119">
        <f>$D10*38/3600/1000</f>
        <v>1.0555555555555555E-4</v>
      </c>
      <c r="S10" s="119">
        <f t="shared" ref="S10:S15" si="4">$D10*70/3600/1000</f>
        <v>1.9444444444444446E-4</v>
      </c>
      <c r="T10" s="38"/>
      <c r="U10" s="38"/>
      <c r="V10" s="38"/>
    </row>
    <row r="11" spans="2:22">
      <c r="B11" s="128" t="s">
        <v>159</v>
      </c>
      <c r="C11" s="118">
        <f>Données!L9</f>
        <v>12.41</v>
      </c>
      <c r="D11" s="119">
        <f>Données!S9</f>
        <v>1</v>
      </c>
      <c r="E11" s="119">
        <f>54*D11</f>
        <v>54</v>
      </c>
      <c r="F11" s="147">
        <v>0.84040000000000004</v>
      </c>
      <c r="G11" s="147">
        <v>0.85799999999999998</v>
      </c>
      <c r="H11" s="119">
        <f>E11/F11/3600</f>
        <v>1.7848643503093765E-2</v>
      </c>
      <c r="I11" s="119">
        <f t="shared" si="0"/>
        <v>1.7482517482517484E-2</v>
      </c>
      <c r="J11" s="119">
        <f>Données!W9</f>
        <v>0.62050000000000005</v>
      </c>
      <c r="K11" s="119">
        <f>Données!V9</f>
        <v>0.48842799999999997</v>
      </c>
      <c r="L11" s="119">
        <f>J11/H11</f>
        <v>34.764546666666668</v>
      </c>
      <c r="M11" s="119">
        <f>K11/I11</f>
        <v>27.938081599999997</v>
      </c>
      <c r="N11" s="119">
        <f>J11/O$3</f>
        <v>0.1094459010396852</v>
      </c>
      <c r="O11" s="119">
        <f t="shared" ref="O11:O29" si="5">K11/O$4</f>
        <v>6.1053499999999997E-2</v>
      </c>
      <c r="P11" s="119">
        <f>100 * (1-H11/N11)</f>
        <v>83.691811814293686</v>
      </c>
      <c r="Q11" s="120">
        <f t="shared" si="3"/>
        <v>71.365249359139966</v>
      </c>
      <c r="R11" s="119">
        <f t="shared" ref="R11:R29" si="6">$D11*38/3600/1000</f>
        <v>1.0555555555555555E-5</v>
      </c>
      <c r="S11" s="119">
        <f t="shared" si="4"/>
        <v>1.9444444444444445E-5</v>
      </c>
      <c r="T11" s="38"/>
      <c r="U11" s="38"/>
      <c r="V11" s="38"/>
    </row>
    <row r="12" spans="2:22">
      <c r="B12" s="128" t="s">
        <v>160</v>
      </c>
      <c r="C12" s="118">
        <f>Données!L10</f>
        <v>27.488888888888887</v>
      </c>
      <c r="D12" s="119">
        <f>Données!S10</f>
        <v>3</v>
      </c>
      <c r="E12" s="119">
        <f t="shared" ref="E12:E29" si="7">54*D12</f>
        <v>162</v>
      </c>
      <c r="F12" s="147">
        <v>0.84040000000000004</v>
      </c>
      <c r="G12" s="147">
        <v>0.85799999999999998</v>
      </c>
      <c r="H12" s="119">
        <f t="shared" ref="H12:H29" si="8">E12/F12/3600</f>
        <v>5.3545930509281289E-2</v>
      </c>
      <c r="I12" s="119">
        <f t="shared" si="0"/>
        <v>5.2447552447552455E-2</v>
      </c>
      <c r="J12" s="119">
        <f>Données!W10</f>
        <v>1.3744444444444444</v>
      </c>
      <c r="K12" s="119">
        <f>Données!V10</f>
        <v>2.2390132888888887</v>
      </c>
      <c r="L12" s="119">
        <f t="shared" ref="L12:L19" si="9">J12/H12</f>
        <v>25.668513580246916</v>
      </c>
      <c r="M12" s="119">
        <f t="shared" ref="M12:M24" si="10">K12/I12</f>
        <v>42.69052004148147</v>
      </c>
      <c r="N12" s="119">
        <f t="shared" si="1"/>
        <v>0.24242918718970466</v>
      </c>
      <c r="O12" s="119">
        <f t="shared" si="5"/>
        <v>0.27987666111111109</v>
      </c>
      <c r="P12" s="119">
        <f>100 * (1-H12/N12)</f>
        <v>77.912754181953858</v>
      </c>
      <c r="Q12" s="120">
        <f t="shared" si="3"/>
        <v>81.260476583029288</v>
      </c>
      <c r="R12" s="119">
        <f t="shared" si="6"/>
        <v>3.1666666666666666E-5</v>
      </c>
      <c r="S12" s="119">
        <f t="shared" si="4"/>
        <v>5.8333333333333333E-5</v>
      </c>
      <c r="T12" s="38"/>
      <c r="U12" s="38"/>
      <c r="V12" s="38"/>
    </row>
    <row r="13" spans="2:22">
      <c r="B13" s="128" t="s">
        <v>161</v>
      </c>
      <c r="C13" s="118">
        <f>Données!L11</f>
        <v>18.019444444444446</v>
      </c>
      <c r="D13" s="119">
        <f>Données!S11</f>
        <v>3</v>
      </c>
      <c r="E13" s="119">
        <f t="shared" si="7"/>
        <v>162</v>
      </c>
      <c r="F13" s="147">
        <v>0.84040000000000004</v>
      </c>
      <c r="G13" s="147">
        <v>0.85799999999999998</v>
      </c>
      <c r="H13" s="119">
        <f t="shared" si="8"/>
        <v>5.3545930509281289E-2</v>
      </c>
      <c r="I13" s="119">
        <f t="shared" si="0"/>
        <v>5.2447552447552455E-2</v>
      </c>
      <c r="J13" s="119">
        <f>Données!W11</f>
        <v>0.90097222222222229</v>
      </c>
      <c r="K13" s="119">
        <f>Données!V11</f>
        <v>1.3672599999999999</v>
      </c>
      <c r="L13" s="119">
        <f t="shared" si="9"/>
        <v>16.826156790123459</v>
      </c>
      <c r="M13" s="119">
        <f t="shared" si="10"/>
        <v>26.069090666666661</v>
      </c>
      <c r="N13" s="119">
        <f t="shared" si="1"/>
        <v>0.15891654580634745</v>
      </c>
      <c r="O13" s="119">
        <f t="shared" si="5"/>
        <v>0.17090749999999999</v>
      </c>
      <c r="P13" s="119">
        <f>100 * (1-H13/N13)</f>
        <v>66.305629009498304</v>
      </c>
      <c r="Q13" s="120">
        <f t="shared" si="3"/>
        <v>69.312316634698618</v>
      </c>
      <c r="R13" s="119">
        <f>$D13*38/3600/1000</f>
        <v>3.1666666666666666E-5</v>
      </c>
      <c r="S13" s="119">
        <f t="shared" si="4"/>
        <v>5.8333333333333333E-5</v>
      </c>
      <c r="T13" s="38"/>
      <c r="U13" s="38"/>
      <c r="V13" s="38"/>
    </row>
    <row r="14" spans="2:22">
      <c r="B14" s="128" t="s">
        <v>162</v>
      </c>
      <c r="C14" s="118">
        <f>Données!L12</f>
        <v>18.13</v>
      </c>
      <c r="D14" s="119">
        <f>Données!S12</f>
        <v>3</v>
      </c>
      <c r="E14" s="119">
        <f t="shared" si="7"/>
        <v>162</v>
      </c>
      <c r="F14" s="147">
        <v>0.84040000000000004</v>
      </c>
      <c r="G14" s="147">
        <v>0.85799999999999998</v>
      </c>
      <c r="H14" s="119">
        <f t="shared" si="8"/>
        <v>5.3545930509281289E-2</v>
      </c>
      <c r="I14" s="119">
        <f t="shared" si="0"/>
        <v>5.2447552447552455E-2</v>
      </c>
      <c r="J14" s="119">
        <f>Données!W12</f>
        <v>0.90649999999999997</v>
      </c>
      <c r="K14" s="119">
        <f>Données!V12</f>
        <v>1.3705766666666666</v>
      </c>
      <c r="L14" s="119">
        <f t="shared" si="9"/>
        <v>16.929391111111112</v>
      </c>
      <c r="M14" s="119">
        <f t="shared" si="10"/>
        <v>26.13232844444444</v>
      </c>
      <c r="N14" s="119">
        <f t="shared" si="1"/>
        <v>0.15989155405717101</v>
      </c>
      <c r="O14" s="119">
        <f t="shared" si="5"/>
        <v>0.17132208333333332</v>
      </c>
      <c r="P14" s="119">
        <f t="shared" si="2"/>
        <v>66.511095082523667</v>
      </c>
      <c r="Q14" s="120">
        <f t="shared" si="3"/>
        <v>69.386577943073618</v>
      </c>
      <c r="R14" s="119">
        <f t="shared" si="6"/>
        <v>3.1666666666666666E-5</v>
      </c>
      <c r="S14" s="119">
        <f t="shared" si="4"/>
        <v>5.8333333333333333E-5</v>
      </c>
      <c r="T14" s="38"/>
      <c r="U14" s="38"/>
      <c r="V14" s="38"/>
    </row>
    <row r="15" spans="2:22">
      <c r="B15" s="128" t="s">
        <v>163</v>
      </c>
      <c r="C15" s="118">
        <f>Données!L13</f>
        <v>18.13</v>
      </c>
      <c r="D15" s="119">
        <f>Données!S13</f>
        <v>3</v>
      </c>
      <c r="E15" s="119">
        <f t="shared" si="7"/>
        <v>162</v>
      </c>
      <c r="F15" s="147">
        <v>0.84040000000000004</v>
      </c>
      <c r="G15" s="147">
        <v>0.85799999999999998</v>
      </c>
      <c r="H15" s="119">
        <f t="shared" si="8"/>
        <v>5.3545930509281289E-2</v>
      </c>
      <c r="I15" s="119">
        <f t="shared" si="0"/>
        <v>5.2447552447552455E-2</v>
      </c>
      <c r="J15" s="119">
        <f>Données!W13</f>
        <v>0.90649999999999997</v>
      </c>
      <c r="K15" s="119">
        <f>Données!V13</f>
        <v>1.4070566666666666</v>
      </c>
      <c r="L15" s="119">
        <f t="shared" si="9"/>
        <v>16.929391111111112</v>
      </c>
      <c r="M15" s="119">
        <f t="shared" si="10"/>
        <v>26.827880444444439</v>
      </c>
      <c r="N15" s="119">
        <f t="shared" si="1"/>
        <v>0.15989155405717101</v>
      </c>
      <c r="O15" s="119">
        <f t="shared" si="5"/>
        <v>0.17588208333333333</v>
      </c>
      <c r="P15" s="119">
        <f t="shared" si="2"/>
        <v>66.511095082523667</v>
      </c>
      <c r="Q15" s="120">
        <f t="shared" si="3"/>
        <v>70.180275640610091</v>
      </c>
      <c r="R15" s="119">
        <f t="shared" si="6"/>
        <v>3.1666666666666666E-5</v>
      </c>
      <c r="S15" s="119">
        <f t="shared" si="4"/>
        <v>5.8333333333333333E-5</v>
      </c>
      <c r="T15" s="38"/>
      <c r="U15" s="38"/>
      <c r="V15" s="38"/>
    </row>
    <row r="16" spans="2:22">
      <c r="B16" s="128" t="s">
        <v>164</v>
      </c>
      <c r="C16" s="118">
        <f>Données!L14</f>
        <v>33.299999999999997</v>
      </c>
      <c r="D16" s="119">
        <f>Données!S14</f>
        <v>14</v>
      </c>
      <c r="E16" s="119">
        <f t="shared" si="7"/>
        <v>756</v>
      </c>
      <c r="F16" s="147">
        <v>0.84040000000000004</v>
      </c>
      <c r="G16" s="147">
        <v>0.85799999999999998</v>
      </c>
      <c r="H16" s="119">
        <f t="shared" si="8"/>
        <v>0.2498810090433127</v>
      </c>
      <c r="I16" s="119">
        <f t="shared" si="0"/>
        <v>0.24475524475524477</v>
      </c>
      <c r="J16" s="119">
        <f>Données!W14</f>
        <v>1.6649999999999998</v>
      </c>
      <c r="K16" s="119">
        <f>Données!V14</f>
        <v>3.0628063111111112</v>
      </c>
      <c r="L16" s="119">
        <f t="shared" si="9"/>
        <v>6.6631714285714283</v>
      </c>
      <c r="M16" s="119">
        <f t="shared" si="10"/>
        <v>12.51375149968254</v>
      </c>
      <c r="N16" s="119">
        <f t="shared" si="1"/>
        <v>0.2936783645948039</v>
      </c>
      <c r="O16" s="119">
        <f t="shared" si="5"/>
        <v>0.3828507888888889</v>
      </c>
      <c r="P16" s="119">
        <f t="shared" si="2"/>
        <v>14.913374913374911</v>
      </c>
      <c r="Q16" s="120">
        <f>100 * (1-I16/O16)</f>
        <v>36.070330306599494</v>
      </c>
      <c r="R16" s="119">
        <f t="shared" si="6"/>
        <v>1.4777777777777779E-4</v>
      </c>
      <c r="S16" s="119">
        <f>$D16*58/3600/1000</f>
        <v>2.2555555555555556E-4</v>
      </c>
      <c r="T16" s="38"/>
      <c r="U16" s="38"/>
      <c r="V16" s="38"/>
    </row>
    <row r="17" spans="2:22">
      <c r="B17" s="128" t="s">
        <v>165</v>
      </c>
      <c r="C17" s="118">
        <f>Données!L15</f>
        <v>45.8</v>
      </c>
      <c r="D17" s="119">
        <f>Données!S15</f>
        <v>1</v>
      </c>
      <c r="E17" s="119">
        <f t="shared" si="7"/>
        <v>54</v>
      </c>
      <c r="F17" s="147">
        <v>0.84040000000000004</v>
      </c>
      <c r="G17" s="147">
        <v>0.85799999999999998</v>
      </c>
      <c r="H17" s="119">
        <f t="shared" si="8"/>
        <v>1.7848643503093765E-2</v>
      </c>
      <c r="I17" s="119">
        <f t="shared" si="0"/>
        <v>1.7482517482517484E-2</v>
      </c>
      <c r="J17" s="119">
        <f>Données!W15</f>
        <v>2.29</v>
      </c>
      <c r="K17" s="119">
        <f>Données!V15</f>
        <v>1.7665</v>
      </c>
      <c r="L17" s="119">
        <f t="shared" si="9"/>
        <v>128.30106666666666</v>
      </c>
      <c r="M17" s="119">
        <f>K17/I17</f>
        <v>101.04379999999999</v>
      </c>
      <c r="N17" s="119">
        <f t="shared" si="1"/>
        <v>0.40391799094420477</v>
      </c>
      <c r="O17" s="119">
        <f t="shared" si="5"/>
        <v>0.22081249999999999</v>
      </c>
      <c r="P17" s="119">
        <f t="shared" si="2"/>
        <v>95.581121934833718</v>
      </c>
      <c r="Q17" s="120">
        <f t="shared" si="3"/>
        <v>92.082641389179742</v>
      </c>
      <c r="R17" s="119">
        <f t="shared" si="6"/>
        <v>1.0555555555555555E-5</v>
      </c>
      <c r="S17" s="119">
        <f>$D17*70/3600/1000</f>
        <v>1.9444444444444445E-5</v>
      </c>
      <c r="T17" s="38"/>
      <c r="U17" s="38"/>
      <c r="V17" s="38"/>
    </row>
    <row r="18" spans="2:22">
      <c r="B18" s="128" t="s">
        <v>166</v>
      </c>
      <c r="C18" s="118">
        <f>Données!L16</f>
        <v>7.24</v>
      </c>
      <c r="D18" s="119">
        <f>Données!S16</f>
        <v>1</v>
      </c>
      <c r="E18" s="119">
        <f t="shared" si="7"/>
        <v>54</v>
      </c>
      <c r="F18" s="147">
        <v>0.84040000000000004</v>
      </c>
      <c r="G18" s="147">
        <v>0.85799999999999998</v>
      </c>
      <c r="H18" s="119">
        <f t="shared" si="8"/>
        <v>1.7848643503093765E-2</v>
      </c>
      <c r="I18" s="119">
        <f t="shared" si="0"/>
        <v>1.7482517482517484E-2</v>
      </c>
      <c r="J18" s="119">
        <f>Données!W16</f>
        <v>0.36199999999999999</v>
      </c>
      <c r="K18" s="119">
        <f>Données!V16</f>
        <v>0.28592400000000001</v>
      </c>
      <c r="L18" s="119">
        <f t="shared" si="9"/>
        <v>20.281653333333331</v>
      </c>
      <c r="M18" s="119">
        <f>K18/I18</f>
        <v>16.3548528</v>
      </c>
      <c r="N18" s="119">
        <f t="shared" si="1"/>
        <v>6.3850791581572988E-2</v>
      </c>
      <c r="O18" s="119">
        <f t="shared" si="5"/>
        <v>3.5740500000000001E-2</v>
      </c>
      <c r="P18" s="119">
        <f t="shared" si="2"/>
        <v>72.046323841903941</v>
      </c>
      <c r="Q18" s="120">
        <f t="shared" si="3"/>
        <v>51.084854765553132</v>
      </c>
      <c r="R18" s="119">
        <f t="shared" si="6"/>
        <v>1.0555555555555555E-5</v>
      </c>
      <c r="S18" s="119">
        <f>$D18*70/3600/1000</f>
        <v>1.9444444444444445E-5</v>
      </c>
      <c r="T18" s="38"/>
      <c r="U18" s="38"/>
      <c r="V18" s="38"/>
    </row>
    <row r="19" spans="2:22" ht="15.75">
      <c r="B19" s="129" t="s">
        <v>167</v>
      </c>
      <c r="C19" s="118">
        <f>Données!L17</f>
        <v>18.2075</v>
      </c>
      <c r="D19" s="119">
        <f>Données!S17</f>
        <v>1</v>
      </c>
      <c r="E19" s="119">
        <f t="shared" si="7"/>
        <v>54</v>
      </c>
      <c r="F19" s="147">
        <v>0.84040000000000004</v>
      </c>
      <c r="G19" s="147">
        <v>0.85799999999999998</v>
      </c>
      <c r="H19" s="119">
        <f t="shared" si="8"/>
        <v>1.7848643503093765E-2</v>
      </c>
      <c r="I19" s="119">
        <f t="shared" si="0"/>
        <v>1.7482517482517484E-2</v>
      </c>
      <c r="J19" s="119">
        <f>Données!W17</f>
        <v>0.91037500000000005</v>
      </c>
      <c r="K19" s="119">
        <f>Données!V17</f>
        <v>0.69188499999999997</v>
      </c>
      <c r="L19" s="119">
        <f t="shared" si="9"/>
        <v>51.005276666666667</v>
      </c>
      <c r="M19" s="119">
        <f>K19/I19</f>
        <v>39.575821999999995</v>
      </c>
      <c r="N19" s="119">
        <f t="shared" si="1"/>
        <v>0.16057503974053733</v>
      </c>
      <c r="O19" s="119">
        <f t="shared" si="5"/>
        <v>8.6485624999999997E-2</v>
      </c>
      <c r="P19" s="119">
        <f t="shared" si="2"/>
        <v>88.88454673158779</v>
      </c>
      <c r="Q19" s="120">
        <f t="shared" si="3"/>
        <v>79.785637806840754</v>
      </c>
      <c r="R19" s="119">
        <f t="shared" si="6"/>
        <v>1.0555555555555555E-5</v>
      </c>
      <c r="S19" s="119">
        <f>$D19*70/3600/1000</f>
        <v>1.9444444444444445E-5</v>
      </c>
      <c r="T19" s="38"/>
      <c r="U19" s="38"/>
      <c r="V19" s="38"/>
    </row>
    <row r="20" spans="2:22">
      <c r="B20" s="128" t="s">
        <v>168</v>
      </c>
      <c r="C20" s="118">
        <f>Données!L18</f>
        <v>21.21</v>
      </c>
      <c r="D20" s="119">
        <f>Données!S18</f>
        <v>3</v>
      </c>
      <c r="E20" s="119">
        <f>54*D20</f>
        <v>162</v>
      </c>
      <c r="F20" s="147">
        <v>0.84040000000000004</v>
      </c>
      <c r="G20" s="147">
        <v>0.85799999999999998</v>
      </c>
      <c r="H20" s="119">
        <f>E20/F20/3600</f>
        <v>5.3545930509281289E-2</v>
      </c>
      <c r="I20" s="119">
        <f>E20/G20/3600</f>
        <v>5.2447552447552455E-2</v>
      </c>
      <c r="J20" s="119">
        <f>Données!W18</f>
        <v>1.0605</v>
      </c>
      <c r="K20" s="119">
        <f>Données!V18</f>
        <v>2.9708606666666668</v>
      </c>
      <c r="L20" s="119">
        <f t="shared" ref="L20:M27" si="11">J20/H20</f>
        <v>19.805426666666669</v>
      </c>
      <c r="M20" s="119">
        <f t="shared" si="10"/>
        <v>56.644410044444442</v>
      </c>
      <c r="N20" s="119">
        <f t="shared" si="1"/>
        <v>0.1870545979896634</v>
      </c>
      <c r="O20" s="119">
        <f t="shared" si="5"/>
        <v>0.37135758333333335</v>
      </c>
      <c r="P20" s="119">
        <f t="shared" si="2"/>
        <v>71.374170384071377</v>
      </c>
      <c r="Q20" s="120">
        <f t="shared" si="3"/>
        <v>85.876805860060983</v>
      </c>
      <c r="R20" s="119">
        <f t="shared" si="6"/>
        <v>3.1666666666666666E-5</v>
      </c>
      <c r="S20" s="119">
        <f>$D20*70/3600/1000</f>
        <v>5.8333333333333333E-5</v>
      </c>
      <c r="T20" s="38"/>
      <c r="U20" s="38"/>
      <c r="V20" s="38"/>
    </row>
    <row r="21" spans="2:22">
      <c r="B21" s="128" t="s">
        <v>169</v>
      </c>
      <c r="C21" s="118">
        <f>Données!L19</f>
        <v>30.02</v>
      </c>
      <c r="D21" s="119">
        <f>Données!S19</f>
        <v>6</v>
      </c>
      <c r="E21" s="119">
        <f t="shared" si="7"/>
        <v>324</v>
      </c>
      <c r="F21" s="147">
        <v>0.84040000000000004</v>
      </c>
      <c r="G21" s="147">
        <v>0.85799999999999998</v>
      </c>
      <c r="H21" s="119">
        <f t="shared" si="8"/>
        <v>0.10709186101856258</v>
      </c>
      <c r="I21" s="119">
        <f t="shared" si="0"/>
        <v>0.10489510489510491</v>
      </c>
      <c r="J21" s="119">
        <f>Données!W19</f>
        <v>1.5009999999999999</v>
      </c>
      <c r="K21" s="119">
        <f>Données!V19</f>
        <v>2.3065333333333333</v>
      </c>
      <c r="L21" s="119">
        <f t="shared" si="11"/>
        <v>14.016004444444444</v>
      </c>
      <c r="M21" s="119">
        <f t="shared" si="10"/>
        <v>21.988951111111106</v>
      </c>
      <c r="N21" s="119">
        <f t="shared" si="1"/>
        <v>0.26475148664072112</v>
      </c>
      <c r="O21" s="119">
        <f t="shared" si="5"/>
        <v>0.28831666666666667</v>
      </c>
      <c r="P21" s="119">
        <f t="shared" si="2"/>
        <v>59.550043560703124</v>
      </c>
      <c r="Q21" s="120">
        <f>100 * (1-I21/O21)</f>
        <v>63.618091833595614</v>
      </c>
      <c r="R21" s="119">
        <f t="shared" si="6"/>
        <v>6.3333333333333332E-5</v>
      </c>
      <c r="S21" s="119">
        <f>$D21*70/3600/1000</f>
        <v>1.1666666666666667E-4</v>
      </c>
      <c r="T21" s="38"/>
      <c r="U21" s="38"/>
      <c r="V21" s="38"/>
    </row>
    <row r="22" spans="2:22">
      <c r="B22" s="128" t="s">
        <v>170</v>
      </c>
      <c r="C22" s="118">
        <f>Données!L20</f>
        <v>52.62</v>
      </c>
      <c r="D22" s="119">
        <f>Données!S20</f>
        <v>26</v>
      </c>
      <c r="E22" s="119">
        <f t="shared" si="7"/>
        <v>1404</v>
      </c>
      <c r="F22" s="147">
        <v>0.84040000000000004</v>
      </c>
      <c r="G22" s="147">
        <v>0.85799999999999998</v>
      </c>
      <c r="H22" s="119">
        <f t="shared" si="8"/>
        <v>0.46406473108043789</v>
      </c>
      <c r="I22" s="119">
        <f t="shared" si="0"/>
        <v>0.45454545454545459</v>
      </c>
      <c r="J22" s="119">
        <f>Données!W20</f>
        <v>2.6309999999999998</v>
      </c>
      <c r="K22" s="119">
        <f>Données!V20</f>
        <v>5.2383177777777776</v>
      </c>
      <c r="L22" s="119">
        <f>J22/H22</f>
        <v>5.6694676923076921</v>
      </c>
      <c r="M22" s="119">
        <f t="shared" si="10"/>
        <v>11.524299111111111</v>
      </c>
      <c r="N22" s="119">
        <f t="shared" si="1"/>
        <v>0.46406473108043789</v>
      </c>
      <c r="O22" s="119">
        <f t="shared" si="5"/>
        <v>0.6547897222222222</v>
      </c>
      <c r="P22" s="130">
        <f>100 * (1-H22/N22)</f>
        <v>0</v>
      </c>
      <c r="Q22" s="120">
        <f t="shared" si="3"/>
        <v>30.581461632778772</v>
      </c>
      <c r="R22" s="119">
        <f t="shared" si="6"/>
        <v>2.7444444444444445E-4</v>
      </c>
      <c r="S22" s="119">
        <f>$D22*58/3600/1000</f>
        <v>4.1888888888888889E-4</v>
      </c>
      <c r="T22" s="38"/>
      <c r="U22" s="38"/>
      <c r="V22" s="38"/>
    </row>
    <row r="23" spans="2:22">
      <c r="B23" s="128" t="s">
        <v>171</v>
      </c>
      <c r="C23" s="118">
        <f>Données!L21</f>
        <v>55.32</v>
      </c>
      <c r="D23" s="119">
        <f>Données!S21</f>
        <v>9</v>
      </c>
      <c r="E23" s="119">
        <f t="shared" si="7"/>
        <v>486</v>
      </c>
      <c r="F23" s="147">
        <v>0.84040000000000004</v>
      </c>
      <c r="G23" s="147">
        <v>0.85799999999999998</v>
      </c>
      <c r="H23" s="119">
        <f t="shared" si="8"/>
        <v>0.16063779152784388</v>
      </c>
      <c r="I23" s="119">
        <f t="shared" si="0"/>
        <v>0.15734265734265734</v>
      </c>
      <c r="J23" s="119">
        <f>Données!W21</f>
        <v>2.766</v>
      </c>
      <c r="K23" s="119">
        <f>Données!V21</f>
        <v>3.1095468060836504</v>
      </c>
      <c r="L23" s="119">
        <f t="shared" si="11"/>
        <v>17.218862222222224</v>
      </c>
      <c r="M23" s="119">
        <f t="shared" si="10"/>
        <v>19.762897478664978</v>
      </c>
      <c r="N23" s="119">
        <f t="shared" si="1"/>
        <v>0.4878764903719085</v>
      </c>
      <c r="O23" s="119">
        <f t="shared" si="5"/>
        <v>0.3886933507604563</v>
      </c>
      <c r="P23" s="119"/>
      <c r="Q23" s="120"/>
      <c r="R23" s="119">
        <f>$D23*38/3600/1000</f>
        <v>9.5000000000000005E-5</v>
      </c>
      <c r="S23" s="119">
        <f t="shared" ref="S23:S29" si="12">$D23*70/3600/1000</f>
        <v>1.75E-4</v>
      </c>
      <c r="T23" s="38"/>
      <c r="U23" s="38"/>
      <c r="V23" s="38"/>
    </row>
    <row r="24" spans="2:22">
      <c r="B24" s="128" t="s">
        <v>172</v>
      </c>
      <c r="C24" s="118">
        <f>Données!L22</f>
        <v>4.7300000000000004</v>
      </c>
      <c r="D24" s="119">
        <f>Données!S22</f>
        <v>1</v>
      </c>
      <c r="E24" s="119">
        <f t="shared" si="7"/>
        <v>54</v>
      </c>
      <c r="F24" s="147">
        <v>0.84040000000000004</v>
      </c>
      <c r="G24" s="147">
        <v>0.85799999999999998</v>
      </c>
      <c r="H24" s="119">
        <f t="shared" si="8"/>
        <v>1.7848643503093765E-2</v>
      </c>
      <c r="I24" s="119">
        <f t="shared" si="0"/>
        <v>1.7482517482517484E-2</v>
      </c>
      <c r="J24" s="119">
        <f>Données!W22</f>
        <v>0.23650000000000002</v>
      </c>
      <c r="K24" s="119">
        <f>Données!V22</f>
        <v>0.29637888888888886</v>
      </c>
      <c r="L24" s="119">
        <f t="shared" si="11"/>
        <v>13.250306666666667</v>
      </c>
      <c r="M24" s="119">
        <f t="shared" si="10"/>
        <v>16.952872444444441</v>
      </c>
      <c r="N24" s="119">
        <f t="shared" si="1"/>
        <v>4.1714674610613289E-2</v>
      </c>
      <c r="O24" s="119">
        <f t="shared" si="5"/>
        <v>3.7047361111111107E-2</v>
      </c>
      <c r="P24" s="119">
        <f t="shared" si="2"/>
        <v>57.2125548869735</v>
      </c>
      <c r="Q24" s="120">
        <f t="shared" si="3"/>
        <v>52.810356910214075</v>
      </c>
      <c r="R24" s="119">
        <f t="shared" si="6"/>
        <v>1.0555555555555555E-5</v>
      </c>
      <c r="S24" s="119">
        <f t="shared" si="12"/>
        <v>1.9444444444444445E-5</v>
      </c>
      <c r="T24" s="38"/>
      <c r="U24" s="38"/>
      <c r="V24" s="38"/>
    </row>
    <row r="25" spans="2:22">
      <c r="B25" s="128" t="s">
        <v>173</v>
      </c>
      <c r="C25" s="118">
        <f>Données!L23</f>
        <v>4.37</v>
      </c>
      <c r="D25" s="119">
        <f>Données!S23</f>
        <v>1</v>
      </c>
      <c r="E25" s="119">
        <f t="shared" si="7"/>
        <v>54</v>
      </c>
      <c r="F25" s="147">
        <v>0.84040000000000004</v>
      </c>
      <c r="G25" s="147">
        <v>0.85799999999999998</v>
      </c>
      <c r="H25" s="119">
        <f t="shared" si="8"/>
        <v>1.7848643503093765E-2</v>
      </c>
      <c r="I25" s="119">
        <f t="shared" si="0"/>
        <v>1.7482517482517484E-2</v>
      </c>
      <c r="J25" s="119">
        <f>Données!W23</f>
        <v>0.2185</v>
      </c>
      <c r="K25" s="119">
        <f>Données!V23</f>
        <v>0.28269888888888889</v>
      </c>
      <c r="L25" s="119">
        <f t="shared" si="11"/>
        <v>12.241826666666666</v>
      </c>
      <c r="M25" s="119">
        <f t="shared" si="11"/>
        <v>16.170376444444443</v>
      </c>
      <c r="N25" s="119">
        <f t="shared" si="1"/>
        <v>3.8539773371750546E-2</v>
      </c>
      <c r="O25" s="119">
        <f t="shared" si="5"/>
        <v>3.5337361111111111E-2</v>
      </c>
      <c r="P25" s="119">
        <f t="shared" si="2"/>
        <v>53.68773103326879</v>
      </c>
      <c r="Q25" s="120">
        <f t="shared" si="3"/>
        <v>50.526816568030419</v>
      </c>
      <c r="R25" s="119">
        <f t="shared" si="6"/>
        <v>1.0555555555555555E-5</v>
      </c>
      <c r="S25" s="119">
        <f t="shared" si="12"/>
        <v>1.9444444444444445E-5</v>
      </c>
      <c r="T25" s="38"/>
      <c r="U25" s="38"/>
      <c r="V25" s="38"/>
    </row>
    <row r="26" spans="2:22">
      <c r="B26" s="128" t="s">
        <v>174</v>
      </c>
      <c r="C26" s="118">
        <f>Données!L24</f>
        <v>17.399999999999999</v>
      </c>
      <c r="D26" s="119">
        <f>Données!S24</f>
        <v>5</v>
      </c>
      <c r="E26" s="119">
        <f t="shared" si="7"/>
        <v>270</v>
      </c>
      <c r="F26" s="147">
        <v>0.84040000000000004</v>
      </c>
      <c r="G26" s="147">
        <v>0.85799999999999998</v>
      </c>
      <c r="H26" s="119">
        <f t="shared" si="8"/>
        <v>8.924321751546882E-2</v>
      </c>
      <c r="I26" s="119">
        <f>E26/G26/3600</f>
        <v>8.7412587412587409E-2</v>
      </c>
      <c r="J26" s="119">
        <f>Données!W24</f>
        <v>0.86999999999999988</v>
      </c>
      <c r="K26" s="119">
        <f>Données!V24</f>
        <v>1.2443944444444441</v>
      </c>
      <c r="L26" s="119">
        <f t="shared" si="11"/>
        <v>9.74864</v>
      </c>
      <c r="M26" s="119">
        <f t="shared" si="11"/>
        <v>14.235872444444441</v>
      </c>
      <c r="N26" s="119">
        <f t="shared" si="1"/>
        <v>0.15345355987836598</v>
      </c>
      <c r="O26" s="119">
        <f t="shared" si="5"/>
        <v>0.15554930555555552</v>
      </c>
      <c r="P26" s="119">
        <f t="shared" si="2"/>
        <v>41.843501326259933</v>
      </c>
      <c r="Q26" s="120">
        <f t="shared" si="3"/>
        <v>43.803935928619495</v>
      </c>
      <c r="R26" s="119">
        <f>$D26*38/3600/1000</f>
        <v>5.2777777777777777E-5</v>
      </c>
      <c r="S26" s="119">
        <f t="shared" si="12"/>
        <v>9.722222222222223E-5</v>
      </c>
      <c r="T26" s="38"/>
      <c r="U26" s="38"/>
      <c r="V26" s="38"/>
    </row>
    <row r="27" spans="2:22">
      <c r="B27" s="128" t="s">
        <v>175</v>
      </c>
      <c r="C27" s="118">
        <f>Données!L25</f>
        <v>12.27</v>
      </c>
      <c r="D27" s="119">
        <f>Données!S25</f>
        <v>5</v>
      </c>
      <c r="E27" s="119">
        <f t="shared" si="7"/>
        <v>270</v>
      </c>
      <c r="F27" s="147">
        <v>0.84040000000000004</v>
      </c>
      <c r="G27" s="147">
        <v>0.85799999999999998</v>
      </c>
      <c r="H27" s="119">
        <f t="shared" si="8"/>
        <v>8.924321751546882E-2</v>
      </c>
      <c r="I27" s="119">
        <f t="shared" ref="I27:I29" si="13">E27/G27/3600</f>
        <v>8.7412587412587409E-2</v>
      </c>
      <c r="J27" s="119">
        <f>Données!W25</f>
        <v>0.61350000000000005</v>
      </c>
      <c r="K27" s="119">
        <f>Données!V25</f>
        <v>1.0494544444444442</v>
      </c>
      <c r="L27" s="119">
        <f t="shared" si="11"/>
        <v>6.8744720000000008</v>
      </c>
      <c r="M27" s="119">
        <f t="shared" si="11"/>
        <v>12.005758844444443</v>
      </c>
      <c r="N27" s="119">
        <f t="shared" si="1"/>
        <v>0.1082112172245719</v>
      </c>
      <c r="O27" s="119">
        <f t="shared" si="5"/>
        <v>0.13118180555555553</v>
      </c>
      <c r="P27" s="119">
        <f t="shared" si="2"/>
        <v>17.528681587361305</v>
      </c>
      <c r="Q27" s="120">
        <f t="shared" si="3"/>
        <v>33.365311567107412</v>
      </c>
      <c r="R27" s="119">
        <f t="shared" si="6"/>
        <v>5.2777777777777777E-5</v>
      </c>
      <c r="S27" s="119">
        <f t="shared" si="12"/>
        <v>9.722222222222223E-5</v>
      </c>
      <c r="T27" s="38"/>
      <c r="U27" s="38"/>
      <c r="V27" s="38"/>
    </row>
    <row r="28" spans="2:22">
      <c r="B28" s="128" t="s">
        <v>176</v>
      </c>
      <c r="C28" s="118">
        <f>Données!L26</f>
        <v>10.89</v>
      </c>
      <c r="D28" s="119">
        <f>Données!S26</f>
        <v>0</v>
      </c>
      <c r="E28" s="119">
        <f t="shared" si="7"/>
        <v>0</v>
      </c>
      <c r="F28" s="147">
        <v>0.84040000000000004</v>
      </c>
      <c r="G28" s="147">
        <v>0.85799999999999998</v>
      </c>
      <c r="H28" s="119">
        <f t="shared" si="8"/>
        <v>0</v>
      </c>
      <c r="I28" s="119">
        <f t="shared" si="13"/>
        <v>0</v>
      </c>
      <c r="J28" s="119">
        <f>Données!W26</f>
        <v>0.54449999999999998</v>
      </c>
      <c r="K28" s="119">
        <f>Données!V26</f>
        <v>0.32669999999999999</v>
      </c>
      <c r="L28" s="121"/>
      <c r="M28" s="121"/>
      <c r="N28" s="119">
        <f t="shared" si="1"/>
        <v>9.6040762475598035E-2</v>
      </c>
      <c r="O28" s="119">
        <f t="shared" si="5"/>
        <v>4.0837499999999999E-2</v>
      </c>
      <c r="P28" s="119">
        <f t="shared" si="2"/>
        <v>100</v>
      </c>
      <c r="Q28" s="120">
        <f t="shared" si="3"/>
        <v>100</v>
      </c>
      <c r="R28" s="119">
        <f t="shared" si="6"/>
        <v>0</v>
      </c>
      <c r="S28" s="136">
        <f t="shared" si="12"/>
        <v>0</v>
      </c>
      <c r="T28" s="38"/>
      <c r="U28" s="38"/>
      <c r="V28" s="38"/>
    </row>
    <row r="29" spans="2:22" ht="15.75" thickBot="1">
      <c r="B29" s="137" t="s">
        <v>177</v>
      </c>
      <c r="C29" s="122">
        <f>Données!L27</f>
        <v>3.5139999999999993</v>
      </c>
      <c r="D29" s="123">
        <f>Données!S27</f>
        <v>0</v>
      </c>
      <c r="E29" s="123">
        <f t="shared" si="7"/>
        <v>0</v>
      </c>
      <c r="F29" s="147">
        <v>0.84040000000000004</v>
      </c>
      <c r="G29" s="147">
        <v>0.85799999999999998</v>
      </c>
      <c r="H29" s="123">
        <f t="shared" si="8"/>
        <v>0</v>
      </c>
      <c r="I29" s="123">
        <f t="shared" si="13"/>
        <v>0</v>
      </c>
      <c r="J29" s="123">
        <f>Données!W27</f>
        <v>0.17569999999999997</v>
      </c>
      <c r="K29" s="123">
        <f>Données!V27</f>
        <v>0.10541999999999997</v>
      </c>
      <c r="L29" s="124"/>
      <c r="M29" s="124"/>
      <c r="N29" s="123">
        <f>J29/O$3</f>
        <v>3.0990563759343566E-2</v>
      </c>
      <c r="O29" s="123">
        <f t="shared" si="5"/>
        <v>1.3177499999999997E-2</v>
      </c>
      <c r="P29" s="123">
        <f t="shared" si="2"/>
        <v>100</v>
      </c>
      <c r="Q29" s="131">
        <f t="shared" si="3"/>
        <v>100</v>
      </c>
      <c r="R29" s="119">
        <f t="shared" si="6"/>
        <v>0</v>
      </c>
      <c r="S29" s="136">
        <f t="shared" si="12"/>
        <v>0</v>
      </c>
      <c r="T29" s="38"/>
      <c r="U29" s="38"/>
      <c r="V29" s="38"/>
    </row>
    <row r="30" spans="2:22" ht="15.75" thickBot="1">
      <c r="B30" s="38"/>
      <c r="C30" s="138"/>
      <c r="D30" s="138"/>
      <c r="E30" s="138">
        <f>SUM(E9:E29)</f>
        <v>5238</v>
      </c>
      <c r="F30" s="138"/>
      <c r="G30" s="138"/>
      <c r="H30" s="138">
        <f>SUM(H9:H29)</f>
        <v>1.7313184198000955</v>
      </c>
      <c r="I30" s="138">
        <f>SUM(I9:I29)</f>
        <v>1.6958041958041961</v>
      </c>
      <c r="J30" s="138"/>
      <c r="K30" s="138"/>
      <c r="L30" s="139">
        <f>MIN(L9:L29)</f>
        <v>5.6694676923076921</v>
      </c>
      <c r="M30" s="140">
        <f>MIN(M9:M29)</f>
        <v>11.524299111111111</v>
      </c>
      <c r="N30" s="169">
        <f>SUM(N9:N29)</f>
        <v>4.0945628278583026</v>
      </c>
      <c r="O30" s="169">
        <f>SUM(O9:O29)</f>
        <v>4.1379927757604564</v>
      </c>
      <c r="P30" s="193" t="s">
        <v>190</v>
      </c>
      <c r="Q30" s="194"/>
      <c r="R30" s="141">
        <f>SUM(R9:R29)</f>
        <v>1.0238888888888889E-3</v>
      </c>
      <c r="S30" s="142">
        <f>SUM(S9:S29)</f>
        <v>1.7527777777777778E-3</v>
      </c>
      <c r="T30" s="38"/>
      <c r="U30" s="38"/>
      <c r="V30" s="38"/>
    </row>
    <row r="31" spans="2:22" ht="15.75" thickBot="1">
      <c r="B31" s="38"/>
      <c r="C31" s="38"/>
      <c r="D31" s="38"/>
      <c r="E31" s="38"/>
      <c r="F31" s="38"/>
      <c r="G31" s="38"/>
      <c r="H31" s="38"/>
      <c r="I31" s="38"/>
      <c r="J31" s="38"/>
      <c r="K31" s="38"/>
      <c r="L31" s="184" t="s">
        <v>178</v>
      </c>
      <c r="M31" s="185"/>
      <c r="N31" s="38"/>
      <c r="O31" s="38"/>
      <c r="P31" s="143">
        <f>MIN(P9:P29)</f>
        <v>0</v>
      </c>
      <c r="Q31" s="143">
        <f>MIN(Q9:Q29)</f>
        <v>30.581461632778772</v>
      </c>
      <c r="R31" s="190" t="s">
        <v>191</v>
      </c>
      <c r="S31" s="191"/>
      <c r="T31" s="38"/>
      <c r="U31" s="38"/>
      <c r="V31" s="38"/>
    </row>
    <row r="32" spans="2:22" ht="15.75" thickBot="1">
      <c r="B32" s="38"/>
      <c r="C32" s="38"/>
      <c r="D32" s="38"/>
      <c r="E32" s="38"/>
      <c r="F32" s="38"/>
      <c r="G32" s="38"/>
      <c r="H32" s="38"/>
      <c r="I32" s="38"/>
      <c r="J32" s="38"/>
      <c r="K32" s="38"/>
      <c r="L32" s="38"/>
      <c r="M32" s="38"/>
      <c r="N32" s="38"/>
      <c r="O32" s="38"/>
      <c r="P32" s="186" t="s">
        <v>189</v>
      </c>
      <c r="Q32" s="192"/>
      <c r="R32" s="145">
        <f>R30/$O5*1000</f>
        <v>0.25006061255737111</v>
      </c>
      <c r="S32" s="146">
        <f>S30/$O6*1000</f>
        <v>0.42358164278226962</v>
      </c>
      <c r="T32" s="38"/>
      <c r="U32" s="38"/>
      <c r="V32" s="38"/>
    </row>
    <row r="33" spans="2:23">
      <c r="B33" s="38"/>
      <c r="C33" s="38"/>
      <c r="D33" s="38"/>
      <c r="E33" s="38"/>
      <c r="F33" s="38"/>
      <c r="G33" s="38"/>
      <c r="H33" s="38"/>
      <c r="I33" s="38"/>
      <c r="J33" s="38"/>
      <c r="K33" s="38"/>
      <c r="L33" s="38"/>
      <c r="M33" s="38"/>
      <c r="N33" s="38"/>
      <c r="O33" s="38"/>
      <c r="P33" s="38"/>
      <c r="Q33" s="38"/>
      <c r="R33" s="38"/>
      <c r="S33" s="38"/>
      <c r="T33" s="38"/>
      <c r="U33" s="38"/>
      <c r="V33" s="38"/>
    </row>
    <row r="34" spans="2:23">
      <c r="B34" s="38"/>
      <c r="C34" s="38"/>
      <c r="D34" s="38"/>
      <c r="E34" s="38"/>
      <c r="F34" s="38"/>
      <c r="G34" s="38"/>
      <c r="H34" s="38"/>
      <c r="I34" s="38"/>
      <c r="J34" s="38"/>
      <c r="K34" s="38"/>
      <c r="L34" s="38"/>
      <c r="M34" s="38"/>
      <c r="N34" s="38"/>
      <c r="O34" s="38"/>
      <c r="P34" s="38"/>
      <c r="Q34" s="38"/>
      <c r="R34" s="38"/>
      <c r="S34" s="38"/>
      <c r="T34" s="38"/>
      <c r="U34" s="38"/>
      <c r="V34" s="38"/>
    </row>
    <row r="35" spans="2:23">
      <c r="B35" s="38"/>
      <c r="C35" s="38"/>
      <c r="D35" s="38"/>
      <c r="E35" s="38"/>
      <c r="F35" s="38"/>
      <c r="G35" s="38"/>
      <c r="H35" s="38"/>
      <c r="I35" s="38"/>
      <c r="J35" s="38"/>
      <c r="K35" s="38"/>
      <c r="L35" s="38"/>
      <c r="M35" s="38"/>
      <c r="N35" s="38"/>
      <c r="O35" s="38"/>
      <c r="P35" s="38"/>
      <c r="Q35" s="38"/>
      <c r="R35" s="38"/>
      <c r="S35" s="38"/>
      <c r="T35" s="38"/>
      <c r="U35" s="38"/>
      <c r="V35" s="38"/>
    </row>
    <row r="36" spans="2:23">
      <c r="B36" s="38"/>
      <c r="C36" s="38"/>
      <c r="D36" s="38"/>
      <c r="E36" s="38"/>
      <c r="F36" s="38"/>
      <c r="G36" s="38"/>
      <c r="H36" s="38"/>
      <c r="I36" s="38"/>
      <c r="J36" s="38"/>
      <c r="K36" s="38"/>
      <c r="L36" s="38"/>
      <c r="M36" s="38"/>
      <c r="N36" s="38"/>
      <c r="O36" s="38"/>
      <c r="P36" s="38"/>
      <c r="Q36" s="38"/>
      <c r="R36" s="38"/>
      <c r="S36" s="38"/>
      <c r="T36" s="38"/>
      <c r="U36" s="38"/>
      <c r="V36" s="38"/>
    </row>
    <row r="37" spans="2:23">
      <c r="B37" s="38"/>
      <c r="C37" s="38"/>
      <c r="D37" s="38"/>
      <c r="E37" s="38"/>
      <c r="F37" s="38"/>
      <c r="G37" s="38"/>
      <c r="H37" s="38"/>
      <c r="I37" s="38"/>
      <c r="J37" s="38"/>
      <c r="K37" s="38"/>
      <c r="L37" s="38"/>
      <c r="M37" s="38"/>
      <c r="N37" s="38"/>
      <c r="O37" s="38"/>
      <c r="P37" s="38"/>
      <c r="Q37" s="38"/>
      <c r="R37" s="38"/>
      <c r="S37" s="38"/>
      <c r="T37" s="38"/>
      <c r="U37" s="38"/>
      <c r="V37" s="38"/>
    </row>
    <row r="38" spans="2:23">
      <c r="B38" s="38"/>
      <c r="C38" s="38"/>
      <c r="D38" s="38"/>
      <c r="E38" s="38"/>
      <c r="F38" s="38"/>
      <c r="G38" s="38"/>
      <c r="H38" s="38"/>
      <c r="I38" s="38"/>
      <c r="J38" s="38"/>
      <c r="K38" s="38"/>
      <c r="L38" s="38"/>
      <c r="M38" s="38"/>
      <c r="N38" s="38"/>
      <c r="O38" s="38"/>
      <c r="P38" s="38"/>
      <c r="Q38" s="38"/>
      <c r="R38" s="38"/>
      <c r="S38" s="38"/>
      <c r="T38" s="38"/>
      <c r="U38" s="38"/>
      <c r="V38" s="38"/>
    </row>
    <row r="39" spans="2:23">
      <c r="B39" s="38"/>
      <c r="C39" s="38"/>
      <c r="D39" s="38"/>
      <c r="E39" s="38"/>
      <c r="F39" s="38"/>
      <c r="G39" s="38"/>
      <c r="H39" s="38"/>
      <c r="I39" s="38"/>
      <c r="J39" s="38"/>
      <c r="K39" s="38"/>
      <c r="L39" s="38"/>
      <c r="M39" s="38"/>
      <c r="N39" s="38"/>
      <c r="O39" s="38"/>
      <c r="P39" s="38"/>
      <c r="Q39" s="38"/>
      <c r="R39" s="38"/>
      <c r="S39" s="38"/>
      <c r="T39" s="38"/>
      <c r="U39" s="38"/>
      <c r="V39" s="38"/>
    </row>
    <row r="40" spans="2:23">
      <c r="B40" s="38"/>
      <c r="C40" s="38"/>
      <c r="D40" s="38"/>
      <c r="E40" s="38"/>
      <c r="F40" s="38"/>
      <c r="G40" s="38"/>
      <c r="H40" s="38"/>
      <c r="I40" s="38"/>
      <c r="J40" s="38"/>
      <c r="K40" s="38"/>
      <c r="L40" s="38"/>
      <c r="M40" s="38"/>
      <c r="N40" s="38"/>
      <c r="O40" s="38"/>
      <c r="P40" s="38"/>
      <c r="Q40" s="38"/>
      <c r="R40" s="38"/>
      <c r="S40" s="38"/>
      <c r="T40" s="38"/>
      <c r="U40" s="38"/>
      <c r="V40" s="38"/>
    </row>
    <row r="41" spans="2:23">
      <c r="B41" s="38"/>
      <c r="C41" s="38">
        <v>54.648000000000003</v>
      </c>
      <c r="D41" s="38">
        <v>82.26</v>
      </c>
      <c r="E41" s="38">
        <v>0</v>
      </c>
      <c r="F41" s="38">
        <v>98.96</v>
      </c>
      <c r="G41" s="38">
        <v>64.87</v>
      </c>
      <c r="H41" s="38">
        <v>65.268000000000001</v>
      </c>
      <c r="I41" s="38">
        <v>65.268000000000001</v>
      </c>
      <c r="J41" s="38">
        <v>239.76</v>
      </c>
      <c r="K41" s="38">
        <v>82.44</v>
      </c>
      <c r="L41" s="38">
        <v>13.032</v>
      </c>
      <c r="M41" s="38">
        <v>32.773499999999999</v>
      </c>
      <c r="N41" s="38">
        <v>38.178000000000004</v>
      </c>
      <c r="O41" s="38">
        <v>108.072</v>
      </c>
      <c r="P41" s="38">
        <v>378.86399999999998</v>
      </c>
      <c r="Q41" s="38">
        <v>99.576000000000008</v>
      </c>
      <c r="R41" s="38">
        <v>25.542000000000002</v>
      </c>
      <c r="S41" s="38">
        <v>23.598000000000003</v>
      </c>
      <c r="T41" s="38">
        <v>93.96</v>
      </c>
      <c r="U41" s="38">
        <v>66.257999999999996</v>
      </c>
      <c r="V41" s="38">
        <v>0</v>
      </c>
      <c r="W41">
        <v>0</v>
      </c>
    </row>
    <row r="42" spans="2:23">
      <c r="B42" s="38"/>
      <c r="C42" s="38"/>
      <c r="D42" s="38"/>
      <c r="E42" s="38"/>
      <c r="F42" s="38"/>
      <c r="G42" s="38"/>
      <c r="H42" s="38"/>
      <c r="I42" s="38"/>
      <c r="J42" s="38"/>
      <c r="K42" s="38"/>
      <c r="L42" s="38"/>
      <c r="M42" s="38"/>
      <c r="N42" s="38"/>
      <c r="O42" s="38"/>
      <c r="P42" s="38"/>
      <c r="Q42" s="38"/>
      <c r="R42" s="38"/>
      <c r="S42" s="38"/>
      <c r="T42" s="38"/>
      <c r="U42" s="38"/>
      <c r="V42" s="38"/>
    </row>
    <row r="43" spans="2:23">
      <c r="B43" s="38"/>
      <c r="C43" s="38"/>
      <c r="D43" s="38"/>
      <c r="E43" s="38"/>
      <c r="F43" s="38"/>
      <c r="G43" s="38"/>
      <c r="H43" s="38"/>
      <c r="I43" s="38"/>
      <c r="J43" s="38"/>
      <c r="K43" s="38"/>
      <c r="L43" s="38"/>
      <c r="M43" s="38"/>
      <c r="N43" s="38"/>
      <c r="O43" s="38"/>
      <c r="P43" s="38"/>
      <c r="Q43" s="38"/>
      <c r="R43" s="38"/>
      <c r="S43" s="38"/>
      <c r="T43" s="38"/>
      <c r="U43" s="38"/>
      <c r="V43" s="38"/>
    </row>
    <row r="44" spans="2:23">
      <c r="B44" s="38"/>
      <c r="C44" s="38"/>
      <c r="D44" s="38"/>
      <c r="E44" s="38"/>
      <c r="F44" s="38"/>
      <c r="G44" s="38"/>
      <c r="H44" s="38"/>
      <c r="I44" s="38"/>
      <c r="J44" s="38"/>
      <c r="K44" s="38"/>
      <c r="L44" s="38"/>
      <c r="M44" s="38"/>
      <c r="N44" s="38"/>
      <c r="O44" s="38"/>
      <c r="P44" s="38"/>
      <c r="Q44" s="38"/>
      <c r="R44" s="38"/>
      <c r="S44" s="38"/>
      <c r="T44" s="38"/>
      <c r="U44" s="38"/>
      <c r="V44" s="38"/>
    </row>
  </sheetData>
  <mergeCells count="11">
    <mergeCell ref="H7:I7"/>
    <mergeCell ref="L7:M7"/>
    <mergeCell ref="N7:O7"/>
    <mergeCell ref="R31:S31"/>
    <mergeCell ref="P32:Q32"/>
    <mergeCell ref="P30:Q30"/>
    <mergeCell ref="P3:P4"/>
    <mergeCell ref="P5:P6"/>
    <mergeCell ref="L31:M31"/>
    <mergeCell ref="T7:U7"/>
    <mergeCell ref="R7:S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7589-D692-4D97-95C9-C5E72B866EA1}">
  <dimension ref="B2:CI81"/>
  <sheetViews>
    <sheetView topLeftCell="A22" zoomScale="87" zoomScaleNormal="87" workbookViewId="0">
      <selection activeCell="E3" sqref="E3"/>
    </sheetView>
  </sheetViews>
  <sheetFormatPr baseColWidth="10" defaultColWidth="10.28515625" defaultRowHeight="15"/>
  <cols>
    <col min="2" max="2" width="24.140625" customWidth="1"/>
    <col min="3" max="3" width="16.28515625" customWidth="1"/>
    <col min="4" max="4" width="12.7109375" customWidth="1"/>
    <col min="5" max="5" width="19.28515625" customWidth="1"/>
    <col min="6" max="6" width="13.140625" customWidth="1"/>
    <col min="7" max="7" width="18" customWidth="1"/>
    <col min="9" max="9" width="13.140625" customWidth="1"/>
    <col min="10" max="10" width="17.28515625" customWidth="1"/>
    <col min="11" max="11" width="12.7109375" customWidth="1"/>
    <col min="12" max="14" width="14.7109375" customWidth="1"/>
    <col min="15" max="15" width="11.28515625" customWidth="1"/>
    <col min="16" max="16" width="13.7109375" customWidth="1"/>
  </cols>
  <sheetData>
    <row r="2" spans="2:87" ht="27" customHeight="1">
      <c r="C2" s="176" t="s">
        <v>72</v>
      </c>
      <c r="D2" s="176"/>
      <c r="E2" s="176"/>
      <c r="F2" s="176"/>
      <c r="G2" s="176"/>
      <c r="H2" s="176"/>
      <c r="I2" s="176"/>
      <c r="J2" s="177" t="s">
        <v>74</v>
      </c>
      <c r="K2" s="177"/>
      <c r="L2" s="177"/>
      <c r="M2" s="177"/>
      <c r="N2" s="177"/>
      <c r="O2" s="177"/>
      <c r="P2" s="177"/>
    </row>
    <row r="3" spans="2:87" s="40" customFormat="1" ht="44.25" customHeight="1">
      <c r="B3" s="36" t="s">
        <v>54</v>
      </c>
      <c r="C3" s="41" t="s">
        <v>84</v>
      </c>
      <c r="D3" s="39" t="s">
        <v>67</v>
      </c>
      <c r="E3" s="41" t="s">
        <v>68</v>
      </c>
      <c r="F3" s="150" t="s">
        <v>192</v>
      </c>
      <c r="G3" s="41" t="s">
        <v>70</v>
      </c>
      <c r="H3" s="41" t="s">
        <v>71</v>
      </c>
      <c r="I3" s="61" t="s">
        <v>83</v>
      </c>
      <c r="J3" s="41" t="s">
        <v>85</v>
      </c>
      <c r="K3" s="150" t="s">
        <v>69</v>
      </c>
      <c r="L3" s="41" t="s">
        <v>75</v>
      </c>
      <c r="M3" s="150" t="s">
        <v>80</v>
      </c>
      <c r="N3" s="41" t="s">
        <v>196</v>
      </c>
      <c r="O3" s="41" t="s">
        <v>82</v>
      </c>
      <c r="P3" s="42" t="s">
        <v>83</v>
      </c>
    </row>
    <row r="4" spans="2:87">
      <c r="B4" s="31" t="s">
        <v>157</v>
      </c>
      <c r="C4" s="5">
        <f>'Ecart de soufflage'!N9</f>
        <v>0.26775000447742486</v>
      </c>
      <c r="D4" s="5">
        <f t="shared" ref="D4:D21" si="0">W$8-W$7</f>
        <v>31.744494399999997</v>
      </c>
      <c r="E4" s="5">
        <f>C4*D4</f>
        <v>8.4995885177335886</v>
      </c>
      <c r="F4" s="5">
        <f>W$11-W$9</f>
        <v>16.600000000000001</v>
      </c>
      <c r="G4" s="5">
        <f>C4*F4</f>
        <v>4.4446500743252528</v>
      </c>
      <c r="H4" s="5">
        <f>V$9-V$8</f>
        <v>5.6</v>
      </c>
      <c r="I4" s="5">
        <f t="shared" ref="I4:I21" si="1">C4*H4*3.6</f>
        <v>5.3978400902648849</v>
      </c>
      <c r="J4" s="5">
        <f>'Ecart de soufflage'!O9</f>
        <v>0.169430625</v>
      </c>
      <c r="K4" s="5">
        <f t="shared" ref="K4:K21" si="2">W$19-W$17</f>
        <v>3.1728382358395777</v>
      </c>
      <c r="L4" s="5">
        <f t="shared" ref="L4:L21" si="3">J4*K4</f>
        <v>0.53757596532219709</v>
      </c>
      <c r="M4" s="5">
        <f t="shared" ref="M4:M21" si="4">W$17-W$16</f>
        <v>-31.472838235839575</v>
      </c>
      <c r="N4" s="5">
        <f>J4*M4</f>
        <v>-5.3324626528221968</v>
      </c>
      <c r="O4" s="5">
        <f t="shared" ref="O4:O24" si="5">V$16-V$17</f>
        <v>5.0999999999999996</v>
      </c>
      <c r="P4" s="5">
        <f>J4*O4*3.6</f>
        <v>3.1107462749999999</v>
      </c>
      <c r="T4" s="47"/>
    </row>
    <row r="5" spans="2:87">
      <c r="B5" s="31" t="s">
        <v>158</v>
      </c>
      <c r="C5" s="5">
        <f>'Ecart de soufflage'!N10</f>
        <v>0.20151803696670481</v>
      </c>
      <c r="D5" s="5">
        <f t="shared" si="0"/>
        <v>31.744494399999997</v>
      </c>
      <c r="E5" s="5">
        <f t="shared" ref="E5:E21" si="6">C5*D5</f>
        <v>6.3970881959885535</v>
      </c>
      <c r="F5" s="5">
        <f t="shared" ref="F5:F21" si="7">W$11-W$9</f>
        <v>16.600000000000001</v>
      </c>
      <c r="G5" s="5">
        <f t="shared" ref="G5:G21" si="8">C5*F5</f>
        <v>3.3451994136473</v>
      </c>
      <c r="H5" s="5">
        <f t="shared" ref="H5:H21" si="9">V$9-V$8</f>
        <v>5.6</v>
      </c>
      <c r="I5" s="5">
        <f t="shared" si="1"/>
        <v>4.0626036252487685</v>
      </c>
      <c r="J5" s="5">
        <f>'Ecart de soufflage'!O10</f>
        <v>0.26734275277777775</v>
      </c>
      <c r="K5" s="5">
        <f t="shared" si="2"/>
        <v>3.1728382358395777</v>
      </c>
      <c r="L5" s="5">
        <f t="shared" si="3"/>
        <v>0.84823530808794068</v>
      </c>
      <c r="M5" s="5">
        <f t="shared" si="4"/>
        <v>-31.472838235839575</v>
      </c>
      <c r="N5" s="5">
        <f t="shared" ref="N5:N24" si="10">J5*M5</f>
        <v>-8.4140352116990496</v>
      </c>
      <c r="O5" s="5">
        <f t="shared" si="5"/>
        <v>5.0999999999999996</v>
      </c>
      <c r="P5" s="5">
        <f t="shared" ref="P5:P21" si="11">J5*O5*3.6</f>
        <v>4.908412940999999</v>
      </c>
      <c r="S5" s="81" t="s">
        <v>115</v>
      </c>
      <c r="T5" s="178" t="s">
        <v>7</v>
      </c>
      <c r="U5" s="178"/>
      <c r="V5" s="178"/>
      <c r="W5" s="178"/>
      <c r="X5" s="178"/>
      <c r="Y5" s="178"/>
      <c r="Z5" s="178"/>
      <c r="AA5" s="178"/>
    </row>
    <row r="6" spans="2:87">
      <c r="B6" s="31" t="s">
        <v>159</v>
      </c>
      <c r="C6" s="5">
        <f>'Ecart de soufflage'!N11</f>
        <v>0.1094459010396852</v>
      </c>
      <c r="D6" s="5">
        <f t="shared" si="0"/>
        <v>31.744494399999997</v>
      </c>
      <c r="E6" s="5">
        <f t="shared" si="6"/>
        <v>3.4743047926572408</v>
      </c>
      <c r="F6" s="5">
        <f t="shared" si="7"/>
        <v>16.600000000000001</v>
      </c>
      <c r="G6" s="5">
        <f t="shared" si="8"/>
        <v>1.8168019572587744</v>
      </c>
      <c r="H6" s="5">
        <f t="shared" si="9"/>
        <v>5.6</v>
      </c>
      <c r="I6" s="5">
        <f t="shared" si="1"/>
        <v>2.2064293649600533</v>
      </c>
      <c r="J6" s="5">
        <f>'Ecart de soufflage'!O11</f>
        <v>6.1053499999999997E-2</v>
      </c>
      <c r="K6" s="5">
        <f t="shared" si="2"/>
        <v>3.1728382358395777</v>
      </c>
      <c r="L6" s="5">
        <f t="shared" si="3"/>
        <v>0.19371287923183164</v>
      </c>
      <c r="M6" s="5">
        <f t="shared" si="4"/>
        <v>-31.472838235839575</v>
      </c>
      <c r="N6" s="5">
        <f t="shared" si="10"/>
        <v>-1.9215269292318313</v>
      </c>
      <c r="O6" s="5">
        <f t="shared" si="5"/>
        <v>5.0999999999999996</v>
      </c>
      <c r="P6" s="5">
        <f t="shared" si="11"/>
        <v>1.1209422599999999</v>
      </c>
      <c r="T6" s="14"/>
      <c r="U6" s="18" t="s">
        <v>10</v>
      </c>
      <c r="V6" s="18" t="s">
        <v>11</v>
      </c>
      <c r="W6" s="18" t="s">
        <v>12</v>
      </c>
      <c r="X6" s="18" t="s">
        <v>13</v>
      </c>
      <c r="Y6" s="18" t="s">
        <v>14</v>
      </c>
      <c r="Z6" s="46" t="s">
        <v>15</v>
      </c>
      <c r="AA6" s="46" t="s">
        <v>16</v>
      </c>
      <c r="BP6" s="40"/>
      <c r="BQ6" s="40"/>
      <c r="BR6" s="40"/>
      <c r="BS6" s="40"/>
      <c r="BT6" s="40"/>
      <c r="BU6" s="40"/>
      <c r="BV6" s="40"/>
      <c r="BW6" s="40"/>
      <c r="BX6" s="40"/>
      <c r="BY6" s="40"/>
      <c r="BZ6" s="40"/>
      <c r="CA6" s="40"/>
      <c r="CB6" s="40"/>
      <c r="CC6" s="40"/>
      <c r="CD6" s="40"/>
      <c r="CE6" s="40"/>
      <c r="CF6" s="40"/>
      <c r="CG6" s="40"/>
      <c r="CH6" s="40"/>
      <c r="CI6" s="40"/>
    </row>
    <row r="7" spans="2:87">
      <c r="B7" s="31" t="s">
        <v>160</v>
      </c>
      <c r="C7" s="5">
        <f>'Ecart de soufflage'!N12</f>
        <v>0.24242918718970466</v>
      </c>
      <c r="D7" s="5">
        <f t="shared" si="0"/>
        <v>31.744494399999997</v>
      </c>
      <c r="E7" s="5">
        <f t="shared" si="6"/>
        <v>7.6957919751401302</v>
      </c>
      <c r="F7" s="5">
        <f t="shared" si="7"/>
        <v>16.600000000000001</v>
      </c>
      <c r="G7" s="5">
        <f t="shared" si="8"/>
        <v>4.0243245073490979</v>
      </c>
      <c r="H7" s="5">
        <f t="shared" si="9"/>
        <v>5.6</v>
      </c>
      <c r="I7" s="5">
        <f t="shared" si="1"/>
        <v>4.8873724137444459</v>
      </c>
      <c r="J7" s="5">
        <f>'Ecart de soufflage'!O12</f>
        <v>0.27987666111111109</v>
      </c>
      <c r="K7" s="5">
        <f t="shared" si="2"/>
        <v>3.1728382358395777</v>
      </c>
      <c r="L7" s="5">
        <f t="shared" si="3"/>
        <v>0.88800337169244903</v>
      </c>
      <c r="M7" s="5">
        <f t="shared" si="4"/>
        <v>-31.472838235839575</v>
      </c>
      <c r="N7" s="5">
        <f t="shared" si="10"/>
        <v>-8.8085128811368918</v>
      </c>
      <c r="O7" s="5">
        <f t="shared" si="5"/>
        <v>5.0999999999999996</v>
      </c>
      <c r="P7" s="5">
        <f t="shared" si="11"/>
        <v>5.1385354979999995</v>
      </c>
      <c r="T7" s="2" t="s">
        <v>19</v>
      </c>
      <c r="U7" s="27">
        <v>-8</v>
      </c>
      <c r="V7" s="21">
        <v>1.7</v>
      </c>
      <c r="W7" s="21">
        <f>1.009*(U7)+V7/1000*(2501.6+1.854*(U7))</f>
        <v>-3.8444943999999994</v>
      </c>
      <c r="X7" s="27">
        <v>90</v>
      </c>
      <c r="Y7" s="21">
        <f>(U7+273.15)*287.05/101325</f>
        <v>0.75116020231926961</v>
      </c>
      <c r="Z7" s="21">
        <f>(X7/100)*AA7</f>
        <v>278.96016200898111</v>
      </c>
      <c r="AA7" s="21">
        <f>4.689*(1.486+(U7)/100)^12.3</f>
        <v>309.95573556553455</v>
      </c>
      <c r="BQ7" s="47"/>
    </row>
    <row r="8" spans="2:87">
      <c r="B8" s="31" t="s">
        <v>161</v>
      </c>
      <c r="C8" s="5">
        <f>'Ecart de soufflage'!N13</f>
        <v>0.15891654580634745</v>
      </c>
      <c r="D8" s="5">
        <f t="shared" si="0"/>
        <v>31.744494399999997</v>
      </c>
      <c r="E8" s="5">
        <f t="shared" si="6"/>
        <v>5.04472539841694</v>
      </c>
      <c r="F8" s="5">
        <f t="shared" si="7"/>
        <v>16.600000000000001</v>
      </c>
      <c r="G8" s="5">
        <f t="shared" si="8"/>
        <v>2.6380146603853678</v>
      </c>
      <c r="H8" s="5">
        <f t="shared" si="9"/>
        <v>5.6</v>
      </c>
      <c r="I8" s="5">
        <f t="shared" si="1"/>
        <v>3.2037575634559645</v>
      </c>
      <c r="J8" s="5">
        <f>'Ecart de soufflage'!O13</f>
        <v>0.17090749999999999</v>
      </c>
      <c r="K8" s="5">
        <f t="shared" si="2"/>
        <v>3.1728382358395777</v>
      </c>
      <c r="L8" s="5">
        <f t="shared" si="3"/>
        <v>0.5422618507917526</v>
      </c>
      <c r="M8" s="5">
        <f t="shared" si="4"/>
        <v>-31.472838235839575</v>
      </c>
      <c r="N8" s="5">
        <f t="shared" si="10"/>
        <v>-5.3789441007917516</v>
      </c>
      <c r="O8" s="5">
        <f t="shared" si="5"/>
        <v>5.0999999999999996</v>
      </c>
      <c r="P8" s="5">
        <f t="shared" si="11"/>
        <v>3.1378616999999998</v>
      </c>
      <c r="T8" s="2">
        <v>1</v>
      </c>
      <c r="U8" s="21">
        <f>23.5</f>
        <v>23.5</v>
      </c>
      <c r="V8" s="21">
        <f>1.7</f>
        <v>1.7</v>
      </c>
      <c r="W8" s="21">
        <f>W9</f>
        <v>27.9</v>
      </c>
      <c r="X8" s="21">
        <f>Z8/AA8*100</f>
        <v>9.5419095357821888</v>
      </c>
      <c r="Y8" s="21">
        <f>(U8+273.15)*287.05/101325</f>
        <v>0.8403985442881815</v>
      </c>
      <c r="Z8" s="21">
        <f>(V8*101325)/(622+V8)</f>
        <v>276.17845117845116</v>
      </c>
      <c r="AA8" s="21">
        <f>288.68*(1.098+(U8)/100)^8.02</f>
        <v>2894.3729778906531</v>
      </c>
      <c r="BP8" s="81" t="s">
        <v>115</v>
      </c>
      <c r="BQ8" s="178" t="s">
        <v>7</v>
      </c>
      <c r="BR8" s="178"/>
      <c r="BS8" s="178"/>
      <c r="BT8" s="178"/>
      <c r="BU8" s="178"/>
      <c r="BV8" s="178"/>
      <c r="BW8" s="178"/>
      <c r="BX8" s="178"/>
    </row>
    <row r="9" spans="2:87">
      <c r="B9" s="31" t="s">
        <v>162</v>
      </c>
      <c r="C9" s="5">
        <f>'Ecart de soufflage'!N14</f>
        <v>0.15989155405717101</v>
      </c>
      <c r="D9" s="5">
        <f t="shared" si="0"/>
        <v>31.744494399999997</v>
      </c>
      <c r="E9" s="5">
        <f t="shared" si="6"/>
        <v>5.0756765423751622</v>
      </c>
      <c r="F9" s="5">
        <f t="shared" si="7"/>
        <v>16.600000000000001</v>
      </c>
      <c r="G9" s="5">
        <f t="shared" si="8"/>
        <v>2.654199797349039</v>
      </c>
      <c r="H9" s="5">
        <f t="shared" si="9"/>
        <v>5.6</v>
      </c>
      <c r="I9" s="5">
        <f t="shared" si="1"/>
        <v>3.2234137297925676</v>
      </c>
      <c r="J9" s="5">
        <f>'Ecart de soufflage'!O14</f>
        <v>0.17132208333333332</v>
      </c>
      <c r="K9" s="5">
        <f t="shared" si="2"/>
        <v>3.1728382358395777</v>
      </c>
      <c r="L9" s="5">
        <f t="shared" si="3"/>
        <v>0.54357725664369438</v>
      </c>
      <c r="M9" s="5">
        <f t="shared" si="4"/>
        <v>-31.472838235839575</v>
      </c>
      <c r="N9" s="5">
        <f t="shared" si="10"/>
        <v>-5.3919922149770265</v>
      </c>
      <c r="O9" s="5">
        <f t="shared" si="5"/>
        <v>5.0999999999999996</v>
      </c>
      <c r="P9" s="5">
        <f t="shared" si="11"/>
        <v>3.1454734499999994</v>
      </c>
      <c r="T9" s="2">
        <v>2</v>
      </c>
      <c r="U9" s="21">
        <f>9.4</f>
        <v>9.4</v>
      </c>
      <c r="V9" s="21">
        <f>7.3</f>
        <v>7.3</v>
      </c>
      <c r="W9" s="21">
        <f>27.9</f>
        <v>27.9</v>
      </c>
      <c r="X9" s="21">
        <v>100</v>
      </c>
      <c r="Y9" s="21">
        <f>(U9+273.15)*287.05/101325</f>
        <v>0.80045376264495427</v>
      </c>
      <c r="Z9" s="21">
        <f>(V9*101325)/(622+V9)</f>
        <v>1175.3893214682982</v>
      </c>
      <c r="AA9" s="21">
        <f>Z9</f>
        <v>1175.3893214682982</v>
      </c>
      <c r="AC9" s="17">
        <f>Z11-Z7</f>
        <v>896.42915945931713</v>
      </c>
      <c r="BQ9" s="14"/>
      <c r="BR9" s="18" t="s">
        <v>10</v>
      </c>
      <c r="BS9" s="18" t="s">
        <v>11</v>
      </c>
      <c r="BT9" s="18" t="s">
        <v>12</v>
      </c>
      <c r="BU9" s="18" t="s">
        <v>13</v>
      </c>
      <c r="BV9" s="18" t="s">
        <v>14</v>
      </c>
      <c r="BW9" s="46" t="s">
        <v>15</v>
      </c>
      <c r="BX9" s="46" t="s">
        <v>16</v>
      </c>
    </row>
    <row r="10" spans="2:87">
      <c r="B10" s="31" t="s">
        <v>163</v>
      </c>
      <c r="C10" s="5">
        <f>'Ecart de soufflage'!N15</f>
        <v>0.15989155405717101</v>
      </c>
      <c r="D10" s="5">
        <f t="shared" si="0"/>
        <v>31.744494399999997</v>
      </c>
      <c r="E10" s="5">
        <f t="shared" si="6"/>
        <v>5.0756765423751622</v>
      </c>
      <c r="F10" s="5">
        <f t="shared" si="7"/>
        <v>16.600000000000001</v>
      </c>
      <c r="G10" s="5">
        <f t="shared" si="8"/>
        <v>2.654199797349039</v>
      </c>
      <c r="H10" s="5">
        <f t="shared" si="9"/>
        <v>5.6</v>
      </c>
      <c r="I10" s="5">
        <f t="shared" si="1"/>
        <v>3.2234137297925676</v>
      </c>
      <c r="J10" s="5">
        <f>'Ecart de soufflage'!O15</f>
        <v>0.17588208333333333</v>
      </c>
      <c r="K10" s="5">
        <f t="shared" si="2"/>
        <v>3.1728382358395777</v>
      </c>
      <c r="L10" s="5">
        <f t="shared" si="3"/>
        <v>0.55804539899912287</v>
      </c>
      <c r="M10" s="5">
        <f t="shared" si="4"/>
        <v>-31.472838235839575</v>
      </c>
      <c r="N10" s="5">
        <f t="shared" si="10"/>
        <v>-5.5355083573324553</v>
      </c>
      <c r="O10" s="5">
        <f t="shared" si="5"/>
        <v>5.0999999999999996</v>
      </c>
      <c r="P10" s="5">
        <f t="shared" si="11"/>
        <v>3.22919505</v>
      </c>
      <c r="T10" s="2" t="s">
        <v>24</v>
      </c>
      <c r="U10" s="27">
        <v>20</v>
      </c>
      <c r="V10" s="21">
        <f>7.3</f>
        <v>7.3</v>
      </c>
      <c r="W10" s="21">
        <f>38.5</f>
        <v>38.5</v>
      </c>
      <c r="X10" s="27">
        <v>50</v>
      </c>
      <c r="Y10" s="21">
        <f>0.84</f>
        <v>0.84</v>
      </c>
      <c r="Z10" s="21">
        <f>X10/100*AA10</f>
        <v>1169.0948153478178</v>
      </c>
      <c r="AA10" s="21">
        <f>288.68*(1.098+(U10)/100)^8.02</f>
        <v>2338.1896306956355</v>
      </c>
      <c r="BQ10" s="2" t="s">
        <v>19</v>
      </c>
      <c r="BR10" s="27">
        <v>-8</v>
      </c>
      <c r="BS10" s="21">
        <f>622*BW10/(101325-BW10)</f>
        <v>1.7171699261819977</v>
      </c>
      <c r="BT10" s="21">
        <f>1.009*(BR10)+BS10/1000*(2501.6+1.854*(BR10))</f>
        <v>-3.8017967770082448</v>
      </c>
      <c r="BU10" s="27">
        <v>90</v>
      </c>
      <c r="BV10" s="21">
        <f>(BR10+273.15)*287.05/101325</f>
        <v>0.75116020231926961</v>
      </c>
      <c r="BW10" s="21">
        <f>(BU10/100)*BX10</f>
        <v>278.96016200898111</v>
      </c>
      <c r="BX10" s="21">
        <f>4.689*(1.486+(BR10)/100)^12.3</f>
        <v>309.95573556553455</v>
      </c>
    </row>
    <row r="11" spans="2:87">
      <c r="B11" s="31" t="s">
        <v>164</v>
      </c>
      <c r="C11" s="5">
        <f>'Ecart de soufflage'!N16</f>
        <v>0.2936783645948039</v>
      </c>
      <c r="D11" s="5">
        <f t="shared" si="0"/>
        <v>31.744494399999997</v>
      </c>
      <c r="E11" s="5">
        <f t="shared" si="6"/>
        <v>9.3226712002809098</v>
      </c>
      <c r="F11" s="5">
        <f t="shared" si="7"/>
        <v>16.600000000000001</v>
      </c>
      <c r="G11" s="5">
        <f t="shared" si="8"/>
        <v>4.8750608522737453</v>
      </c>
      <c r="H11" s="5">
        <f t="shared" si="9"/>
        <v>5.6</v>
      </c>
      <c r="I11" s="5">
        <f t="shared" si="1"/>
        <v>5.9205558302312458</v>
      </c>
      <c r="J11" s="5">
        <f>'Ecart de soufflage'!O16</f>
        <v>0.3828507888888889</v>
      </c>
      <c r="K11" s="5">
        <f t="shared" si="2"/>
        <v>3.1728382358395777</v>
      </c>
      <c r="L11" s="5">
        <f t="shared" si="3"/>
        <v>1.2147236216080128</v>
      </c>
      <c r="M11" s="5">
        <f t="shared" si="4"/>
        <v>-31.472838235839575</v>
      </c>
      <c r="N11" s="5">
        <f t="shared" si="10"/>
        <v>-12.049400947163567</v>
      </c>
      <c r="O11" s="5">
        <f t="shared" si="5"/>
        <v>5.0999999999999996</v>
      </c>
      <c r="P11" s="5">
        <f t="shared" si="11"/>
        <v>7.029140484</v>
      </c>
      <c r="T11" s="2" t="s">
        <v>27</v>
      </c>
      <c r="U11" s="21">
        <f>25.7</f>
        <v>25.7</v>
      </c>
      <c r="V11" s="21">
        <f>7.3</f>
        <v>7.3</v>
      </c>
      <c r="W11" s="21">
        <f>44.5</f>
        <v>44.5</v>
      </c>
      <c r="X11" s="21">
        <f>35.6</f>
        <v>35.6</v>
      </c>
      <c r="Y11" s="43">
        <f>0.857</f>
        <v>0.85699999999999998</v>
      </c>
      <c r="Z11" s="21">
        <f>(V11*101325)/(622+V11)</f>
        <v>1175.3893214682982</v>
      </c>
      <c r="AA11" s="21">
        <f>288.68*(1.098+(U11)/100)^8.02</f>
        <v>3300.4248181568419</v>
      </c>
      <c r="BQ11" s="2">
        <v>1</v>
      </c>
      <c r="BR11" s="21">
        <f>(BT11-2501.6*BS11/1000)/(1.009+1.854*BS11/1000)</f>
        <v>23.046947301921861</v>
      </c>
      <c r="BS11" s="21">
        <f>BS10</f>
        <v>1.7171699261819977</v>
      </c>
      <c r="BT11" s="21">
        <f>BT12</f>
        <v>27.623415137949976</v>
      </c>
      <c r="BU11" s="21">
        <f>BW11/BX11*100</f>
        <v>9.9048026076516074</v>
      </c>
      <c r="BV11" s="21">
        <f>(BR11+273.15)*287.05/101325</f>
        <v>0.83911506265005342</v>
      </c>
      <c r="BW11" s="21">
        <f>(BS11*101325)/(622+BS11)</f>
        <v>278.96016200898106</v>
      </c>
      <c r="BX11" s="21">
        <f>288.68*(1.098+(BR11)/100)^8.02</f>
        <v>2816.4131387482689</v>
      </c>
    </row>
    <row r="12" spans="2:87">
      <c r="B12" s="31" t="s">
        <v>165</v>
      </c>
      <c r="C12" s="5">
        <f>'Ecart de soufflage'!N17</f>
        <v>0.40391799094420477</v>
      </c>
      <c r="D12" s="5">
        <f t="shared" si="0"/>
        <v>31.744494399999997</v>
      </c>
      <c r="E12" s="5">
        <f t="shared" si="6"/>
        <v>12.822172401587558</v>
      </c>
      <c r="F12" s="5">
        <f t="shared" si="7"/>
        <v>16.600000000000001</v>
      </c>
      <c r="G12" s="5">
        <f t="shared" si="8"/>
        <v>6.7050386496738001</v>
      </c>
      <c r="H12" s="5">
        <f t="shared" si="9"/>
        <v>5.6</v>
      </c>
      <c r="I12" s="5">
        <f t="shared" si="1"/>
        <v>8.1429866974351679</v>
      </c>
      <c r="J12" s="5">
        <f>'Ecart de soufflage'!O17</f>
        <v>0.22081249999999999</v>
      </c>
      <c r="K12" s="5">
        <f t="shared" si="2"/>
        <v>3.1728382358395777</v>
      </c>
      <c r="L12" s="5">
        <f t="shared" si="3"/>
        <v>0.70060234295132673</v>
      </c>
      <c r="M12" s="5">
        <f t="shared" si="4"/>
        <v>-31.472838235839575</v>
      </c>
      <c r="N12" s="5">
        <f t="shared" si="10"/>
        <v>-6.9495960929513263</v>
      </c>
      <c r="O12" s="5">
        <f t="shared" si="5"/>
        <v>5.0999999999999996</v>
      </c>
      <c r="P12" s="5">
        <f t="shared" si="11"/>
        <v>4.0541175000000003</v>
      </c>
      <c r="BQ12" s="2">
        <v>3</v>
      </c>
      <c r="BR12" s="21">
        <f>((BX12/288.68)^(1/8.02)-1.098)*100</f>
        <v>9.2528455778507777</v>
      </c>
      <c r="BS12" s="21">
        <f>BS13</f>
        <v>7.2604503329652372</v>
      </c>
      <c r="BT12" s="21">
        <f>1.009*(BR12)+BS12/1000*(2501.6+1.854*(BR12))</f>
        <v>27.623415137949976</v>
      </c>
      <c r="BU12" s="21">
        <v>100</v>
      </c>
      <c r="BV12" s="21">
        <f>(BR12+273.15)*287.05/101325</f>
        <v>0.80003687957682768</v>
      </c>
      <c r="BW12" s="21">
        <f>(BS12*101325)/(622+BS12)</f>
        <v>1169.094815347818</v>
      </c>
      <c r="BX12" s="21">
        <f>BW12</f>
        <v>1169.094815347818</v>
      </c>
    </row>
    <row r="13" spans="2:87">
      <c r="B13" s="31" t="s">
        <v>166</v>
      </c>
      <c r="C13" s="5">
        <f>'Ecart de soufflage'!N18</f>
        <v>6.3850791581572988E-2</v>
      </c>
      <c r="D13" s="5">
        <f t="shared" si="0"/>
        <v>31.744494399999997</v>
      </c>
      <c r="E13" s="5">
        <f t="shared" si="6"/>
        <v>2.0269110957968106</v>
      </c>
      <c r="F13" s="5">
        <f t="shared" si="7"/>
        <v>16.600000000000001</v>
      </c>
      <c r="G13" s="5">
        <f t="shared" si="8"/>
        <v>1.0599231402541116</v>
      </c>
      <c r="H13" s="5">
        <f t="shared" si="9"/>
        <v>5.6</v>
      </c>
      <c r="I13" s="5">
        <f t="shared" si="1"/>
        <v>1.2872319582845115</v>
      </c>
      <c r="J13" s="5">
        <f>'Ecart de soufflage'!O18</f>
        <v>3.5740500000000001E-2</v>
      </c>
      <c r="K13" s="5">
        <f t="shared" si="2"/>
        <v>3.1728382358395777</v>
      </c>
      <c r="L13" s="5">
        <f t="shared" si="3"/>
        <v>0.11339882496802443</v>
      </c>
      <c r="M13" s="5">
        <f t="shared" si="4"/>
        <v>-31.472838235839575</v>
      </c>
      <c r="N13" s="5">
        <f t="shared" si="10"/>
        <v>-1.1248549749680243</v>
      </c>
      <c r="O13" s="5">
        <f t="shared" si="5"/>
        <v>5.0999999999999996</v>
      </c>
      <c r="P13" s="5">
        <f t="shared" si="11"/>
        <v>0.65619558</v>
      </c>
      <c r="BQ13" s="2" t="s">
        <v>24</v>
      </c>
      <c r="BR13" s="27">
        <v>20</v>
      </c>
      <c r="BS13" s="21">
        <f>622*BW13/(101325-BW13)</f>
        <v>7.2604503329652372</v>
      </c>
      <c r="BT13" s="21">
        <f>1.009*(BR13)+BS13/1000*(2501.6+1.854*(BR13))</f>
        <v>38.611960051292186</v>
      </c>
      <c r="BU13" s="27">
        <v>50</v>
      </c>
      <c r="BV13" s="21">
        <f>(BR13+273.15)*287.05/101325</f>
        <v>0.83048317295830254</v>
      </c>
      <c r="BW13" s="21">
        <f>BU13/100*BX13</f>
        <v>1169.0948153478178</v>
      </c>
      <c r="BX13" s="21">
        <f>288.68*(1.098+(BR13)/100)^8.02</f>
        <v>2338.1896306956355</v>
      </c>
    </row>
    <row r="14" spans="2:87" ht="15.75">
      <c r="B14" s="104" t="s">
        <v>167</v>
      </c>
      <c r="C14" s="5">
        <f>'Ecart de soufflage'!N19</f>
        <v>0.16057503974053733</v>
      </c>
      <c r="D14" s="5">
        <f t="shared" si="0"/>
        <v>31.744494399999997</v>
      </c>
      <c r="E14" s="5">
        <f t="shared" si="6"/>
        <v>5.0973734498232641</v>
      </c>
      <c r="F14" s="5">
        <f t="shared" si="7"/>
        <v>16.600000000000001</v>
      </c>
      <c r="G14" s="5">
        <f t="shared" si="8"/>
        <v>2.6655456596929197</v>
      </c>
      <c r="H14" s="5">
        <f t="shared" si="9"/>
        <v>5.6</v>
      </c>
      <c r="I14" s="5">
        <f t="shared" si="1"/>
        <v>3.2371928011692321</v>
      </c>
      <c r="J14" s="5">
        <f>'Ecart de soufflage'!O19</f>
        <v>8.6485624999999997E-2</v>
      </c>
      <c r="K14" s="5">
        <f t="shared" si="2"/>
        <v>3.1728382358395777</v>
      </c>
      <c r="L14" s="5">
        <f t="shared" si="3"/>
        <v>0.27440489785048328</v>
      </c>
      <c r="M14" s="5">
        <f t="shared" si="4"/>
        <v>-31.472838235839575</v>
      </c>
      <c r="N14" s="5">
        <f t="shared" si="10"/>
        <v>-2.7219480853504829</v>
      </c>
      <c r="O14" s="5">
        <f t="shared" si="5"/>
        <v>5.0999999999999996</v>
      </c>
      <c r="P14" s="5">
        <f t="shared" si="11"/>
        <v>1.5878760749999998</v>
      </c>
      <c r="T14" s="173" t="s">
        <v>38</v>
      </c>
      <c r="U14" s="174"/>
      <c r="V14" s="174"/>
      <c r="W14" s="174"/>
      <c r="X14" s="174"/>
      <c r="Y14" s="174"/>
      <c r="Z14" s="174"/>
      <c r="AA14" s="175"/>
      <c r="BQ14" s="2" t="s">
        <v>27</v>
      </c>
      <c r="BR14" s="21">
        <f>BR13+'Ecart de soufflage'!$O$3</f>
        <v>25.669467692307691</v>
      </c>
      <c r="BS14" s="21">
        <f>BS13</f>
        <v>7.2604503329652372</v>
      </c>
      <c r="BT14" s="21">
        <f>1.009*(BR14)+BS14/1000*(2501.6+1.854*(BR14))</f>
        <v>44.408768948284575</v>
      </c>
      <c r="BU14" s="21">
        <f>BW14/BX14*100</f>
        <v>35.486634620546518</v>
      </c>
      <c r="BV14" s="21">
        <f>(BR14+273.15)*287.05/101325</f>
        <v>0.84654456650458343</v>
      </c>
      <c r="BW14" s="21">
        <f>(BS14*101325)/(622+BS14)</f>
        <v>1169.094815347818</v>
      </c>
      <c r="BX14" s="21">
        <f>288.68*(1.098+(BR14)/100)^8.02</f>
        <v>3294.4651637124252</v>
      </c>
    </row>
    <row r="15" spans="2:87">
      <c r="B15" s="31" t="s">
        <v>168</v>
      </c>
      <c r="C15" s="5">
        <f>'Ecart de soufflage'!N20</f>
        <v>0.1870545979896634</v>
      </c>
      <c r="D15" s="5">
        <f t="shared" si="0"/>
        <v>31.744494399999997</v>
      </c>
      <c r="E15" s="5">
        <f t="shared" si="6"/>
        <v>5.9379536383771203</v>
      </c>
      <c r="F15" s="5">
        <f t="shared" si="7"/>
        <v>16.600000000000001</v>
      </c>
      <c r="G15" s="5">
        <f t="shared" si="8"/>
        <v>3.1051063266284125</v>
      </c>
      <c r="H15" s="5">
        <f t="shared" si="9"/>
        <v>5.6</v>
      </c>
      <c r="I15" s="5">
        <f t="shared" si="1"/>
        <v>3.7710206954716137</v>
      </c>
      <c r="J15" s="5">
        <f>'Ecart de soufflage'!O20</f>
        <v>0.37135758333333335</v>
      </c>
      <c r="K15" s="5">
        <f t="shared" si="2"/>
        <v>3.1728382358395777</v>
      </c>
      <c r="L15" s="5">
        <f t="shared" si="3"/>
        <v>1.1782575395689823</v>
      </c>
      <c r="M15" s="5">
        <f t="shared" si="4"/>
        <v>-31.472838235839575</v>
      </c>
      <c r="N15" s="5">
        <f t="shared" si="10"/>
        <v>-11.687677147902315</v>
      </c>
      <c r="O15" s="5">
        <f t="shared" si="5"/>
        <v>5.0999999999999996</v>
      </c>
      <c r="P15" s="5">
        <f t="shared" si="11"/>
        <v>6.8181252299999997</v>
      </c>
      <c r="T15" s="1"/>
      <c r="U15" s="3" t="s">
        <v>10</v>
      </c>
      <c r="V15" s="3" t="s">
        <v>11</v>
      </c>
      <c r="W15" s="3" t="s">
        <v>12</v>
      </c>
      <c r="X15" s="3" t="s">
        <v>13</v>
      </c>
      <c r="Y15" s="3" t="s">
        <v>14</v>
      </c>
      <c r="Z15" s="28" t="s">
        <v>15</v>
      </c>
      <c r="AA15" s="28" t="s">
        <v>16</v>
      </c>
    </row>
    <row r="16" spans="2:87">
      <c r="B16" s="31" t="s">
        <v>169</v>
      </c>
      <c r="C16" s="5">
        <f>'Ecart de soufflage'!N21</f>
        <v>0.26475148664072112</v>
      </c>
      <c r="D16" s="5">
        <f t="shared" si="0"/>
        <v>31.744494399999997</v>
      </c>
      <c r="E16" s="5">
        <f t="shared" si="6"/>
        <v>8.4044020850580452</v>
      </c>
      <c r="F16" s="5">
        <f t="shared" si="7"/>
        <v>16.600000000000001</v>
      </c>
      <c r="G16" s="5">
        <f t="shared" si="8"/>
        <v>4.3948746782359711</v>
      </c>
      <c r="H16" s="5">
        <f t="shared" si="9"/>
        <v>5.6</v>
      </c>
      <c r="I16" s="5">
        <f t="shared" si="1"/>
        <v>5.3373899706769379</v>
      </c>
      <c r="J16" s="5">
        <f>'Ecart de soufflage'!O21</f>
        <v>0.28831666666666667</v>
      </c>
      <c r="K16" s="5">
        <f t="shared" si="2"/>
        <v>3.1728382358395777</v>
      </c>
      <c r="L16" s="5">
        <f t="shared" si="3"/>
        <v>0.91478214402981428</v>
      </c>
      <c r="M16" s="5">
        <f t="shared" si="4"/>
        <v>-31.472838235839575</v>
      </c>
      <c r="N16" s="5">
        <f t="shared" si="10"/>
        <v>-9.07414381069648</v>
      </c>
      <c r="O16" s="5">
        <f t="shared" si="5"/>
        <v>5.0999999999999996</v>
      </c>
      <c r="P16" s="5">
        <f t="shared" si="11"/>
        <v>5.293493999999999</v>
      </c>
      <c r="T16" s="2" t="s">
        <v>19</v>
      </c>
      <c r="U16" s="27">
        <v>32</v>
      </c>
      <c r="V16" s="21">
        <f>15</f>
        <v>15</v>
      </c>
      <c r="W16" s="21">
        <f>70.5</f>
        <v>70.5</v>
      </c>
      <c r="X16" s="27">
        <v>50</v>
      </c>
      <c r="Y16" s="21">
        <f>0.89</f>
        <v>0.89</v>
      </c>
      <c r="Z16" s="21">
        <f>(X16/100)*AA16</f>
        <v>2375.9104754400132</v>
      </c>
      <c r="AA16" s="21">
        <f>288.68*(1.098+(U16)/100)^8.02</f>
        <v>4751.8209508800264</v>
      </c>
    </row>
    <row r="17" spans="2:86">
      <c r="B17" s="31" t="s">
        <v>170</v>
      </c>
      <c r="C17" s="5">
        <f>'Ecart de soufflage'!N22</f>
        <v>0.46406473108043789</v>
      </c>
      <c r="D17" s="5">
        <f t="shared" si="0"/>
        <v>31.744494399999997</v>
      </c>
      <c r="E17" s="5">
        <f t="shared" si="6"/>
        <v>14.731500257020466</v>
      </c>
      <c r="F17" s="5">
        <f t="shared" si="7"/>
        <v>16.600000000000001</v>
      </c>
      <c r="G17" s="5">
        <f t="shared" si="8"/>
        <v>7.7034745359352694</v>
      </c>
      <c r="H17" s="5">
        <f t="shared" si="9"/>
        <v>5.6</v>
      </c>
      <c r="I17" s="5">
        <f t="shared" si="1"/>
        <v>9.3555449785816265</v>
      </c>
      <c r="J17" s="5">
        <f>'Ecart de soufflage'!O22</f>
        <v>0.6547897222222222</v>
      </c>
      <c r="K17" s="5">
        <f t="shared" si="2"/>
        <v>3.1728382358395777</v>
      </c>
      <c r="L17" s="5">
        <f t="shared" si="3"/>
        <v>2.0775418671014427</v>
      </c>
      <c r="M17" s="5">
        <f t="shared" si="4"/>
        <v>-31.472838235839575</v>
      </c>
      <c r="N17" s="5">
        <f t="shared" si="10"/>
        <v>-20.608091005990328</v>
      </c>
      <c r="O17" s="5">
        <f t="shared" si="5"/>
        <v>5.0999999999999996</v>
      </c>
      <c r="P17" s="5">
        <f t="shared" si="11"/>
        <v>12.021939299999998</v>
      </c>
      <c r="T17" s="22">
        <v>3</v>
      </c>
      <c r="U17" s="21">
        <f>((AA17/288.68)^(1/8.02)-1.098)*100</f>
        <v>13.881596251343421</v>
      </c>
      <c r="V17" s="21">
        <f>V18</f>
        <v>9.9</v>
      </c>
      <c r="W17" s="21">
        <f>1.009*(U17)+V17/1000*(2501.6+1.854*(U17))</f>
        <v>39.027161764160425</v>
      </c>
      <c r="X17" s="21">
        <v>100</v>
      </c>
      <c r="Y17" s="21">
        <f>0.83</f>
        <v>0.83</v>
      </c>
      <c r="Z17" s="21">
        <f>(V17*101325)/(622+V17)</f>
        <v>1587.4624149390727</v>
      </c>
      <c r="AA17" s="21">
        <f>Z17</f>
        <v>1587.4624149390727</v>
      </c>
      <c r="BQ17" s="173" t="s">
        <v>38</v>
      </c>
      <c r="BR17" s="174"/>
      <c r="BS17" s="174"/>
      <c r="BT17" s="174"/>
      <c r="BU17" s="174"/>
      <c r="BV17" s="174"/>
      <c r="BW17" s="174"/>
      <c r="BX17" s="175"/>
      <c r="BZ17" s="81" t="s">
        <v>115</v>
      </c>
      <c r="CA17" s="173" t="s">
        <v>86</v>
      </c>
      <c r="CB17" s="174"/>
      <c r="CC17" s="174"/>
      <c r="CD17" s="174"/>
      <c r="CE17" s="174"/>
      <c r="CF17" s="174"/>
      <c r="CG17" s="174"/>
      <c r="CH17" s="175"/>
    </row>
    <row r="18" spans="2:86">
      <c r="B18" s="31" t="s">
        <v>171</v>
      </c>
      <c r="C18" s="5">
        <f>'Ecart de soufflage'!N23</f>
        <v>0.4878764903719085</v>
      </c>
      <c r="D18" s="5">
        <f t="shared" si="0"/>
        <v>31.744494399999997</v>
      </c>
      <c r="E18" s="5">
        <f t="shared" si="6"/>
        <v>15.487392516502702</v>
      </c>
      <c r="F18" s="5">
        <f t="shared" si="7"/>
        <v>16.600000000000001</v>
      </c>
      <c r="G18" s="5">
        <f t="shared" si="8"/>
        <v>8.0987497401736821</v>
      </c>
      <c r="H18" s="5">
        <f t="shared" si="9"/>
        <v>5.6</v>
      </c>
      <c r="I18" s="5">
        <f t="shared" si="1"/>
        <v>9.8355900458976748</v>
      </c>
      <c r="J18" s="5">
        <f>'Ecart de soufflage'!O23</f>
        <v>0.3886933507604563</v>
      </c>
      <c r="K18" s="5">
        <f t="shared" si="2"/>
        <v>3.1728382358395777</v>
      </c>
      <c r="L18" s="5">
        <f t="shared" si="3"/>
        <v>1.2332611253093804</v>
      </c>
      <c r="M18" s="5">
        <f t="shared" si="4"/>
        <v>-31.472838235839575</v>
      </c>
      <c r="N18" s="5">
        <f t="shared" si="10"/>
        <v>-12.233282951830292</v>
      </c>
      <c r="O18" s="5">
        <f t="shared" si="5"/>
        <v>5.0999999999999996</v>
      </c>
      <c r="P18" s="5">
        <f t="shared" si="11"/>
        <v>7.1364099199619773</v>
      </c>
      <c r="T18" s="2" t="s">
        <v>24</v>
      </c>
      <c r="U18" s="27">
        <v>25</v>
      </c>
      <c r="V18" s="21">
        <f>9.9</f>
        <v>9.9</v>
      </c>
      <c r="W18" s="21">
        <f>50.3</f>
        <v>50.3</v>
      </c>
      <c r="X18" s="27">
        <v>50</v>
      </c>
      <c r="Y18" s="21">
        <f>0.86</f>
        <v>0.86</v>
      </c>
      <c r="Z18" s="21">
        <f>X18/100*AA18</f>
        <v>1583.0682413301295</v>
      </c>
      <c r="AA18" s="21">
        <f>288.68*(1.098+(U18)/100)^8.02</f>
        <v>3166.1364826602589</v>
      </c>
      <c r="AC18" s="17">
        <f>Z19-Z16</f>
        <v>-788.44806050094053</v>
      </c>
      <c r="BQ18" s="1"/>
      <c r="BR18" s="3" t="s">
        <v>10</v>
      </c>
      <c r="BS18" s="3" t="s">
        <v>11</v>
      </c>
      <c r="BT18" s="3" t="s">
        <v>12</v>
      </c>
      <c r="BU18" s="3" t="s">
        <v>13</v>
      </c>
      <c r="BV18" s="3" t="s">
        <v>14</v>
      </c>
      <c r="BW18" s="28" t="s">
        <v>15</v>
      </c>
      <c r="BX18" s="28" t="s">
        <v>16</v>
      </c>
      <c r="CA18" s="1"/>
      <c r="CB18" s="3" t="s">
        <v>10</v>
      </c>
      <c r="CC18" s="3" t="s">
        <v>11</v>
      </c>
      <c r="CD18" s="3" t="s">
        <v>12</v>
      </c>
      <c r="CE18" s="3" t="s">
        <v>13</v>
      </c>
      <c r="CF18" s="3" t="s">
        <v>14</v>
      </c>
      <c r="CG18" s="28" t="s">
        <v>15</v>
      </c>
      <c r="CH18" s="28" t="s">
        <v>16</v>
      </c>
    </row>
    <row r="19" spans="2:86">
      <c r="B19" s="31" t="s">
        <v>172</v>
      </c>
      <c r="C19" s="5">
        <f>'Ecart de soufflage'!N24</f>
        <v>4.1714674610613289E-2</v>
      </c>
      <c r="D19" s="5">
        <f t="shared" si="0"/>
        <v>31.744494399999997</v>
      </c>
      <c r="E19" s="5">
        <f t="shared" si="6"/>
        <v>1.3242112545744356</v>
      </c>
      <c r="F19" s="5">
        <f t="shared" si="7"/>
        <v>16.600000000000001</v>
      </c>
      <c r="G19" s="5">
        <f t="shared" si="8"/>
        <v>0.69246359853618067</v>
      </c>
      <c r="H19" s="5">
        <f t="shared" si="9"/>
        <v>5.6</v>
      </c>
      <c r="I19" s="5">
        <f t="shared" si="1"/>
        <v>0.84096784014996384</v>
      </c>
      <c r="J19" s="5">
        <f>'Ecart de soufflage'!O24</f>
        <v>3.7047361111111107E-2</v>
      </c>
      <c r="K19" s="5">
        <f t="shared" si="2"/>
        <v>3.1728382358395777</v>
      </c>
      <c r="L19" s="5">
        <f t="shared" si="3"/>
        <v>0.11754528387028955</v>
      </c>
      <c r="M19" s="5">
        <f t="shared" si="4"/>
        <v>-31.472838235839575</v>
      </c>
      <c r="N19" s="5">
        <f t="shared" si="10"/>
        <v>-1.1659856033147338</v>
      </c>
      <c r="O19" s="5">
        <f t="shared" si="5"/>
        <v>5.0999999999999996</v>
      </c>
      <c r="P19" s="5">
        <f t="shared" si="11"/>
        <v>0.68018954999999992</v>
      </c>
      <c r="T19" s="9" t="s">
        <v>27</v>
      </c>
      <c r="U19" s="21">
        <f>U18-'Ecart de soufflage'!$O$4</f>
        <v>17</v>
      </c>
      <c r="V19" s="21">
        <f>9.9</f>
        <v>9.9</v>
      </c>
      <c r="W19" s="21">
        <f>42.2</f>
        <v>42.2</v>
      </c>
      <c r="X19" s="21">
        <f>81.9</f>
        <v>81.900000000000006</v>
      </c>
      <c r="Y19" s="21">
        <f>0.835</f>
        <v>0.83499999999999996</v>
      </c>
      <c r="Z19" s="21">
        <f>(V19*101325)/(622+V19)</f>
        <v>1587.4624149390727</v>
      </c>
      <c r="AA19" s="21">
        <f>288.68*(1.098+(U19)/100)^8.02</f>
        <v>1938.3540681060183</v>
      </c>
      <c r="BQ19" s="2" t="s">
        <v>19</v>
      </c>
      <c r="BR19" s="27">
        <v>32</v>
      </c>
      <c r="BS19" s="21">
        <f>622*BW19/(101325-BW19)</f>
        <v>14.935117875509929</v>
      </c>
      <c r="BT19" s="21">
        <f>1.009*(BR19)+BS19/1000*(2501.6+1.854*(BR19))</f>
        <v>70.535761550693891</v>
      </c>
      <c r="BU19" s="27">
        <v>50</v>
      </c>
      <c r="BV19" s="21">
        <f>(BR19+273.15)*287.05/101325</f>
        <v>0.86447873180360224</v>
      </c>
      <c r="BW19" s="21">
        <f>(BU19/100)*BX19</f>
        <v>2375.9104754400132</v>
      </c>
      <c r="BX19" s="21">
        <f>288.68*(1.098+(BR19)/100)^8.02</f>
        <v>4751.8209508800264</v>
      </c>
      <c r="CA19" s="2" t="s">
        <v>19</v>
      </c>
      <c r="CB19" s="27">
        <v>32</v>
      </c>
      <c r="CC19" s="21">
        <f>622*CG19/(101325-CG19)</f>
        <v>14.935117875509929</v>
      </c>
      <c r="CD19" s="21">
        <f>1.009*(CB19)+CC19/1000*(2501.6+1.854*(CB19))</f>
        <v>70.535761550693891</v>
      </c>
      <c r="CE19" s="27">
        <v>50</v>
      </c>
      <c r="CF19" s="21">
        <f>(CB19+273.15)*287.05/101325</f>
        <v>0.86447873180360224</v>
      </c>
      <c r="CG19" s="21">
        <f>(CE19/100)*CH19</f>
        <v>2375.9104754400132</v>
      </c>
      <c r="CH19" s="21">
        <f>288.68*(1.098+(CB19)/100)^8.02</f>
        <v>4751.8209508800264</v>
      </c>
    </row>
    <row r="20" spans="2:86">
      <c r="B20" s="31" t="s">
        <v>173</v>
      </c>
      <c r="C20" s="5">
        <f>'Ecart de soufflage'!N25</f>
        <v>3.8539773371750546E-2</v>
      </c>
      <c r="D20" s="5">
        <f t="shared" si="0"/>
        <v>31.744494399999997</v>
      </c>
      <c r="E20" s="5">
        <f t="shared" si="6"/>
        <v>1.2234256199768043</v>
      </c>
      <c r="F20" s="5">
        <f t="shared" si="7"/>
        <v>16.600000000000001</v>
      </c>
      <c r="G20" s="5">
        <f t="shared" si="8"/>
        <v>0.63976023797105908</v>
      </c>
      <c r="H20" s="5">
        <f t="shared" si="9"/>
        <v>5.6</v>
      </c>
      <c r="I20" s="5">
        <f t="shared" si="1"/>
        <v>0.77696183117449091</v>
      </c>
      <c r="J20" s="5">
        <f>'Ecart de soufflage'!O25</f>
        <v>3.5337361111111111E-2</v>
      </c>
      <c r="K20" s="5">
        <f t="shared" si="2"/>
        <v>3.1728382358395777</v>
      </c>
      <c r="L20" s="5">
        <f t="shared" si="3"/>
        <v>0.11211973048700388</v>
      </c>
      <c r="M20" s="5">
        <f t="shared" si="4"/>
        <v>-31.472838235839575</v>
      </c>
      <c r="N20" s="5">
        <f t="shared" si="10"/>
        <v>-1.1121670499314482</v>
      </c>
      <c r="O20" s="5">
        <f t="shared" si="5"/>
        <v>5.0999999999999996</v>
      </c>
      <c r="P20" s="5">
        <f t="shared" si="11"/>
        <v>0.64879394999999995</v>
      </c>
      <c r="BQ20" s="22">
        <v>3</v>
      </c>
      <c r="BR20" s="21">
        <f>((BX20/288.68)^(1/8.02)-1.098)*100</f>
        <v>13.838856578538405</v>
      </c>
      <c r="BS20" s="21">
        <f>BS21</f>
        <v>9.872161374313368</v>
      </c>
      <c r="BT20" s="21">
        <f>1.009*(BR20)+BS20/1000*(2501.6+1.854*(BR20))</f>
        <v>38.912897596380809</v>
      </c>
      <c r="BU20" s="21">
        <v>100</v>
      </c>
      <c r="BV20" s="21">
        <f>(BR20+273.15)*287.05/101325</f>
        <v>0.81302888014675012</v>
      </c>
      <c r="BW20" s="21">
        <f>(BS20*101325)/(622+BS20)</f>
        <v>1583.0682413301295</v>
      </c>
      <c r="BX20" s="21">
        <f>BW20</f>
        <v>1583.0682413301295</v>
      </c>
      <c r="CA20" s="22" t="s">
        <v>96</v>
      </c>
      <c r="CB20" s="21">
        <f>(CD20-2501.6*CC20/1000)/(1.009+1.854*CC20/1000)</f>
        <v>29.87279045557332</v>
      </c>
      <c r="CC20" s="21">
        <f>'Ecart de soufflage'!$S$3/100*CC22+(1-'Ecart de soufflage'!$S$3/100)*CC19</f>
        <v>13.386791775612224</v>
      </c>
      <c r="CD20" s="21">
        <f>'Ecart de soufflage'!$S$3/100*CD22+(1-'Ecart de soufflage'!$S$3/100)*CD19</f>
        <v>64.371460006180087</v>
      </c>
      <c r="CE20" s="44">
        <f>CG20/CH20*100</f>
        <v>50.715595213046541</v>
      </c>
      <c r="CF20" s="21">
        <f>(CB20+273.15)*287.05/101325</f>
        <v>0.85845242536661537</v>
      </c>
      <c r="CG20" s="21">
        <f>(CC20*101325)/(622+CC20)</f>
        <v>2134.7889100328184</v>
      </c>
      <c r="CH20" s="21">
        <f>288.68*(1.098+(CB20)/100)^8.02</f>
        <v>4209.3342315415557</v>
      </c>
    </row>
    <row r="21" spans="2:86">
      <c r="B21" s="31" t="s">
        <v>174</v>
      </c>
      <c r="C21" s="5">
        <f>'Ecart de soufflage'!N26</f>
        <v>0.15345355987836598</v>
      </c>
      <c r="D21" s="5">
        <f t="shared" si="0"/>
        <v>31.744494399999997</v>
      </c>
      <c r="E21" s="5">
        <f t="shared" si="6"/>
        <v>4.8713056722188535</v>
      </c>
      <c r="F21" s="5">
        <f t="shared" si="7"/>
        <v>16.600000000000001</v>
      </c>
      <c r="G21" s="5">
        <f t="shared" si="8"/>
        <v>2.5473290939808755</v>
      </c>
      <c r="H21" s="5">
        <f t="shared" si="9"/>
        <v>5.6</v>
      </c>
      <c r="I21" s="5">
        <f t="shared" si="1"/>
        <v>3.0936237671478581</v>
      </c>
      <c r="J21" s="5">
        <f>'Ecart de soufflage'!O26</f>
        <v>0.15554930555555552</v>
      </c>
      <c r="K21" s="5">
        <f t="shared" si="2"/>
        <v>3.1728382358395777</v>
      </c>
      <c r="L21" s="5">
        <f t="shared" si="3"/>
        <v>0.49353278422496016</v>
      </c>
      <c r="M21" s="5">
        <f t="shared" si="4"/>
        <v>-31.472838235839575</v>
      </c>
      <c r="N21" s="5">
        <f t="shared" si="10"/>
        <v>-4.8955781314471807</v>
      </c>
      <c r="O21" s="5">
        <f t="shared" si="5"/>
        <v>5.0999999999999996</v>
      </c>
      <c r="P21" s="5">
        <f t="shared" si="11"/>
        <v>2.8558852499999992</v>
      </c>
      <c r="BQ21" s="2" t="s">
        <v>24</v>
      </c>
      <c r="BR21" s="27">
        <v>25</v>
      </c>
      <c r="BS21" s="21">
        <f>622*BW21/(101325-BW21)</f>
        <v>9.872161374313368</v>
      </c>
      <c r="BT21" s="21">
        <f>1.009*(BR21)+BS21/1000*(2501.6+1.854*(BR21))</f>
        <v>50.378773573681741</v>
      </c>
      <c r="BU21" s="27">
        <v>50</v>
      </c>
      <c r="BV21" s="21">
        <f>(BR21+273.15)*287.05/101325</f>
        <v>0.84464798914384409</v>
      </c>
      <c r="BW21" s="21">
        <f>BU21/100*BX21</f>
        <v>1583.0682413301295</v>
      </c>
      <c r="BX21" s="21">
        <f>288.68*(1.098+(BR21)/100)^8.02</f>
        <v>3166.1364826602589</v>
      </c>
      <c r="CA21" s="22">
        <v>1</v>
      </c>
      <c r="CB21" s="21">
        <f>((CH21/288.68)^(1/8.02)-1.098)*100</f>
        <v>13.838856578538405</v>
      </c>
      <c r="CC21" s="21">
        <f>CC22</f>
        <v>9.872161374313368</v>
      </c>
      <c r="CD21" s="21">
        <f>1.009*(CB21)+CC21/1000*(2501.6+1.854*(CB21))</f>
        <v>38.912897596380809</v>
      </c>
      <c r="CE21" s="21">
        <v>100</v>
      </c>
      <c r="CF21" s="21">
        <f>(CB21+273.15)*287.05/101325</f>
        <v>0.81302888014675012</v>
      </c>
      <c r="CG21" s="21">
        <f>(CC21*101325)/(622+CC21)</f>
        <v>1583.0682413301295</v>
      </c>
      <c r="CH21" s="21">
        <f>CG21</f>
        <v>1583.0682413301295</v>
      </c>
    </row>
    <row r="22" spans="2:86">
      <c r="B22" s="31" t="s">
        <v>175</v>
      </c>
      <c r="C22" s="5">
        <f>'Ecart de soufflage'!N27</f>
        <v>0.1082112172245719</v>
      </c>
      <c r="D22" s="5">
        <f t="shared" ref="D22:D24" si="12">W$8-W$7</f>
        <v>31.744494399999997</v>
      </c>
      <c r="E22" s="5">
        <f t="shared" ref="E22:E24" si="13">C22*D22</f>
        <v>3.4351103792026061</v>
      </c>
      <c r="F22" s="5">
        <f t="shared" ref="F22:F24" si="14">W$11-W$9</f>
        <v>16.600000000000001</v>
      </c>
      <c r="G22" s="5">
        <f t="shared" ref="G22:G24" si="15">C22*F22</f>
        <v>1.7963062059278938</v>
      </c>
      <c r="H22" s="5">
        <f t="shared" ref="H22:H24" si="16">V$9-V$8</f>
        <v>5.6</v>
      </c>
      <c r="I22" s="5">
        <f t="shared" ref="I22:I24" si="17">C22*H22*3.6</f>
        <v>2.1815381392473698</v>
      </c>
      <c r="J22" s="5">
        <f>'Ecart de soufflage'!O27</f>
        <v>0.13118180555555553</v>
      </c>
      <c r="K22" s="5">
        <f t="shared" ref="K22:K24" si="18">W$19-W$17</f>
        <v>3.1728382358395777</v>
      </c>
      <c r="L22" s="5">
        <f t="shared" ref="L22:L24" si="19">J22*K22</f>
        <v>0.41621864851313933</v>
      </c>
      <c r="M22" s="5">
        <f t="shared" ref="M22:M24" si="20">W$17-W$16</f>
        <v>-31.472838235839575</v>
      </c>
      <c r="N22" s="5">
        <f t="shared" si="10"/>
        <v>-4.1286637457353601</v>
      </c>
      <c r="O22" s="5">
        <f t="shared" si="5"/>
        <v>5.0999999999999996</v>
      </c>
      <c r="P22" s="5">
        <f t="shared" ref="P22:P24" si="21">J22*O22*3.6</f>
        <v>2.4084979499999997</v>
      </c>
      <c r="BQ22" s="9" t="s">
        <v>27</v>
      </c>
      <c r="BR22" s="21">
        <f>BR21-'Ecart de soufflage'!$O$4</f>
        <v>17</v>
      </c>
      <c r="BS22" s="21">
        <f>BS21</f>
        <v>9.872161374313368</v>
      </c>
      <c r="BT22" s="21">
        <f>1.009*(BR22)+BS22/1000*(2501.6+1.854*(BR22))</f>
        <v>42.16034967617793</v>
      </c>
      <c r="BU22" s="21">
        <f>BW22/BX22*100</f>
        <v>81.670746711252733</v>
      </c>
      <c r="BV22" s="21">
        <f>(BR22+273.15)*287.05/101325</f>
        <v>0.82198428324697748</v>
      </c>
      <c r="BW22" s="21">
        <f>(BS22*101325)/(622+BS22)</f>
        <v>1583.0682413301295</v>
      </c>
      <c r="BX22" s="21">
        <f>288.68*(1.098+(BR22)/100)^8.02</f>
        <v>1938.3540681060183</v>
      </c>
      <c r="CA22" s="2" t="s">
        <v>24</v>
      </c>
      <c r="CB22" s="27">
        <v>25</v>
      </c>
      <c r="CC22" s="21">
        <f>622*CG22/(101325-CG22)</f>
        <v>9.872161374313368</v>
      </c>
      <c r="CD22" s="21">
        <f>1.009*(CB22)+CC22/1000*(2501.6+1.854*(CB22))</f>
        <v>50.378773573681741</v>
      </c>
      <c r="CE22" s="27">
        <v>50</v>
      </c>
      <c r="CF22" s="21">
        <f>(CB22+273.15)*287.05/101325</f>
        <v>0.84464798914384409</v>
      </c>
      <c r="CG22" s="21">
        <f>CE22/100*CH22</f>
        <v>1583.0682413301295</v>
      </c>
      <c r="CH22" s="21">
        <f>288.68*(1.098+(CB22)/100)^8.02</f>
        <v>3166.1364826602589</v>
      </c>
    </row>
    <row r="23" spans="2:86">
      <c r="B23" s="31" t="s">
        <v>176</v>
      </c>
      <c r="C23" s="5">
        <f>'Ecart de soufflage'!N28</f>
        <v>9.6040762475598035E-2</v>
      </c>
      <c r="D23" s="5">
        <f t="shared" si="12"/>
        <v>31.744494399999997</v>
      </c>
      <c r="E23" s="5">
        <f t="shared" si="13"/>
        <v>3.0487654465783516</v>
      </c>
      <c r="F23" s="5">
        <f t="shared" si="14"/>
        <v>16.600000000000001</v>
      </c>
      <c r="G23" s="5">
        <f t="shared" si="15"/>
        <v>1.5942766570949276</v>
      </c>
      <c r="H23" s="5">
        <f t="shared" si="16"/>
        <v>5.6</v>
      </c>
      <c r="I23" s="5">
        <f t="shared" si="17"/>
        <v>1.9361817715080563</v>
      </c>
      <c r="J23" s="5">
        <f>'Ecart de soufflage'!O28</f>
        <v>4.0837499999999999E-2</v>
      </c>
      <c r="K23" s="5">
        <f t="shared" si="18"/>
        <v>3.1728382358395777</v>
      </c>
      <c r="L23" s="5">
        <f t="shared" si="19"/>
        <v>0.12957078145609874</v>
      </c>
      <c r="M23" s="5">
        <f t="shared" si="20"/>
        <v>-31.472838235839575</v>
      </c>
      <c r="N23" s="5">
        <f t="shared" si="10"/>
        <v>-1.2852720314560986</v>
      </c>
      <c r="O23" s="5">
        <f t="shared" si="5"/>
        <v>5.0999999999999996</v>
      </c>
      <c r="P23" s="5">
        <f t="shared" si="21"/>
        <v>0.74977649999999996</v>
      </c>
      <c r="CA23" s="9" t="s">
        <v>27</v>
      </c>
      <c r="CB23" s="21">
        <f>CB22-'Ecart de soufflage'!$O$4</f>
        <v>17</v>
      </c>
      <c r="CC23" s="21">
        <f>CC22</f>
        <v>9.872161374313368</v>
      </c>
      <c r="CD23" s="21">
        <f>1.009*(CB23)+CC23/1000*(2501.6+1.854*(CB23))</f>
        <v>42.16034967617793</v>
      </c>
      <c r="CE23" s="21">
        <f>CG23/CH23*100</f>
        <v>81.670746711252733</v>
      </c>
      <c r="CF23" s="21">
        <f>(CB23+273.15)*287.05/101325</f>
        <v>0.82198428324697748</v>
      </c>
      <c r="CG23" s="21">
        <f>(CC23*101325)/(622+CC23)</f>
        <v>1583.0682413301295</v>
      </c>
      <c r="CH23" s="21">
        <f>288.68*(1.098+(CB23)/100)^8.02</f>
        <v>1938.3540681060183</v>
      </c>
    </row>
    <row r="24" spans="2:86" ht="14.65" customHeight="1">
      <c r="B24" s="32" t="s">
        <v>177</v>
      </c>
      <c r="C24" s="5">
        <f>'Ecart de soufflage'!N29</f>
        <v>3.0990563759343566E-2</v>
      </c>
      <c r="D24" s="5">
        <f t="shared" si="12"/>
        <v>31.744494399999997</v>
      </c>
      <c r="E24" s="5">
        <f t="shared" si="13"/>
        <v>0.98377977771132463</v>
      </c>
      <c r="F24" s="5">
        <f t="shared" si="14"/>
        <v>16.600000000000001</v>
      </c>
      <c r="G24" s="5">
        <f t="shared" si="15"/>
        <v>0.51444335840510325</v>
      </c>
      <c r="H24" s="5">
        <f t="shared" si="16"/>
        <v>5.6</v>
      </c>
      <c r="I24" s="5">
        <f t="shared" si="17"/>
        <v>0.62476976538836626</v>
      </c>
      <c r="J24" s="5">
        <f>'Ecart de soufflage'!O29</f>
        <v>1.3177499999999997E-2</v>
      </c>
      <c r="K24" s="5">
        <f t="shared" si="18"/>
        <v>3.1728382358395777</v>
      </c>
      <c r="L24" s="5">
        <f t="shared" si="19"/>
        <v>4.1810075852776026E-2</v>
      </c>
      <c r="M24" s="5">
        <f t="shared" si="20"/>
        <v>-31.472838235839575</v>
      </c>
      <c r="N24" s="5">
        <f t="shared" si="10"/>
        <v>-0.41473332585277589</v>
      </c>
      <c r="O24" s="5">
        <f t="shared" si="5"/>
        <v>5.0999999999999996</v>
      </c>
      <c r="P24" s="5">
        <f t="shared" si="21"/>
        <v>0.24193889999999993</v>
      </c>
    </row>
    <row r="25" spans="2:86" ht="14.65" customHeight="1">
      <c r="C25" s="62">
        <f>SUM(C4:C24)</f>
        <v>4.0945628278583026</v>
      </c>
      <c r="E25" s="48">
        <f>SUM(E4:E24)</f>
        <v>129.97982675939605</v>
      </c>
      <c r="G25" s="48">
        <f>SUM(G4:G24)</f>
        <v>67.969742942447823</v>
      </c>
      <c r="I25" s="48">
        <f>SUM(I4:I24)</f>
        <v>82.546386609623355</v>
      </c>
      <c r="J25" s="62">
        <f>SUM(J4:J24)</f>
        <v>4.1379927757604564</v>
      </c>
      <c r="L25" s="48">
        <f>SUM(L4:L24)</f>
        <v>13.129181698560725</v>
      </c>
      <c r="N25" s="48">
        <f>SUM(N4:N24)</f>
        <v>-130.23437725258162</v>
      </c>
      <c r="P25" s="48">
        <f>SUM(P4:P24)</f>
        <v>75.973547362961952</v>
      </c>
    </row>
    <row r="26" spans="2:86">
      <c r="B26" s="163" t="s">
        <v>227</v>
      </c>
      <c r="C26">
        <f>C25*Y7*3600</f>
        <v>11072.421511858811</v>
      </c>
      <c r="J26">
        <f>J25*Y16*3600</f>
        <v>13258.128853536502</v>
      </c>
    </row>
    <row r="27" spans="2:86">
      <c r="C27">
        <f>C26/3600</f>
        <v>3.0756726421830032</v>
      </c>
      <c r="J27">
        <f>J26/3600</f>
        <v>3.6828135704268061</v>
      </c>
    </row>
    <row r="29" spans="2:86">
      <c r="C29" s="172" t="s">
        <v>110</v>
      </c>
      <c r="D29" s="172"/>
      <c r="L29">
        <f>4.09*3600</f>
        <v>14724</v>
      </c>
      <c r="Q29" s="20"/>
    </row>
    <row r="30" spans="2:86" ht="16.5">
      <c r="C30" s="41" t="s">
        <v>105</v>
      </c>
      <c r="D30" s="5">
        <f>E25</f>
        <v>129.97982675939605</v>
      </c>
      <c r="H30" t="s">
        <v>197</v>
      </c>
      <c r="I30">
        <v>70</v>
      </c>
      <c r="J30">
        <f t="shared" ref="J30:J34" si="22">J9*Y$16*3600</f>
        <v>548.91595500000005</v>
      </c>
    </row>
    <row r="31" spans="2:86" ht="16.5">
      <c r="C31" s="41" t="s">
        <v>106</v>
      </c>
      <c r="D31" s="5">
        <f>MAX(G25,L25)</f>
        <v>67.969742942447823</v>
      </c>
      <c r="H31" t="s">
        <v>198</v>
      </c>
      <c r="I31">
        <v>50</v>
      </c>
      <c r="J31">
        <f t="shared" si="22"/>
        <v>563.52619500000003</v>
      </c>
    </row>
    <row r="32" spans="2:86">
      <c r="C32" s="42" t="s">
        <v>107</v>
      </c>
      <c r="D32" s="5">
        <f>I25</f>
        <v>82.546386609623355</v>
      </c>
      <c r="H32" t="s">
        <v>199</v>
      </c>
      <c r="I32">
        <v>7</v>
      </c>
      <c r="J32">
        <f t="shared" si="22"/>
        <v>1226.6539276000001</v>
      </c>
    </row>
    <row r="33" spans="3:15">
      <c r="C33" s="41" t="s">
        <v>108</v>
      </c>
      <c r="D33" s="5">
        <f>N25</f>
        <v>-130.23437725258162</v>
      </c>
      <c r="H33" t="s">
        <v>200</v>
      </c>
      <c r="I33">
        <v>12</v>
      </c>
      <c r="J33">
        <f t="shared" si="22"/>
        <v>707.48325</v>
      </c>
    </row>
    <row r="34" spans="3:15">
      <c r="C34" s="42" t="s">
        <v>109</v>
      </c>
      <c r="D34" s="6">
        <f>P25</f>
        <v>75.973547362961952</v>
      </c>
      <c r="J34">
        <f t="shared" si="22"/>
        <v>114.512562</v>
      </c>
    </row>
    <row r="35" spans="3:15">
      <c r="C35" s="68" t="s">
        <v>225</v>
      </c>
      <c r="D35" s="1">
        <f>E25*1000/4186/(I30-I31)*3600</f>
        <v>5589.1946528168392</v>
      </c>
      <c r="F35">
        <f>(E25*1000)/(4186*20)</f>
        <v>1.5525540702268998</v>
      </c>
      <c r="J35">
        <f>J14*Y$16*3600</f>
        <v>277.0999425</v>
      </c>
    </row>
    <row r="36" spans="3:15">
      <c r="C36" s="68" t="s">
        <v>223</v>
      </c>
      <c r="D36" s="1">
        <f>G25*1000*3600/4186/(I30-I31)</f>
        <v>2922.7314213188265</v>
      </c>
      <c r="J36">
        <f>J15*Y$16*3600</f>
        <v>1189.8296970000001</v>
      </c>
    </row>
    <row r="37" spans="3:15">
      <c r="C37" s="68" t="s">
        <v>224</v>
      </c>
      <c r="D37" s="1">
        <f>ABS(E25*1000*3600/4186/(I32-I33))</f>
        <v>22356.778611267357</v>
      </c>
      <c r="J37">
        <f t="shared" ref="J37:J39" si="23">J16*Y$16*3600</f>
        <v>923.76660000000015</v>
      </c>
    </row>
    <row r="38" spans="3:15">
      <c r="J38">
        <f t="shared" si="23"/>
        <v>2097.9462699999999</v>
      </c>
    </row>
    <row r="39" spans="3:15">
      <c r="J39">
        <f t="shared" si="23"/>
        <v>1245.3734958365021</v>
      </c>
      <c r="O39" t="s">
        <v>195</v>
      </c>
    </row>
    <row r="55" spans="7:26" ht="93.75">
      <c r="Z55" s="151" t="s">
        <v>179</v>
      </c>
    </row>
    <row r="59" spans="7:26" ht="93.75">
      <c r="G59" s="151" t="s">
        <v>201</v>
      </c>
    </row>
    <row r="81" spans="17:17">
      <c r="Q81" t="e" vm="1">
        <v>#VALUE!</v>
      </c>
    </row>
  </sheetData>
  <mergeCells count="8">
    <mergeCell ref="C29:D29"/>
    <mergeCell ref="BQ17:BX17"/>
    <mergeCell ref="CA17:CH17"/>
    <mergeCell ref="C2:I2"/>
    <mergeCell ref="J2:P2"/>
    <mergeCell ref="T5:AA5"/>
    <mergeCell ref="T14:AA14"/>
    <mergeCell ref="BQ8:BX8"/>
  </mergeCells>
  <pageMargins left="0.7" right="0.7" top="0.75" bottom="0.75" header="0.3" footer="0.3"/>
  <pageSetup paperSize="9" orientation="portrait" horizontalDpi="0" verticalDpi="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D2D5-93FD-2747-86F6-2D78DA40ACBB}">
  <dimension ref="B3:S163"/>
  <sheetViews>
    <sheetView topLeftCell="A37" zoomScale="114" zoomScaleNormal="100" workbookViewId="0">
      <selection activeCell="B5" sqref="B5:B25"/>
    </sheetView>
  </sheetViews>
  <sheetFormatPr baseColWidth="10" defaultColWidth="10.28515625" defaultRowHeight="15"/>
  <cols>
    <col min="2" max="2" width="25.7109375" customWidth="1"/>
    <col min="3" max="3" width="13.7109375" customWidth="1"/>
    <col min="5" max="5" width="15.28515625" customWidth="1"/>
    <col min="9" max="9" width="13.7109375" customWidth="1"/>
  </cols>
  <sheetData>
    <row r="3" spans="2:19">
      <c r="C3" s="195" t="s">
        <v>74</v>
      </c>
      <c r="D3" s="195"/>
      <c r="E3" s="195"/>
      <c r="F3" s="195"/>
      <c r="G3" s="195"/>
      <c r="H3" s="195"/>
      <c r="I3" s="195"/>
    </row>
    <row r="4" spans="2:19" ht="49.5">
      <c r="B4" s="36" t="s">
        <v>54</v>
      </c>
      <c r="C4" s="41" t="s">
        <v>85</v>
      </c>
      <c r="D4" s="39" t="s">
        <v>97</v>
      </c>
      <c r="E4" s="41" t="s">
        <v>88</v>
      </c>
      <c r="F4" s="63" t="s">
        <v>87</v>
      </c>
      <c r="G4" s="41" t="s">
        <v>89</v>
      </c>
      <c r="H4" s="41" t="s">
        <v>221</v>
      </c>
      <c r="I4" s="42" t="s">
        <v>83</v>
      </c>
      <c r="K4" s="196" t="s">
        <v>193</v>
      </c>
      <c r="L4" s="196"/>
      <c r="M4" t="s">
        <v>275</v>
      </c>
      <c r="N4">
        <f>+'Ecart de soufflage'!S3</f>
        <v>30.581461632778772</v>
      </c>
    </row>
    <row r="5" spans="2:19">
      <c r="B5" s="31" t="s">
        <v>157</v>
      </c>
      <c r="C5" s="5">
        <f>'Ecart de soufflage'!O9</f>
        <v>0.169430625</v>
      </c>
      <c r="D5" s="5">
        <f t="shared" ref="D5:D25" si="0">O$15-O$13</f>
        <v>2.1904592358395689</v>
      </c>
      <c r="E5" s="5">
        <f>C5*D5</f>
        <v>0.37113087736532058</v>
      </c>
      <c r="F5" s="5">
        <f t="shared" ref="F5:F25" si="1">O$13-O$12</f>
        <v>-24.272838235839572</v>
      </c>
      <c r="G5" s="5">
        <f>C5*F5</f>
        <v>-4.1125621528221963</v>
      </c>
      <c r="H5" s="5">
        <f t="shared" ref="H5:H25" si="2">N$12-N$13</f>
        <v>3.5403454567282822</v>
      </c>
      <c r="I5" s="5">
        <f>C5*H5*3.6</f>
        <v>2.1594345964177797</v>
      </c>
      <c r="K5" s="196" t="s">
        <v>194</v>
      </c>
      <c r="L5" s="196"/>
      <c r="M5" s="196">
        <f>N11+(N14-N11)*'Ecart de soufflage'!S3/100</f>
        <v>13.440345456728283</v>
      </c>
    </row>
    <row r="6" spans="2:19">
      <c r="B6" s="31" t="s">
        <v>158</v>
      </c>
      <c r="C6" s="5">
        <f>'Ecart de soufflage'!O10</f>
        <v>0.26734275277777775</v>
      </c>
      <c r="D6" s="5">
        <f t="shared" si="0"/>
        <v>2.1904592358395689</v>
      </c>
      <c r="E6" s="5">
        <f t="shared" ref="E6:E25" si="3">C6*D6</f>
        <v>0.58560340195685778</v>
      </c>
      <c r="F6" s="5">
        <f t="shared" si="1"/>
        <v>-24.272838235839572</v>
      </c>
      <c r="G6" s="5">
        <f>C6*F6</f>
        <v>-6.4891673916990493</v>
      </c>
      <c r="H6" s="5">
        <f t="shared" si="2"/>
        <v>3.5403454567282822</v>
      </c>
      <c r="I6" s="5">
        <f>C6*H6*3.6</f>
        <v>3.4073485206697365</v>
      </c>
      <c r="K6" s="196"/>
      <c r="L6" s="196"/>
      <c r="M6" s="196"/>
    </row>
    <row r="7" spans="2:19">
      <c r="B7" s="31" t="s">
        <v>159</v>
      </c>
      <c r="C7" s="5">
        <f>'Ecart de soufflage'!O11</f>
        <v>6.1053499999999997E-2</v>
      </c>
      <c r="D7" s="5">
        <f t="shared" si="0"/>
        <v>2.1904592358395689</v>
      </c>
      <c r="E7" s="5">
        <f>C7*D7</f>
        <v>0.13373520295533112</v>
      </c>
      <c r="F7" s="5">
        <f t="shared" si="1"/>
        <v>-24.272838235839572</v>
      </c>
      <c r="G7" s="5">
        <f t="shared" ref="G7:G25" si="4">C7*F7</f>
        <v>-1.4819417292318313</v>
      </c>
      <c r="H7" s="5">
        <f t="shared" si="2"/>
        <v>3.5403454567282822</v>
      </c>
      <c r="I7" s="5">
        <f t="shared" ref="I7:I25" si="5">C7*H7*3.6</f>
        <v>0.77814173283249666</v>
      </c>
      <c r="K7" t="s">
        <v>267</v>
      </c>
    </row>
    <row r="8" spans="2:19">
      <c r="B8" s="31" t="s">
        <v>160</v>
      </c>
      <c r="C8" s="5">
        <f>'Ecart de soufflage'!O12</f>
        <v>0.27987666111111109</v>
      </c>
      <c r="D8" s="5">
        <f t="shared" si="0"/>
        <v>2.1904592358395689</v>
      </c>
      <c r="E8" s="5">
        <f t="shared" si="3"/>
        <v>0.61305841722677434</v>
      </c>
      <c r="F8" s="5">
        <f t="shared" si="1"/>
        <v>-24.272838235839572</v>
      </c>
      <c r="G8" s="5">
        <f t="shared" si="4"/>
        <v>-6.7934009211368913</v>
      </c>
      <c r="H8" s="5">
        <f t="shared" si="2"/>
        <v>3.5403454567282822</v>
      </c>
      <c r="I8" s="5">
        <f t="shared" si="5"/>
        <v>3.5670962361924117</v>
      </c>
    </row>
    <row r="9" spans="2:19">
      <c r="B9" s="31" t="s">
        <v>161</v>
      </c>
      <c r="C9" s="5">
        <f>'Ecart de soufflage'!O13</f>
        <v>0.17090749999999999</v>
      </c>
      <c r="D9" s="5">
        <f t="shared" si="0"/>
        <v>2.1904592358395689</v>
      </c>
      <c r="E9" s="5">
        <f t="shared" si="3"/>
        <v>0.37436591184925111</v>
      </c>
      <c r="F9" s="5">
        <f t="shared" si="1"/>
        <v>-24.272838235839572</v>
      </c>
      <c r="G9" s="5">
        <f t="shared" si="4"/>
        <v>-4.1484101007917511</v>
      </c>
      <c r="H9" s="5">
        <f t="shared" si="2"/>
        <v>3.5403454567282822</v>
      </c>
      <c r="I9" s="5">
        <f t="shared" si="5"/>
        <v>2.1782577281248403</v>
      </c>
      <c r="K9" s="81" t="s">
        <v>115</v>
      </c>
      <c r="L9" s="173" t="s">
        <v>86</v>
      </c>
      <c r="M9" s="174"/>
      <c r="N9" s="174"/>
      <c r="O9" s="174"/>
      <c r="P9" s="174"/>
      <c r="Q9" s="174"/>
      <c r="R9" s="174"/>
      <c r="S9" s="175"/>
    </row>
    <row r="10" spans="2:19">
      <c r="B10" s="31" t="s">
        <v>162</v>
      </c>
      <c r="C10" s="5">
        <f>'Ecart de soufflage'!O14</f>
        <v>0.17132208333333332</v>
      </c>
      <c r="D10" s="5">
        <f t="shared" si="0"/>
        <v>2.1904592358395689</v>
      </c>
      <c r="E10" s="5">
        <f t="shared" si="3"/>
        <v>0.37527403974077622</v>
      </c>
      <c r="F10" s="5">
        <f t="shared" si="1"/>
        <v>-24.272838235839572</v>
      </c>
      <c r="G10" s="5">
        <f t="shared" si="4"/>
        <v>-4.1584732149770263</v>
      </c>
      <c r="H10" s="5">
        <f t="shared" si="2"/>
        <v>3.5403454567282822</v>
      </c>
      <c r="I10" s="5">
        <f t="shared" si="5"/>
        <v>2.1835416937190071</v>
      </c>
      <c r="L10" s="1"/>
      <c r="M10" s="3" t="s">
        <v>10</v>
      </c>
      <c r="N10" s="3" t="s">
        <v>11</v>
      </c>
      <c r="O10" s="3" t="s">
        <v>12</v>
      </c>
      <c r="P10" s="3" t="s">
        <v>13</v>
      </c>
      <c r="Q10" s="3" t="s">
        <v>14</v>
      </c>
      <c r="R10" s="28" t="s">
        <v>15</v>
      </c>
      <c r="S10" s="28" t="s">
        <v>16</v>
      </c>
    </row>
    <row r="11" spans="2:19">
      <c r="B11" s="31" t="s">
        <v>163</v>
      </c>
      <c r="C11" s="5">
        <f>'Ecart de soufflage'!O15</f>
        <v>0.17588208333333333</v>
      </c>
      <c r="D11" s="5">
        <f t="shared" si="0"/>
        <v>2.1904592358395689</v>
      </c>
      <c r="E11" s="5">
        <f t="shared" si="3"/>
        <v>0.38526253385620468</v>
      </c>
      <c r="F11" s="5">
        <f t="shared" si="1"/>
        <v>-24.272838235839572</v>
      </c>
      <c r="G11" s="5">
        <f t="shared" si="4"/>
        <v>-4.269157357332455</v>
      </c>
      <c r="H11" s="5">
        <f t="shared" si="2"/>
        <v>3.5403454567282822</v>
      </c>
      <c r="I11" s="5">
        <f t="shared" si="5"/>
        <v>2.2416600047366586</v>
      </c>
      <c r="L11" s="2" t="s">
        <v>19</v>
      </c>
      <c r="M11" s="27">
        <v>32</v>
      </c>
      <c r="N11" s="21">
        <f>15</f>
        <v>15</v>
      </c>
      <c r="O11" s="21">
        <f>70.5</f>
        <v>70.5</v>
      </c>
      <c r="P11" s="27">
        <v>50</v>
      </c>
      <c r="Q11" s="21">
        <f>0.89</f>
        <v>0.89</v>
      </c>
      <c r="R11" s="21">
        <f>(P11/100)*S11</f>
        <v>2375.9104754400132</v>
      </c>
      <c r="S11" s="21">
        <f>288.68*(1.098+(M11)/100)^8.02</f>
        <v>4751.8209508800264</v>
      </c>
    </row>
    <row r="12" spans="2:19">
      <c r="B12" s="31" t="s">
        <v>164</v>
      </c>
      <c r="C12" s="5">
        <f>'Ecart de soufflage'!O16</f>
        <v>0.3828507888888889</v>
      </c>
      <c r="D12" s="5">
        <f t="shared" si="0"/>
        <v>2.1904592358395689</v>
      </c>
      <c r="E12" s="5">
        <f t="shared" si="3"/>
        <v>0.83861904647013175</v>
      </c>
      <c r="F12" s="5">
        <f t="shared" si="1"/>
        <v>-24.272838235839572</v>
      </c>
      <c r="G12" s="5">
        <f t="shared" si="4"/>
        <v>-9.2928752671635664</v>
      </c>
      <c r="H12" s="5">
        <f t="shared" si="2"/>
        <v>3.5403454567282822</v>
      </c>
      <c r="I12" s="5">
        <f t="shared" si="5"/>
        <v>4.8795265837714199</v>
      </c>
      <c r="L12" s="22" t="s">
        <v>96</v>
      </c>
      <c r="M12" s="21" t="str">
        <f>M4</f>
        <v>;</v>
      </c>
      <c r="N12" s="21">
        <f>M5</f>
        <v>13.440345456728283</v>
      </c>
      <c r="O12" s="21">
        <f>63.3</f>
        <v>63.3</v>
      </c>
      <c r="P12" s="44">
        <v>53.6</v>
      </c>
      <c r="Q12" s="21">
        <f>0.874</f>
        <v>0.874</v>
      </c>
      <c r="R12" s="21">
        <f>(N12*101325)/(622+N12)</f>
        <v>2143.1484688372389</v>
      </c>
      <c r="S12" s="21" t="e">
        <f>288.68*(1.098+(M12)/100)^8.02</f>
        <v>#VALUE!</v>
      </c>
    </row>
    <row r="13" spans="2:19">
      <c r="B13" s="31" t="s">
        <v>165</v>
      </c>
      <c r="C13" s="5">
        <f>'Ecart de soufflage'!O17</f>
        <v>0.22081249999999999</v>
      </c>
      <c r="D13" s="5">
        <f>O$15-O$13</f>
        <v>2.1904592358395689</v>
      </c>
      <c r="E13" s="5">
        <f t="shared" si="3"/>
        <v>0.48368078001382481</v>
      </c>
      <c r="F13" s="5">
        <f t="shared" si="1"/>
        <v>-24.272838235839572</v>
      </c>
      <c r="G13" s="5">
        <f t="shared" si="4"/>
        <v>-5.3597460929513252</v>
      </c>
      <c r="H13" s="5">
        <f t="shared" si="2"/>
        <v>3.5403454567282822</v>
      </c>
      <c r="I13" s="5">
        <f t="shared" si="5"/>
        <v>2.8143091121897297</v>
      </c>
      <c r="L13" s="22">
        <v>1</v>
      </c>
      <c r="M13" s="21">
        <f>((S13/288.68)^(1/8.02)-1.098)*100</f>
        <v>13.881596251343421</v>
      </c>
      <c r="N13" s="21">
        <f>N14</f>
        <v>9.9</v>
      </c>
      <c r="O13" s="21">
        <f>1.009*(M13)+N13/1000*(2501.6+1.854*(M13))</f>
        <v>39.027161764160425</v>
      </c>
      <c r="P13" s="21">
        <v>100</v>
      </c>
      <c r="Q13" s="21">
        <f>0.83</f>
        <v>0.83</v>
      </c>
      <c r="R13" s="21">
        <f>(N13*101325)/(622+N13)</f>
        <v>1587.4624149390727</v>
      </c>
      <c r="S13" s="21">
        <f>R13</f>
        <v>1587.4624149390727</v>
      </c>
    </row>
    <row r="14" spans="2:19">
      <c r="B14" s="31" t="s">
        <v>166</v>
      </c>
      <c r="C14" s="5">
        <f>'Ecart de soufflage'!O18</f>
        <v>3.5740500000000001E-2</v>
      </c>
      <c r="D14" s="5">
        <f t="shared" si="0"/>
        <v>2.1904592358395689</v>
      </c>
      <c r="E14" s="5">
        <f t="shared" si="3"/>
        <v>7.8288108318524119E-2</v>
      </c>
      <c r="F14" s="5">
        <f t="shared" si="1"/>
        <v>-24.272838235839572</v>
      </c>
      <c r="G14" s="5">
        <f t="shared" si="4"/>
        <v>-0.86752337496802423</v>
      </c>
      <c r="H14" s="5">
        <f t="shared" si="2"/>
        <v>3.5403454567282822</v>
      </c>
      <c r="I14" s="5">
        <f t="shared" si="5"/>
        <v>0.45552138046630986</v>
      </c>
      <c r="L14" s="2" t="s">
        <v>24</v>
      </c>
      <c r="M14" s="27">
        <v>25</v>
      </c>
      <c r="N14" s="21">
        <f>9.9</f>
        <v>9.9</v>
      </c>
      <c r="O14" s="21">
        <f>50</f>
        <v>50</v>
      </c>
      <c r="P14" s="27">
        <v>50</v>
      </c>
      <c r="Q14" s="21">
        <f>0.86</f>
        <v>0.86</v>
      </c>
      <c r="R14" s="21">
        <f>P14/100*S14</f>
        <v>1583.0682413301295</v>
      </c>
      <c r="S14" s="21">
        <f>288.68*(1.098+(M14)/100)^8.02</f>
        <v>3166.1364826602589</v>
      </c>
    </row>
    <row r="15" spans="2:19" ht="15.75">
      <c r="B15" s="104" t="s">
        <v>167</v>
      </c>
      <c r="C15" s="5">
        <f>'Ecart de soufflage'!O19</f>
        <v>8.6485624999999997E-2</v>
      </c>
      <c r="D15" s="5">
        <f t="shared" si="0"/>
        <v>2.1904592358395689</v>
      </c>
      <c r="E15" s="5">
        <f t="shared" si="3"/>
        <v>0.18944323604860752</v>
      </c>
      <c r="F15" s="5">
        <f t="shared" si="1"/>
        <v>-24.272838235839572</v>
      </c>
      <c r="G15" s="5">
        <f t="shared" si="4"/>
        <v>-2.0992515853504825</v>
      </c>
      <c r="H15" s="5">
        <f t="shared" si="2"/>
        <v>3.5403454567282822</v>
      </c>
      <c r="I15" s="5">
        <f t="shared" si="5"/>
        <v>1.1022803623478015</v>
      </c>
      <c r="L15" s="9" t="s">
        <v>27</v>
      </c>
      <c r="M15" s="21">
        <f>M14-'Ecart de soufflage'!$O$4</f>
        <v>17</v>
      </c>
      <c r="N15" s="21">
        <f>9.5</f>
        <v>9.5</v>
      </c>
      <c r="O15" s="21">
        <f>1.009*(M15)+N15/1000*(2501.6+1.854*(M15))</f>
        <v>41.217620999999994</v>
      </c>
      <c r="P15" s="21">
        <f>R15/S15*100</f>
        <v>78.638234159962295</v>
      </c>
      <c r="Q15" s="21">
        <f>0.84</f>
        <v>0.84</v>
      </c>
      <c r="R15" s="21">
        <f>(N15*101325)/(622+N15)</f>
        <v>1524.2874109263657</v>
      </c>
      <c r="S15" s="21">
        <f>288.68*(1.098+(M15)/100)^8.02</f>
        <v>1938.3540681060183</v>
      </c>
    </row>
    <row r="16" spans="2:19">
      <c r="B16" s="31" t="s">
        <v>168</v>
      </c>
      <c r="C16" s="5">
        <f>'Ecart de soufflage'!O20</f>
        <v>0.37135758333333335</v>
      </c>
      <c r="D16" s="5">
        <f t="shared" si="0"/>
        <v>2.1904592358395689</v>
      </c>
      <c r="E16" s="5">
        <f t="shared" si="3"/>
        <v>0.81344364821156245</v>
      </c>
      <c r="F16" s="5">
        <f t="shared" si="1"/>
        <v>-24.272838235839572</v>
      </c>
      <c r="G16" s="5">
        <f t="shared" si="4"/>
        <v>-9.0139025479023136</v>
      </c>
      <c r="H16" s="5">
        <f t="shared" si="2"/>
        <v>3.5403454567282822</v>
      </c>
      <c r="I16" s="5">
        <f t="shared" si="5"/>
        <v>4.7330428787127401</v>
      </c>
    </row>
    <row r="17" spans="2:9">
      <c r="B17" s="31" t="s">
        <v>169</v>
      </c>
      <c r="C17" s="5">
        <f>'Ecart de soufflage'!O21</f>
        <v>0.28831666666666667</v>
      </c>
      <c r="D17" s="5">
        <f t="shared" si="0"/>
        <v>2.1904592358395689</v>
      </c>
      <c r="E17" s="5">
        <f t="shared" si="3"/>
        <v>0.63154590534647836</v>
      </c>
      <c r="F17" s="5">
        <f t="shared" si="1"/>
        <v>-24.272838235839572</v>
      </c>
      <c r="G17" s="5">
        <f t="shared" si="4"/>
        <v>-6.9982638106964794</v>
      </c>
      <c r="H17" s="5">
        <f t="shared" si="2"/>
        <v>3.5403454567282822</v>
      </c>
      <c r="I17" s="5">
        <f t="shared" si="5"/>
        <v>3.6746661633565529</v>
      </c>
    </row>
    <row r="18" spans="2:9">
      <c r="B18" s="31" t="s">
        <v>170</v>
      </c>
      <c r="C18" s="5">
        <f>'Ecart de soufflage'!O22</f>
        <v>0.6547897222222222</v>
      </c>
      <c r="D18" s="5">
        <f t="shared" si="0"/>
        <v>2.1904592358395689</v>
      </c>
      <c r="E18" s="5">
        <f t="shared" si="3"/>
        <v>1.4342901945744924</v>
      </c>
      <c r="F18" s="5">
        <f t="shared" si="1"/>
        <v>-24.272838235839572</v>
      </c>
      <c r="G18" s="5">
        <f t="shared" si="4"/>
        <v>-15.893605005990327</v>
      </c>
      <c r="H18" s="5">
        <f t="shared" si="2"/>
        <v>3.5403454567282822</v>
      </c>
      <c r="I18" s="5">
        <f t="shared" si="5"/>
        <v>8.3454545454545457</v>
      </c>
    </row>
    <row r="19" spans="2:9">
      <c r="B19" s="31" t="s">
        <v>171</v>
      </c>
      <c r="C19" s="5">
        <f>'Ecart de soufflage'!O23</f>
        <v>0.3886933507604563</v>
      </c>
      <c r="D19" s="5">
        <f t="shared" si="0"/>
        <v>2.1904592358395689</v>
      </c>
      <c r="E19" s="5">
        <f t="shared" si="3"/>
        <v>0.85141694008267066</v>
      </c>
      <c r="F19" s="5">
        <f t="shared" si="1"/>
        <v>-24.272838235839572</v>
      </c>
      <c r="G19" s="5">
        <f t="shared" si="4"/>
        <v>-9.4346908263550056</v>
      </c>
      <c r="H19" s="5">
        <f t="shared" si="2"/>
        <v>3.5403454567282822</v>
      </c>
      <c r="I19" s="5">
        <f t="shared" si="5"/>
        <v>4.9539914583309868</v>
      </c>
    </row>
    <row r="20" spans="2:9">
      <c r="B20" s="31" t="s">
        <v>172</v>
      </c>
      <c r="C20" s="5">
        <f>'Ecart de soufflage'!O24</f>
        <v>3.7047361111111107E-2</v>
      </c>
      <c r="D20" s="5">
        <f t="shared" si="0"/>
        <v>2.1904592358395689</v>
      </c>
      <c r="E20" s="5">
        <f t="shared" si="3"/>
        <v>8.1150734309317005E-2</v>
      </c>
      <c r="F20" s="5">
        <f t="shared" si="1"/>
        <v>-24.272838235839572</v>
      </c>
      <c r="G20" s="5">
        <f t="shared" si="4"/>
        <v>-0.89924460331473366</v>
      </c>
      <c r="H20" s="5">
        <f t="shared" si="2"/>
        <v>3.5403454567282822</v>
      </c>
      <c r="I20" s="5">
        <f t="shared" si="5"/>
        <v>0.47217764373657933</v>
      </c>
    </row>
    <row r="21" spans="2:9">
      <c r="B21" s="31" t="s">
        <v>173</v>
      </c>
      <c r="C21" s="5">
        <f>'Ecart de soufflage'!O25</f>
        <v>3.5337361111111111E-2</v>
      </c>
      <c r="D21" s="5">
        <f t="shared" si="0"/>
        <v>2.1904592358395689</v>
      </c>
      <c r="E21" s="5">
        <f t="shared" si="3"/>
        <v>7.7405049016031346E-2</v>
      </c>
      <c r="F21" s="5">
        <f t="shared" si="1"/>
        <v>-24.272838235839572</v>
      </c>
      <c r="G21" s="5">
        <f t="shared" si="4"/>
        <v>-0.85773804993144809</v>
      </c>
      <c r="H21" s="5">
        <f t="shared" si="2"/>
        <v>3.5403454567282822</v>
      </c>
      <c r="I21" s="5">
        <f t="shared" si="5"/>
        <v>0.45038327710496012</v>
      </c>
    </row>
    <row r="22" spans="2:9">
      <c r="B22" s="31" t="s">
        <v>174</v>
      </c>
      <c r="C22" s="5">
        <f>'Ecart de soufflage'!O26</f>
        <v>0.15554930555555552</v>
      </c>
      <c r="D22" s="5">
        <f t="shared" si="0"/>
        <v>2.1904592358395689</v>
      </c>
      <c r="E22" s="5">
        <f t="shared" si="3"/>
        <v>0.34072441298259776</v>
      </c>
      <c r="F22" s="5">
        <f t="shared" si="1"/>
        <v>-24.272838235839572</v>
      </c>
      <c r="G22" s="5">
        <f t="shared" si="4"/>
        <v>-3.7756231314471806</v>
      </c>
      <c r="H22" s="5">
        <f t="shared" si="2"/>
        <v>3.5403454567282822</v>
      </c>
      <c r="I22" s="5">
        <f t="shared" si="5"/>
        <v>1.9825137979950611</v>
      </c>
    </row>
    <row r="23" spans="2:9">
      <c r="B23" s="31" t="s">
        <v>175</v>
      </c>
      <c r="C23" s="5">
        <f>'Ecart de soufflage'!O27</f>
        <v>0.13118180555555553</v>
      </c>
      <c r="D23" s="5">
        <f t="shared" si="0"/>
        <v>2.1904592358395689</v>
      </c>
      <c r="E23" s="5">
        <f t="shared" si="3"/>
        <v>0.28734839755327707</v>
      </c>
      <c r="F23" s="5">
        <f t="shared" si="1"/>
        <v>-24.272838235839572</v>
      </c>
      <c r="G23" s="5">
        <f t="shared" si="4"/>
        <v>-3.1841547457353601</v>
      </c>
      <c r="H23" s="5">
        <f t="shared" si="2"/>
        <v>3.5403454567282822</v>
      </c>
      <c r="I23" s="5">
        <f t="shared" si="5"/>
        <v>1.6719440734944864</v>
      </c>
    </row>
    <row r="24" spans="2:9">
      <c r="B24" s="31" t="s">
        <v>176</v>
      </c>
      <c r="C24" s="5">
        <f>'Ecart de soufflage'!O28</f>
        <v>4.0837499999999999E-2</v>
      </c>
      <c r="D24" s="5">
        <f t="shared" si="0"/>
        <v>2.1904592358395689</v>
      </c>
      <c r="E24" s="5">
        <f t="shared" si="3"/>
        <v>8.9452879043598388E-2</v>
      </c>
      <c r="F24" s="5">
        <f t="shared" si="1"/>
        <v>-24.272838235839572</v>
      </c>
      <c r="G24" s="5">
        <f t="shared" si="4"/>
        <v>-0.99124203145609846</v>
      </c>
      <c r="H24" s="5">
        <f t="shared" si="2"/>
        <v>3.5403454567282822</v>
      </c>
      <c r="I24" s="5">
        <f t="shared" si="5"/>
        <v>0.52048388732090833</v>
      </c>
    </row>
    <row r="25" spans="2:9">
      <c r="B25" s="32" t="s">
        <v>177</v>
      </c>
      <c r="C25" s="5">
        <f>'Ecart de soufflage'!O29</f>
        <v>1.3177499999999997E-2</v>
      </c>
      <c r="D25" s="5">
        <f t="shared" si="0"/>
        <v>2.1904592358395689</v>
      </c>
      <c r="E25" s="5">
        <f t="shared" si="3"/>
        <v>2.8864776580275912E-2</v>
      </c>
      <c r="F25" s="5">
        <f t="shared" si="1"/>
        <v>-24.272838235839572</v>
      </c>
      <c r="G25" s="5">
        <f t="shared" si="4"/>
        <v>-0.31985532585277587</v>
      </c>
      <c r="H25" s="5">
        <f t="shared" si="2"/>
        <v>3.5403454567282822</v>
      </c>
      <c r="I25" s="5">
        <f t="shared" si="5"/>
        <v>0.16795044812173293</v>
      </c>
    </row>
    <row r="26" spans="2:9">
      <c r="C26" s="62">
        <f>SUM(C5:C25)</f>
        <v>4.1379927757604564</v>
      </c>
      <c r="E26" s="67">
        <f>SUM(E5:E25)</f>
        <v>9.0641044935019046</v>
      </c>
      <c r="G26" s="67">
        <f>SUM(G5:G25)</f>
        <v>-100.4408292671063</v>
      </c>
      <c r="I26" s="67">
        <f>SUM(I5:I25)</f>
        <v>52.739726125096752</v>
      </c>
    </row>
    <row r="27" spans="2:9">
      <c r="C27">
        <f>C26*Q12*3600</f>
        <v>13019.7804696527</v>
      </c>
    </row>
    <row r="29" spans="2:9">
      <c r="B29" t="s">
        <v>141</v>
      </c>
      <c r="C29">
        <f>'Ecart de soufflage'!S3/100*C26</f>
        <v>1.2654586730863413</v>
      </c>
    </row>
    <row r="30" spans="2:9">
      <c r="C30" s="17">
        <f>C26-C29</f>
        <v>2.8725341026741154</v>
      </c>
      <c r="G30" t="s">
        <v>197</v>
      </c>
      <c r="H30">
        <v>70</v>
      </c>
    </row>
    <row r="31" spans="2:9">
      <c r="G31" t="s">
        <v>198</v>
      </c>
      <c r="H31">
        <v>50</v>
      </c>
    </row>
    <row r="32" spans="2:9">
      <c r="B32" s="172" t="s">
        <v>110</v>
      </c>
      <c r="C32" s="172"/>
      <c r="G32" t="s">
        <v>199</v>
      </c>
      <c r="H32">
        <v>7</v>
      </c>
    </row>
    <row r="33" spans="2:8" ht="16.5">
      <c r="B33" s="41" t="s">
        <v>106</v>
      </c>
      <c r="C33" s="5">
        <f>MAX('Climatisation avec recyclage'!E26,'Climatisation  sans recyclage'!G25)</f>
        <v>67.969742942447823</v>
      </c>
      <c r="G33" t="s">
        <v>200</v>
      </c>
      <c r="H33">
        <v>12</v>
      </c>
    </row>
    <row r="34" spans="2:8">
      <c r="B34" s="41" t="s">
        <v>108</v>
      </c>
      <c r="C34" s="5">
        <f>G26</f>
        <v>-100.4408292671063</v>
      </c>
    </row>
    <row r="35" spans="2:8">
      <c r="B35" s="42" t="s">
        <v>109</v>
      </c>
      <c r="C35" s="5">
        <f>I26</f>
        <v>52.739726125096752</v>
      </c>
    </row>
    <row r="36" spans="2:8">
      <c r="B36" s="68" t="s">
        <v>223</v>
      </c>
      <c r="C36" s="1">
        <f>C33*3600*1000/4186/(H30-H31)</f>
        <v>2922.7314213188265</v>
      </c>
    </row>
    <row r="37" spans="2:8">
      <c r="B37" s="68" t="s">
        <v>224</v>
      </c>
      <c r="C37" s="1">
        <f>G26*3600*1000/4186/(H32-H33)</f>
        <v>17276.014589659946</v>
      </c>
    </row>
    <row r="159" spans="2:3">
      <c r="B159" s="1" t="s">
        <v>144</v>
      </c>
      <c r="C159" s="2" t="s">
        <v>151</v>
      </c>
    </row>
    <row r="160" spans="2:3">
      <c r="B160" s="2" t="s">
        <v>153</v>
      </c>
      <c r="C160" s="2" t="s">
        <v>154</v>
      </c>
    </row>
    <row r="162" spans="3:4">
      <c r="C162" t="s">
        <v>156</v>
      </c>
    </row>
    <row r="163" spans="3:4">
      <c r="D163" s="91" t="s">
        <v>155</v>
      </c>
    </row>
  </sheetData>
  <mergeCells count="6">
    <mergeCell ref="L9:S9"/>
    <mergeCell ref="B32:C32"/>
    <mergeCell ref="C3:I3"/>
    <mergeCell ref="K4:L4"/>
    <mergeCell ref="K5:L6"/>
    <mergeCell ref="M5:M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5F477-5881-2F42-8282-7EEFC18AE389}">
  <dimension ref="B2:AC274"/>
  <sheetViews>
    <sheetView topLeftCell="A44" zoomScale="39" zoomScaleNormal="40" workbookViewId="0">
      <selection activeCell="G41" sqref="G41"/>
    </sheetView>
  </sheetViews>
  <sheetFormatPr baseColWidth="10" defaultColWidth="10.28515625" defaultRowHeight="15"/>
  <cols>
    <col min="1" max="1" width="7.7109375" customWidth="1"/>
    <col min="2" max="2" width="25.7109375" customWidth="1"/>
    <col min="3" max="3" width="14.7109375" customWidth="1"/>
    <col min="18" max="18" width="15.7109375" customWidth="1"/>
    <col min="21" max="21" width="9.7109375" customWidth="1"/>
    <col min="22" max="22" width="13.140625" customWidth="1"/>
  </cols>
  <sheetData>
    <row r="2" spans="2:28">
      <c r="C2" s="197" t="s">
        <v>72</v>
      </c>
      <c r="D2" s="197"/>
      <c r="E2" s="197"/>
      <c r="F2" s="197"/>
      <c r="G2" s="197"/>
      <c r="H2" s="197"/>
      <c r="I2" s="197"/>
      <c r="J2" s="197"/>
      <c r="K2" s="177" t="s">
        <v>74</v>
      </c>
      <c r="L2" s="177"/>
      <c r="M2" s="177"/>
      <c r="N2" s="177"/>
      <c r="O2" s="177"/>
      <c r="P2" s="177"/>
      <c r="Q2" s="177"/>
      <c r="R2" s="177"/>
    </row>
    <row r="3" spans="2:28" ht="51">
      <c r="B3" s="65" t="s">
        <v>54</v>
      </c>
      <c r="C3" s="41" t="s">
        <v>84</v>
      </c>
      <c r="D3" s="41" t="s">
        <v>104</v>
      </c>
      <c r="E3" s="39" t="s">
        <v>102</v>
      </c>
      <c r="F3" s="41" t="s">
        <v>68</v>
      </c>
      <c r="G3" s="39" t="s">
        <v>69</v>
      </c>
      <c r="H3" s="41" t="s">
        <v>70</v>
      </c>
      <c r="I3" s="41" t="s">
        <v>71</v>
      </c>
      <c r="J3" s="42" t="s">
        <v>83</v>
      </c>
      <c r="K3" s="41" t="s">
        <v>85</v>
      </c>
      <c r="L3" s="41" t="s">
        <v>99</v>
      </c>
      <c r="M3" s="39" t="s">
        <v>69</v>
      </c>
      <c r="N3" s="41" t="s">
        <v>75</v>
      </c>
      <c r="O3" s="39" t="s">
        <v>103</v>
      </c>
      <c r="P3" s="41" t="s">
        <v>81</v>
      </c>
      <c r="Q3" s="41" t="s">
        <v>82</v>
      </c>
      <c r="R3" s="42" t="s">
        <v>83</v>
      </c>
      <c r="S3" s="40"/>
      <c r="T3" s="40"/>
      <c r="U3" s="40"/>
      <c r="V3" s="40"/>
    </row>
    <row r="4" spans="2:28">
      <c r="B4" s="31" t="s">
        <v>157</v>
      </c>
      <c r="C4" s="5">
        <f>'Ecart de soufflage'!N9</f>
        <v>0.26775000447742486</v>
      </c>
      <c r="D4" s="5">
        <f>'Ecart de soufflage'!H9</f>
        <v>1.7848643503093765E-2</v>
      </c>
      <c r="E4" s="5">
        <f>W$14-W$13</f>
        <v>0.19999999999999929</v>
      </c>
      <c r="F4" s="5">
        <f t="shared" ref="F4:F21" si="0">C4*E4</f>
        <v>5.3550000895484784E-2</v>
      </c>
      <c r="G4" s="5">
        <f>W$17-W$15</f>
        <v>16.600000000000001</v>
      </c>
      <c r="H4" s="5">
        <f t="shared" ref="H4:H21" si="1">C4*G4</f>
        <v>4.4446500743252528</v>
      </c>
      <c r="I4" s="5">
        <f t="shared" ref="I4:I21" si="2">V$15-V$14</f>
        <v>1.8999999999999995</v>
      </c>
      <c r="J4" s="5">
        <f t="shared" ref="J4:J21" si="3">C4*I4*3.6</f>
        <v>1.8314100306255856</v>
      </c>
      <c r="K4" s="5">
        <f>'Ecart de soufflage'!O9</f>
        <v>0.169430625</v>
      </c>
      <c r="L4" s="5">
        <f>'Ecart de soufflage'!I9</f>
        <v>1.7482517482517484E-2</v>
      </c>
      <c r="M4" s="5">
        <f t="shared" ref="M4:M21" si="4">W$26-W$24</f>
        <v>3.1728382358395777</v>
      </c>
      <c r="N4" s="5">
        <f t="shared" ref="N4:N21" si="5">K4*M4</f>
        <v>0.53757596532219709</v>
      </c>
      <c r="O4" s="5">
        <f t="shared" ref="O4:O21" si="6">W$24-W$23</f>
        <v>-11.272838235839572</v>
      </c>
      <c r="P4" s="5">
        <f t="shared" ref="P4:P24" si="7">K4*O4</f>
        <v>-1.9099640278221961</v>
      </c>
      <c r="Q4" s="5">
        <f>V$24-V$22</f>
        <v>-5.0999999999999996</v>
      </c>
      <c r="R4" s="5">
        <f t="shared" ref="R4:R21" si="8">K4*Q4*3.6</f>
        <v>-3.1107462749999999</v>
      </c>
    </row>
    <row r="5" spans="2:28">
      <c r="B5" s="31" t="s">
        <v>158</v>
      </c>
      <c r="C5" s="5">
        <f>'Ecart de soufflage'!N10</f>
        <v>0.20151803696670481</v>
      </c>
      <c r="D5" s="5">
        <f>'Ecart de soufflage'!H10</f>
        <v>0.17848643503093764</v>
      </c>
      <c r="E5" s="5">
        <f t="shared" ref="E5:E21" si="9">W$14-W$13</f>
        <v>0.19999999999999929</v>
      </c>
      <c r="F5" s="5">
        <f t="shared" si="0"/>
        <v>4.0303607393340816E-2</v>
      </c>
      <c r="G5" s="5">
        <f t="shared" ref="G5:G21" si="10">W$17-W$15</f>
        <v>16.600000000000001</v>
      </c>
      <c r="H5" s="5">
        <f t="shared" si="1"/>
        <v>3.3451994136473</v>
      </c>
      <c r="I5" s="5">
        <f t="shared" si="2"/>
        <v>1.8999999999999995</v>
      </c>
      <c r="J5" s="5">
        <f t="shared" si="3"/>
        <v>1.3783833728522605</v>
      </c>
      <c r="K5" s="5">
        <f>'Ecart de soufflage'!O10</f>
        <v>0.26734275277777775</v>
      </c>
      <c r="L5" s="5">
        <f>'Ecart de soufflage'!I10</f>
        <v>0.17482517482517482</v>
      </c>
      <c r="M5" s="5">
        <f t="shared" si="4"/>
        <v>3.1728382358395777</v>
      </c>
      <c r="N5" s="5">
        <f t="shared" si="5"/>
        <v>0.84823530808794068</v>
      </c>
      <c r="O5" s="5">
        <f t="shared" si="6"/>
        <v>-11.272838235839572</v>
      </c>
      <c r="P5" s="5">
        <f t="shared" si="7"/>
        <v>-3.0137116055879392</v>
      </c>
      <c r="Q5" s="5">
        <f t="shared" ref="Q5:Q21" si="11">V$24-V$22</f>
        <v>-5.0999999999999996</v>
      </c>
      <c r="R5" s="5">
        <f t="shared" si="8"/>
        <v>-4.908412940999999</v>
      </c>
    </row>
    <row r="6" spans="2:28">
      <c r="B6" s="31" t="s">
        <v>159</v>
      </c>
      <c r="C6" s="5">
        <f>'Ecart de soufflage'!N11</f>
        <v>0.1094459010396852</v>
      </c>
      <c r="D6" s="5">
        <f>'Ecart de soufflage'!H11</f>
        <v>1.7848643503093765E-2</v>
      </c>
      <c r="E6" s="5">
        <f t="shared" si="9"/>
        <v>0.19999999999999929</v>
      </c>
      <c r="F6" s="5">
        <f t="shared" si="0"/>
        <v>2.188918020793696E-2</v>
      </c>
      <c r="G6" s="5">
        <f t="shared" si="10"/>
        <v>16.600000000000001</v>
      </c>
      <c r="H6" s="5">
        <f t="shared" si="1"/>
        <v>1.8168019572587744</v>
      </c>
      <c r="I6" s="5">
        <f t="shared" si="2"/>
        <v>1.8999999999999995</v>
      </c>
      <c r="J6" s="5">
        <f t="shared" si="3"/>
        <v>0.74860996311144656</v>
      </c>
      <c r="K6" s="5">
        <f>'Ecart de soufflage'!O11</f>
        <v>6.1053499999999997E-2</v>
      </c>
      <c r="L6" s="5">
        <f>'Ecart de soufflage'!I11</f>
        <v>1.7482517482517484E-2</v>
      </c>
      <c r="M6" s="5">
        <f t="shared" si="4"/>
        <v>3.1728382358395777</v>
      </c>
      <c r="N6" s="5">
        <f t="shared" si="5"/>
        <v>0.19371287923183164</v>
      </c>
      <c r="O6" s="5">
        <f t="shared" si="6"/>
        <v>-11.272838235839572</v>
      </c>
      <c r="P6" s="5">
        <f t="shared" si="7"/>
        <v>-0.68824622923183132</v>
      </c>
      <c r="Q6" s="5">
        <f t="shared" si="11"/>
        <v>-5.0999999999999996</v>
      </c>
      <c r="R6" s="5">
        <f t="shared" si="8"/>
        <v>-1.1209422599999999</v>
      </c>
      <c r="V6" s="66"/>
      <c r="W6" s="12" t="s">
        <v>101</v>
      </c>
    </row>
    <row r="7" spans="2:28">
      <c r="B7" s="31" t="s">
        <v>160</v>
      </c>
      <c r="C7" s="5">
        <f>'Ecart de soufflage'!N12</f>
        <v>0.24242918718970466</v>
      </c>
      <c r="D7" s="5">
        <f>'Ecart de soufflage'!H12</f>
        <v>5.3545930509281289E-2</v>
      </c>
      <c r="E7" s="5">
        <f t="shared" si="9"/>
        <v>0.19999999999999929</v>
      </c>
      <c r="F7" s="5">
        <f t="shared" si="0"/>
        <v>4.8485837437940757E-2</v>
      </c>
      <c r="G7" s="5">
        <f t="shared" si="10"/>
        <v>16.600000000000001</v>
      </c>
      <c r="H7" s="5">
        <f t="shared" si="1"/>
        <v>4.0243245073490979</v>
      </c>
      <c r="I7" s="5">
        <f t="shared" si="2"/>
        <v>1.8999999999999995</v>
      </c>
      <c r="J7" s="5">
        <f t="shared" si="3"/>
        <v>1.6582156403775794</v>
      </c>
      <c r="K7" s="5">
        <f>'Ecart de soufflage'!O12</f>
        <v>0.27987666111111109</v>
      </c>
      <c r="L7" s="5">
        <f>'Ecart de soufflage'!I12</f>
        <v>5.2447552447552455E-2</v>
      </c>
      <c r="M7" s="5">
        <f t="shared" si="4"/>
        <v>3.1728382358395777</v>
      </c>
      <c r="N7" s="5">
        <f t="shared" si="5"/>
        <v>0.88800337169244903</v>
      </c>
      <c r="O7" s="5">
        <f t="shared" si="6"/>
        <v>-11.272838235839572</v>
      </c>
      <c r="P7" s="5">
        <f t="shared" si="7"/>
        <v>-3.1550043266924472</v>
      </c>
      <c r="Q7" s="5">
        <f t="shared" si="11"/>
        <v>-5.0999999999999996</v>
      </c>
      <c r="R7" s="5">
        <f t="shared" si="8"/>
        <v>-5.1385354979999995</v>
      </c>
      <c r="V7" s="7" t="s">
        <v>100</v>
      </c>
      <c r="W7" s="2">
        <v>72.7</v>
      </c>
    </row>
    <row r="8" spans="2:28">
      <c r="B8" s="31" t="s">
        <v>161</v>
      </c>
      <c r="C8" s="5">
        <f>'Ecart de soufflage'!N13</f>
        <v>0.15891654580634745</v>
      </c>
      <c r="D8" s="5">
        <f>'Ecart de soufflage'!H13</f>
        <v>5.3545930509281289E-2</v>
      </c>
      <c r="E8" s="5">
        <f t="shared" si="9"/>
        <v>0.19999999999999929</v>
      </c>
      <c r="F8" s="5">
        <f t="shared" si="0"/>
        <v>3.1783309161269375E-2</v>
      </c>
      <c r="G8" s="5">
        <f t="shared" si="10"/>
        <v>16.600000000000001</v>
      </c>
      <c r="H8" s="5">
        <f t="shared" si="1"/>
        <v>2.6380146603853678</v>
      </c>
      <c r="I8" s="5">
        <f t="shared" si="2"/>
        <v>1.8999999999999995</v>
      </c>
      <c r="J8" s="5">
        <f t="shared" si="3"/>
        <v>1.0869891733154162</v>
      </c>
      <c r="K8" s="5">
        <f>'Ecart de soufflage'!O13</f>
        <v>0.17090749999999999</v>
      </c>
      <c r="L8" s="5">
        <f>'Ecart de soufflage'!I13</f>
        <v>5.2447552447552455E-2</v>
      </c>
      <c r="M8" s="5">
        <f t="shared" si="4"/>
        <v>3.1728382358395777</v>
      </c>
      <c r="N8" s="5">
        <f t="shared" si="5"/>
        <v>0.5422618507917526</v>
      </c>
      <c r="O8" s="5">
        <f t="shared" si="6"/>
        <v>-11.272838235839572</v>
      </c>
      <c r="P8" s="5">
        <f t="shared" si="7"/>
        <v>-1.9266126007917515</v>
      </c>
      <c r="Q8" s="5">
        <f t="shared" si="11"/>
        <v>-5.0999999999999996</v>
      </c>
      <c r="R8" s="5">
        <f t="shared" si="8"/>
        <v>-3.1378616999999998</v>
      </c>
    </row>
    <row r="9" spans="2:28">
      <c r="B9" s="31" t="s">
        <v>162</v>
      </c>
      <c r="C9" s="5">
        <f>'Ecart de soufflage'!N14</f>
        <v>0.15989155405717101</v>
      </c>
      <c r="D9" s="5">
        <f>'Ecart de soufflage'!H14</f>
        <v>5.3545930509281289E-2</v>
      </c>
      <c r="E9" s="5">
        <f t="shared" si="9"/>
        <v>0.19999999999999929</v>
      </c>
      <c r="F9" s="5">
        <f t="shared" si="0"/>
        <v>3.1978310811434089E-2</v>
      </c>
      <c r="G9" s="5">
        <f t="shared" si="10"/>
        <v>16.600000000000001</v>
      </c>
      <c r="H9" s="5">
        <f t="shared" si="1"/>
        <v>2.654199797349039</v>
      </c>
      <c r="I9" s="5">
        <f t="shared" si="2"/>
        <v>1.8999999999999995</v>
      </c>
      <c r="J9" s="5">
        <f t="shared" si="3"/>
        <v>1.0936582297510495</v>
      </c>
      <c r="K9" s="5">
        <f>'Ecart de soufflage'!O14</f>
        <v>0.17132208333333332</v>
      </c>
      <c r="L9" s="5">
        <f>'Ecart de soufflage'!I14</f>
        <v>5.2447552447552455E-2</v>
      </c>
      <c r="M9" s="5">
        <f t="shared" si="4"/>
        <v>3.1728382358395777</v>
      </c>
      <c r="N9" s="5">
        <f t="shared" si="5"/>
        <v>0.54357725664369438</v>
      </c>
      <c r="O9" s="5">
        <f t="shared" si="6"/>
        <v>-11.272838235839572</v>
      </c>
      <c r="P9" s="5">
        <f t="shared" si="7"/>
        <v>-1.9312861316436933</v>
      </c>
      <c r="Q9" s="5">
        <f t="shared" si="11"/>
        <v>-5.0999999999999996</v>
      </c>
      <c r="R9" s="5">
        <f t="shared" si="8"/>
        <v>-3.1454734499999994</v>
      </c>
      <c r="T9" s="68" t="s">
        <v>115</v>
      </c>
    </row>
    <row r="10" spans="2:28">
      <c r="B10" s="31" t="s">
        <v>163</v>
      </c>
      <c r="C10" s="5">
        <f>'Ecart de soufflage'!N15</f>
        <v>0.15989155405717101</v>
      </c>
      <c r="D10" s="5">
        <f>'Ecart de soufflage'!H15</f>
        <v>5.3545930509281289E-2</v>
      </c>
      <c r="E10" s="5">
        <f t="shared" si="9"/>
        <v>0.19999999999999929</v>
      </c>
      <c r="F10" s="5">
        <f t="shared" si="0"/>
        <v>3.1978310811434089E-2</v>
      </c>
      <c r="G10" s="5">
        <f t="shared" si="10"/>
        <v>16.600000000000001</v>
      </c>
      <c r="H10" s="5">
        <f t="shared" si="1"/>
        <v>2.654199797349039</v>
      </c>
      <c r="I10" s="5">
        <f t="shared" si="2"/>
        <v>1.8999999999999995</v>
      </c>
      <c r="J10" s="5">
        <f t="shared" si="3"/>
        <v>1.0936582297510495</v>
      </c>
      <c r="K10" s="5">
        <f>'Ecart de soufflage'!O15</f>
        <v>0.17588208333333333</v>
      </c>
      <c r="L10" s="5">
        <f>'Ecart de soufflage'!I15</f>
        <v>5.2447552447552455E-2</v>
      </c>
      <c r="M10" s="5">
        <f t="shared" si="4"/>
        <v>3.1728382358395777</v>
      </c>
      <c r="N10" s="5">
        <f t="shared" si="5"/>
        <v>0.55804539899912287</v>
      </c>
      <c r="O10" s="5">
        <f t="shared" si="6"/>
        <v>-11.272838235839572</v>
      </c>
      <c r="P10" s="5">
        <f t="shared" si="7"/>
        <v>-1.9826902739991219</v>
      </c>
      <c r="Q10" s="5">
        <f t="shared" si="11"/>
        <v>-5.0999999999999996</v>
      </c>
      <c r="R10" s="5">
        <f t="shared" si="8"/>
        <v>-3.22919505</v>
      </c>
      <c r="T10" s="178" t="s">
        <v>120</v>
      </c>
      <c r="U10" s="178"/>
      <c r="V10" s="178"/>
      <c r="W10" s="178"/>
      <c r="X10" s="178"/>
      <c r="Y10" s="178"/>
      <c r="Z10" s="178"/>
      <c r="AA10" s="178"/>
    </row>
    <row r="11" spans="2:28">
      <c r="B11" s="31" t="s">
        <v>164</v>
      </c>
      <c r="C11" s="5">
        <f>'Ecart de soufflage'!N16</f>
        <v>0.2936783645948039</v>
      </c>
      <c r="D11" s="5">
        <f>'Ecart de soufflage'!H16</f>
        <v>0.2498810090433127</v>
      </c>
      <c r="E11" s="5">
        <f t="shared" si="9"/>
        <v>0.19999999999999929</v>
      </c>
      <c r="F11" s="5">
        <f t="shared" si="0"/>
        <v>5.873567291896057E-2</v>
      </c>
      <c r="G11" s="5">
        <f t="shared" si="10"/>
        <v>16.600000000000001</v>
      </c>
      <c r="H11" s="5">
        <f t="shared" si="1"/>
        <v>4.8750608522737453</v>
      </c>
      <c r="I11" s="5">
        <f t="shared" si="2"/>
        <v>1.8999999999999995</v>
      </c>
      <c r="J11" s="5">
        <f t="shared" si="3"/>
        <v>2.008760013828458</v>
      </c>
      <c r="K11" s="5">
        <f>'Ecart de soufflage'!O16</f>
        <v>0.3828507888888889</v>
      </c>
      <c r="L11" s="5">
        <f>'Ecart de soufflage'!I16</f>
        <v>0.24475524475524477</v>
      </c>
      <c r="M11" s="5">
        <f t="shared" si="4"/>
        <v>3.1728382358395777</v>
      </c>
      <c r="N11" s="5">
        <f t="shared" si="5"/>
        <v>1.2147236216080128</v>
      </c>
      <c r="O11" s="5">
        <f t="shared" si="6"/>
        <v>-11.272838235839572</v>
      </c>
      <c r="P11" s="5">
        <f t="shared" si="7"/>
        <v>-4.3158150116080112</v>
      </c>
      <c r="Q11" s="5">
        <f t="shared" si="11"/>
        <v>-5.0999999999999996</v>
      </c>
      <c r="R11" s="5">
        <f t="shared" si="8"/>
        <v>-7.029140484</v>
      </c>
      <c r="T11" s="14"/>
      <c r="U11" s="18" t="s">
        <v>10</v>
      </c>
      <c r="V11" s="18" t="s">
        <v>11</v>
      </c>
      <c r="W11" s="18" t="s">
        <v>12</v>
      </c>
      <c r="X11" s="18" t="s">
        <v>13</v>
      </c>
      <c r="Y11" s="18" t="s">
        <v>14</v>
      </c>
      <c r="Z11" s="46" t="s">
        <v>15</v>
      </c>
      <c r="AA11" s="46" t="s">
        <v>16</v>
      </c>
    </row>
    <row r="12" spans="2:28">
      <c r="B12" s="31" t="s">
        <v>165</v>
      </c>
      <c r="C12" s="5">
        <f>'Ecart de soufflage'!N17</f>
        <v>0.40391799094420477</v>
      </c>
      <c r="D12" s="5">
        <f>'Ecart de soufflage'!H17</f>
        <v>1.7848643503093765E-2</v>
      </c>
      <c r="E12" s="5">
        <f t="shared" si="9"/>
        <v>0.19999999999999929</v>
      </c>
      <c r="F12" s="5">
        <f t="shared" si="0"/>
        <v>8.0783598188840663E-2</v>
      </c>
      <c r="G12" s="5">
        <f t="shared" si="10"/>
        <v>16.600000000000001</v>
      </c>
      <c r="H12" s="5">
        <f t="shared" si="1"/>
        <v>6.7050386496738001</v>
      </c>
      <c r="I12" s="5">
        <f t="shared" si="2"/>
        <v>1.8999999999999995</v>
      </c>
      <c r="J12" s="5">
        <f t="shared" si="3"/>
        <v>2.7627990580583601</v>
      </c>
      <c r="K12" s="5">
        <f>'Ecart de soufflage'!O17</f>
        <v>0.22081249999999999</v>
      </c>
      <c r="L12" s="5">
        <f>'Ecart de soufflage'!I17</f>
        <v>1.7482517482517484E-2</v>
      </c>
      <c r="M12" s="5">
        <f t="shared" si="4"/>
        <v>3.1728382358395777</v>
      </c>
      <c r="N12" s="5">
        <f t="shared" si="5"/>
        <v>0.70060234295132673</v>
      </c>
      <c r="O12" s="5">
        <f t="shared" si="6"/>
        <v>-11.272838235839572</v>
      </c>
      <c r="P12" s="5">
        <f t="shared" si="7"/>
        <v>-2.4891835929513255</v>
      </c>
      <c r="Q12" s="5">
        <f t="shared" si="11"/>
        <v>-5.0999999999999996</v>
      </c>
      <c r="R12" s="5">
        <f t="shared" si="8"/>
        <v>-4.0541175000000003</v>
      </c>
      <c r="T12" s="2" t="s">
        <v>19</v>
      </c>
      <c r="U12" s="27">
        <v>-8</v>
      </c>
      <c r="V12" s="21">
        <f>622*Z12/(101325-Z12)</f>
        <v>1.7171699261819977</v>
      </c>
      <c r="W12" s="21">
        <f>1.009*(U12)+V12/1000*(2501.6+1.854*(U12))</f>
        <v>-3.8017967770082448</v>
      </c>
      <c r="X12" s="27">
        <v>90</v>
      </c>
      <c r="Y12" s="21">
        <f t="shared" ref="Y12" si="12">(U12+273.15)*287.05/101325</f>
        <v>0.75116020231926961</v>
      </c>
      <c r="Z12" s="21">
        <f>(X12/100)*AA12</f>
        <v>278.96016200898111</v>
      </c>
      <c r="AA12" s="21">
        <f>4.689*(1.486+(U12)/100)^12.3</f>
        <v>309.95573556553455</v>
      </c>
    </row>
    <row r="13" spans="2:28">
      <c r="B13" s="31" t="s">
        <v>166</v>
      </c>
      <c r="C13" s="5">
        <f>'Ecart de soufflage'!N18</f>
        <v>6.3850791581572988E-2</v>
      </c>
      <c r="D13" s="5">
        <f>'Ecart de soufflage'!H18</f>
        <v>1.7848643503093765E-2</v>
      </c>
      <c r="E13" s="5">
        <f t="shared" si="9"/>
        <v>0.19999999999999929</v>
      </c>
      <c r="F13" s="5">
        <f>C13*E13</f>
        <v>1.2770158316314553E-2</v>
      </c>
      <c r="G13" s="5">
        <f t="shared" si="10"/>
        <v>16.600000000000001</v>
      </c>
      <c r="H13" s="5">
        <f t="shared" si="1"/>
        <v>1.0599231402541116</v>
      </c>
      <c r="I13" s="5">
        <f t="shared" si="2"/>
        <v>1.8999999999999995</v>
      </c>
      <c r="J13" s="5">
        <f t="shared" si="3"/>
        <v>0.4367394144179591</v>
      </c>
      <c r="K13" s="5">
        <f>'Ecart de soufflage'!O18</f>
        <v>3.5740500000000001E-2</v>
      </c>
      <c r="L13" s="5">
        <f>'Ecart de soufflage'!I18</f>
        <v>1.7482517482517484E-2</v>
      </c>
      <c r="M13" s="5">
        <f t="shared" si="4"/>
        <v>3.1728382358395777</v>
      </c>
      <c r="N13" s="5">
        <f t="shared" si="5"/>
        <v>0.11339882496802443</v>
      </c>
      <c r="O13" s="5">
        <f t="shared" si="6"/>
        <v>-11.272838235839572</v>
      </c>
      <c r="P13" s="5">
        <f t="shared" si="7"/>
        <v>-0.40289687496802423</v>
      </c>
      <c r="Q13" s="5">
        <f t="shared" si="11"/>
        <v>-5.0999999999999996</v>
      </c>
      <c r="R13" s="5">
        <f t="shared" si="8"/>
        <v>-0.65619558</v>
      </c>
      <c r="T13" s="2">
        <v>0</v>
      </c>
      <c r="U13" s="74">
        <v>14</v>
      </c>
      <c r="V13" s="21">
        <v>5.4</v>
      </c>
      <c r="W13" s="21">
        <v>27.7</v>
      </c>
      <c r="X13" s="74">
        <v>54.6</v>
      </c>
      <c r="Y13" s="21">
        <f>(U13+273.15)*287.05/101325</f>
        <v>0.81348539353565263</v>
      </c>
      <c r="Z13" s="21">
        <f>(X13/100)*AA13</f>
        <v>873.43161896230367</v>
      </c>
      <c r="AA13" s="21">
        <f>288.68*(1.098+(U13)/100)^8.02</f>
        <v>1599.6916098210688</v>
      </c>
    </row>
    <row r="14" spans="2:28" ht="15.75">
      <c r="B14" s="104" t="s">
        <v>167</v>
      </c>
      <c r="C14" s="5">
        <f>'Ecart de soufflage'!N19</f>
        <v>0.16057503974053733</v>
      </c>
      <c r="D14" s="5">
        <f>'Ecart de soufflage'!H19</f>
        <v>1.7848643503093765E-2</v>
      </c>
      <c r="E14" s="5">
        <f t="shared" si="9"/>
        <v>0.19999999999999929</v>
      </c>
      <c r="F14" s="5">
        <f t="shared" si="0"/>
        <v>3.2115007948107351E-2</v>
      </c>
      <c r="G14" s="5">
        <f t="shared" si="10"/>
        <v>16.600000000000001</v>
      </c>
      <c r="H14" s="5">
        <f t="shared" si="1"/>
        <v>2.6655456596929197</v>
      </c>
      <c r="I14" s="5">
        <f t="shared" si="2"/>
        <v>1.8999999999999995</v>
      </c>
      <c r="J14" s="5">
        <f t="shared" si="3"/>
        <v>1.0983332718252752</v>
      </c>
      <c r="K14" s="5">
        <f>'Ecart de soufflage'!O19</f>
        <v>8.6485624999999997E-2</v>
      </c>
      <c r="L14" s="5">
        <f>'Ecart de soufflage'!I19</f>
        <v>1.7482517482517484E-2</v>
      </c>
      <c r="M14" s="5">
        <f t="shared" si="4"/>
        <v>3.1728382358395777</v>
      </c>
      <c r="N14" s="5">
        <f t="shared" si="5"/>
        <v>0.27440489785048328</v>
      </c>
      <c r="O14" s="5">
        <f t="shared" si="6"/>
        <v>-11.272838235839572</v>
      </c>
      <c r="P14" s="5">
        <f t="shared" si="7"/>
        <v>-0.97493846035048271</v>
      </c>
      <c r="Q14" s="5">
        <f t="shared" si="11"/>
        <v>-5.0999999999999996</v>
      </c>
      <c r="R14" s="5">
        <f t="shared" si="8"/>
        <v>-1.5878760749999998</v>
      </c>
      <c r="T14" s="2">
        <v>1</v>
      </c>
      <c r="U14" s="21">
        <f>14.2</f>
        <v>14.2</v>
      </c>
      <c r="V14" s="21">
        <f>V13</f>
        <v>5.4</v>
      </c>
      <c r="W14" s="21">
        <f>W15</f>
        <v>27.9</v>
      </c>
      <c r="X14" s="21">
        <v>54</v>
      </c>
      <c r="Y14" s="21">
        <f>(U14+273.15)*287.05/101325</f>
        <v>0.81405198618307417</v>
      </c>
      <c r="Z14" s="21">
        <f>(V14*101325)/(622+V14)</f>
        <v>872.09913930506855</v>
      </c>
      <c r="AA14" s="21">
        <f>288.68*(1.098+(U14)/100)^8.02</f>
        <v>1620.5357326626336</v>
      </c>
    </row>
    <row r="15" spans="2:28">
      <c r="B15" s="31" t="s">
        <v>168</v>
      </c>
      <c r="C15" s="5">
        <f>'Ecart de soufflage'!N20</f>
        <v>0.1870545979896634</v>
      </c>
      <c r="D15" s="5">
        <f>'Ecart de soufflage'!H20</f>
        <v>5.3545930509281289E-2</v>
      </c>
      <c r="E15" s="5">
        <f t="shared" si="9"/>
        <v>0.19999999999999929</v>
      </c>
      <c r="F15" s="5">
        <f t="shared" si="0"/>
        <v>3.7410919597932545E-2</v>
      </c>
      <c r="G15" s="5">
        <f t="shared" si="10"/>
        <v>16.600000000000001</v>
      </c>
      <c r="H15" s="5">
        <f t="shared" si="1"/>
        <v>3.1051063266284125</v>
      </c>
      <c r="I15" s="5">
        <f t="shared" si="2"/>
        <v>1.8999999999999995</v>
      </c>
      <c r="J15" s="5">
        <f t="shared" si="3"/>
        <v>1.2794534502492974</v>
      </c>
      <c r="K15" s="5">
        <f>'Ecart de soufflage'!O20</f>
        <v>0.37135758333333335</v>
      </c>
      <c r="L15" s="5">
        <f>'Ecart de soufflage'!I20</f>
        <v>5.2447552447552455E-2</v>
      </c>
      <c r="M15" s="5">
        <f t="shared" si="4"/>
        <v>3.1728382358395777</v>
      </c>
      <c r="N15" s="5">
        <f t="shared" si="5"/>
        <v>1.1782575395689823</v>
      </c>
      <c r="O15" s="5">
        <f t="shared" si="6"/>
        <v>-11.272838235839572</v>
      </c>
      <c r="P15" s="5">
        <f t="shared" si="7"/>
        <v>-4.18625396456898</v>
      </c>
      <c r="Q15" s="5">
        <f t="shared" si="11"/>
        <v>-5.0999999999999996</v>
      </c>
      <c r="R15" s="5">
        <f t="shared" si="8"/>
        <v>-6.8181252299999997</v>
      </c>
      <c r="T15" s="2">
        <v>2</v>
      </c>
      <c r="U15" s="21">
        <f>9.4</f>
        <v>9.4</v>
      </c>
      <c r="V15" s="21">
        <f>7.3</f>
        <v>7.3</v>
      </c>
      <c r="W15" s="21">
        <f>27.9</f>
        <v>27.9</v>
      </c>
      <c r="X15" s="21">
        <v>100</v>
      </c>
      <c r="Y15" s="21">
        <f>(U15+273.15)*287.05/101325</f>
        <v>0.80045376264495427</v>
      </c>
      <c r="Z15" s="21">
        <f>(V15*101325)/(622+V15)</f>
        <v>1175.3893214682982</v>
      </c>
      <c r="AA15" s="21">
        <f>Z15</f>
        <v>1175.3893214682982</v>
      </c>
    </row>
    <row r="16" spans="2:28">
      <c r="B16" s="31" t="s">
        <v>169</v>
      </c>
      <c r="C16" s="5">
        <f>'Ecart de soufflage'!N21</f>
        <v>0.26475148664072112</v>
      </c>
      <c r="D16" s="5">
        <f>'Ecart de soufflage'!H21</f>
        <v>0.10709186101856258</v>
      </c>
      <c r="E16" s="5">
        <f t="shared" si="9"/>
        <v>0.19999999999999929</v>
      </c>
      <c r="F16" s="5">
        <f t="shared" si="0"/>
        <v>5.2950297328144033E-2</v>
      </c>
      <c r="G16" s="5">
        <f t="shared" si="10"/>
        <v>16.600000000000001</v>
      </c>
      <c r="H16" s="5">
        <f t="shared" si="1"/>
        <v>4.3948746782359711</v>
      </c>
      <c r="I16" s="5">
        <f t="shared" si="2"/>
        <v>1.8999999999999995</v>
      </c>
      <c r="J16" s="5">
        <f t="shared" si="3"/>
        <v>1.8109001686225319</v>
      </c>
      <c r="K16" s="5">
        <f>'Ecart de soufflage'!O21</f>
        <v>0.28831666666666667</v>
      </c>
      <c r="L16" s="5">
        <f>'Ecart de soufflage'!I21</f>
        <v>0.10489510489510491</v>
      </c>
      <c r="M16" s="5">
        <f t="shared" si="4"/>
        <v>3.1728382358395777</v>
      </c>
      <c r="N16" s="5">
        <f t="shared" si="5"/>
        <v>0.91478214402981428</v>
      </c>
      <c r="O16" s="5">
        <f t="shared" si="6"/>
        <v>-11.272838235839572</v>
      </c>
      <c r="P16" s="5">
        <f t="shared" si="7"/>
        <v>-3.2501471440298126</v>
      </c>
      <c r="Q16" s="5">
        <f t="shared" si="11"/>
        <v>-5.0999999999999996</v>
      </c>
      <c r="R16" s="5">
        <f t="shared" si="8"/>
        <v>-5.293493999999999</v>
      </c>
      <c r="T16" s="2" t="s">
        <v>24</v>
      </c>
      <c r="U16" s="27">
        <v>20</v>
      </c>
      <c r="V16" s="21">
        <f>7.3</f>
        <v>7.3</v>
      </c>
      <c r="W16" s="21">
        <f>38.5</f>
        <v>38.5</v>
      </c>
      <c r="X16" s="27">
        <v>50</v>
      </c>
      <c r="Y16" s="21">
        <f>0.84</f>
        <v>0.84</v>
      </c>
      <c r="Z16" s="21">
        <f>X16/100*AA16</f>
        <v>1169.0948153478178</v>
      </c>
      <c r="AA16" s="21">
        <f>288.68*(1.098+(U16)/100)^8.02</f>
        <v>2338.1896306956355</v>
      </c>
    </row>
    <row r="17" spans="2:27">
      <c r="B17" s="31" t="s">
        <v>170</v>
      </c>
      <c r="C17" s="5">
        <f>'Ecart de soufflage'!N22</f>
        <v>0.46406473108043789</v>
      </c>
      <c r="D17" s="5">
        <f>'Ecart de soufflage'!H22</f>
        <v>0.46406473108043789</v>
      </c>
      <c r="E17" s="5">
        <f t="shared" si="9"/>
        <v>0.19999999999999929</v>
      </c>
      <c r="F17" s="5">
        <f t="shared" si="0"/>
        <v>9.2812946216087253E-2</v>
      </c>
      <c r="G17" s="5">
        <f t="shared" si="10"/>
        <v>16.600000000000001</v>
      </c>
      <c r="H17" s="5">
        <f t="shared" si="1"/>
        <v>7.7034745359352694</v>
      </c>
      <c r="I17" s="5">
        <f t="shared" si="2"/>
        <v>1.8999999999999995</v>
      </c>
      <c r="J17" s="5">
        <f t="shared" si="3"/>
        <v>3.1742027605901946</v>
      </c>
      <c r="K17" s="5">
        <f>'Ecart de soufflage'!O22</f>
        <v>0.6547897222222222</v>
      </c>
      <c r="L17" s="5">
        <f>'Ecart de soufflage'!I22</f>
        <v>0.45454545454545459</v>
      </c>
      <c r="M17" s="5">
        <f t="shared" si="4"/>
        <v>3.1728382358395777</v>
      </c>
      <c r="N17" s="5">
        <f t="shared" si="5"/>
        <v>2.0775418671014427</v>
      </c>
      <c r="O17" s="5">
        <f t="shared" si="6"/>
        <v>-11.272838235839572</v>
      </c>
      <c r="P17" s="5">
        <f t="shared" si="7"/>
        <v>-7.3813386171014388</v>
      </c>
      <c r="Q17" s="5">
        <f t="shared" si="11"/>
        <v>-5.0999999999999996</v>
      </c>
      <c r="R17" s="5">
        <f t="shared" si="8"/>
        <v>-12.021939299999998</v>
      </c>
      <c r="T17" s="2" t="s">
        <v>27</v>
      </c>
      <c r="U17" s="21">
        <f>25.7</f>
        <v>25.7</v>
      </c>
      <c r="V17" s="21">
        <f>7.3</f>
        <v>7.3</v>
      </c>
      <c r="W17" s="21">
        <f>44.5</f>
        <v>44.5</v>
      </c>
      <c r="X17" s="21">
        <f>35.6</f>
        <v>35.6</v>
      </c>
      <c r="Y17" s="43">
        <f>0.857</f>
        <v>0.85699999999999998</v>
      </c>
      <c r="Z17" s="21">
        <f>(V17*101325)/(622+V17)</f>
        <v>1175.3893214682982</v>
      </c>
      <c r="AA17" s="21">
        <f>288.68*(1.098+(U17)/100)^8.02</f>
        <v>3300.4248181568419</v>
      </c>
    </row>
    <row r="18" spans="2:27">
      <c r="B18" s="31" t="s">
        <v>171</v>
      </c>
      <c r="C18" s="5">
        <f>'Ecart de soufflage'!N23</f>
        <v>0.4878764903719085</v>
      </c>
      <c r="D18" s="5">
        <f>'Ecart de soufflage'!H23</f>
        <v>0.16063779152784388</v>
      </c>
      <c r="E18" s="5">
        <f t="shared" si="9"/>
        <v>0.19999999999999929</v>
      </c>
      <c r="F18" s="5">
        <f t="shared" si="0"/>
        <v>9.7575298074381353E-2</v>
      </c>
      <c r="G18" s="5">
        <f t="shared" si="10"/>
        <v>16.600000000000001</v>
      </c>
      <c r="H18" s="5">
        <f t="shared" si="1"/>
        <v>8.0987497401736821</v>
      </c>
      <c r="I18" s="5">
        <f t="shared" si="2"/>
        <v>1.8999999999999995</v>
      </c>
      <c r="J18" s="5">
        <f t="shared" si="3"/>
        <v>3.337075194143853</v>
      </c>
      <c r="K18" s="5">
        <f>'Ecart de soufflage'!O23</f>
        <v>0.3886933507604563</v>
      </c>
      <c r="L18" s="5">
        <f>'Ecart de soufflage'!I23</f>
        <v>0.15734265734265734</v>
      </c>
      <c r="M18" s="5">
        <f t="shared" si="4"/>
        <v>3.1728382358395777</v>
      </c>
      <c r="N18" s="5">
        <f t="shared" si="5"/>
        <v>1.2332611253093804</v>
      </c>
      <c r="O18" s="5">
        <f t="shared" si="6"/>
        <v>-11.272838235839572</v>
      </c>
      <c r="P18" s="5">
        <f t="shared" si="7"/>
        <v>-4.3816772664690742</v>
      </c>
      <c r="Q18" s="5">
        <f t="shared" si="11"/>
        <v>-5.0999999999999996</v>
      </c>
      <c r="R18" s="5">
        <f t="shared" si="8"/>
        <v>-7.1364099199619773</v>
      </c>
    </row>
    <row r="19" spans="2:27">
      <c r="B19" s="31" t="s">
        <v>172</v>
      </c>
      <c r="C19" s="5">
        <f>'Ecart de soufflage'!N24</f>
        <v>4.1714674610613289E-2</v>
      </c>
      <c r="D19" s="5">
        <f>'Ecart de soufflage'!H24</f>
        <v>1.7848643503093765E-2</v>
      </c>
      <c r="E19" s="5">
        <f t="shared" si="9"/>
        <v>0.19999999999999929</v>
      </c>
      <c r="F19" s="5">
        <f t="shared" si="0"/>
        <v>8.342934922122628E-3</v>
      </c>
      <c r="G19" s="5">
        <f t="shared" si="10"/>
        <v>16.600000000000001</v>
      </c>
      <c r="H19" s="5">
        <f t="shared" si="1"/>
        <v>0.69246359853618067</v>
      </c>
      <c r="I19" s="5">
        <f t="shared" si="2"/>
        <v>1.8999999999999995</v>
      </c>
      <c r="J19" s="5">
        <f t="shared" si="3"/>
        <v>0.2853283743365948</v>
      </c>
      <c r="K19" s="5">
        <f>'Ecart de soufflage'!O24</f>
        <v>3.7047361111111107E-2</v>
      </c>
      <c r="L19" s="5">
        <f>'Ecart de soufflage'!I24</f>
        <v>1.7482517482517484E-2</v>
      </c>
      <c r="M19" s="5">
        <f t="shared" si="4"/>
        <v>3.1728382358395777</v>
      </c>
      <c r="N19" s="5">
        <f t="shared" si="5"/>
        <v>0.11754528387028955</v>
      </c>
      <c r="O19" s="5">
        <f t="shared" si="6"/>
        <v>-11.272838235839572</v>
      </c>
      <c r="P19" s="5">
        <f t="shared" si="7"/>
        <v>-0.41762890887028931</v>
      </c>
      <c r="Q19" s="5">
        <f t="shared" si="11"/>
        <v>-5.0999999999999996</v>
      </c>
      <c r="R19" s="5">
        <f t="shared" si="8"/>
        <v>-0.68018954999999992</v>
      </c>
    </row>
    <row r="20" spans="2:27">
      <c r="B20" s="31" t="s">
        <v>173</v>
      </c>
      <c r="C20" s="5">
        <f>'Ecart de soufflage'!N25</f>
        <v>3.8539773371750546E-2</v>
      </c>
      <c r="D20" s="5">
        <f>'Ecart de soufflage'!H25</f>
        <v>1.7848643503093765E-2</v>
      </c>
      <c r="E20" s="5">
        <f t="shared" si="9"/>
        <v>0.19999999999999929</v>
      </c>
      <c r="F20" s="5">
        <f t="shared" si="0"/>
        <v>7.7079546743500822E-3</v>
      </c>
      <c r="G20" s="5">
        <f t="shared" si="10"/>
        <v>16.600000000000001</v>
      </c>
      <c r="H20" s="5">
        <f t="shared" si="1"/>
        <v>0.63976023797105908</v>
      </c>
      <c r="I20" s="5">
        <f t="shared" si="2"/>
        <v>1.8999999999999995</v>
      </c>
      <c r="J20" s="5">
        <f t="shared" si="3"/>
        <v>0.2636120498627737</v>
      </c>
      <c r="K20" s="5">
        <f>'Ecart de soufflage'!O25</f>
        <v>3.5337361111111111E-2</v>
      </c>
      <c r="L20" s="5">
        <f>'Ecart de soufflage'!I25</f>
        <v>1.7482517482517484E-2</v>
      </c>
      <c r="M20" s="5">
        <f t="shared" si="4"/>
        <v>3.1728382358395777</v>
      </c>
      <c r="N20" s="5">
        <f t="shared" si="5"/>
        <v>0.11211973048700388</v>
      </c>
      <c r="O20" s="5">
        <f t="shared" si="6"/>
        <v>-11.272838235839572</v>
      </c>
      <c r="P20" s="5">
        <f t="shared" si="7"/>
        <v>-0.39835235548700365</v>
      </c>
      <c r="Q20" s="5">
        <f t="shared" si="11"/>
        <v>-5.0999999999999996</v>
      </c>
      <c r="R20" s="5">
        <f t="shared" si="8"/>
        <v>-0.64879394999999995</v>
      </c>
      <c r="T20" s="173" t="s">
        <v>121</v>
      </c>
      <c r="U20" s="174"/>
      <c r="V20" s="174"/>
      <c r="W20" s="174"/>
      <c r="X20" s="174"/>
      <c r="Y20" s="174"/>
      <c r="Z20" s="174"/>
      <c r="AA20" s="175"/>
    </row>
    <row r="21" spans="2:27">
      <c r="B21" s="31" t="s">
        <v>174</v>
      </c>
      <c r="C21" s="5">
        <f>'Ecart de soufflage'!N26</f>
        <v>0.15345355987836598</v>
      </c>
      <c r="D21" s="5">
        <f>'Ecart de soufflage'!H26</f>
        <v>8.924321751546882E-2</v>
      </c>
      <c r="E21" s="5">
        <f t="shared" si="9"/>
        <v>0.19999999999999929</v>
      </c>
      <c r="F21" s="5">
        <f t="shared" si="0"/>
        <v>3.0690711975673086E-2</v>
      </c>
      <c r="G21" s="5">
        <f t="shared" si="10"/>
        <v>16.600000000000001</v>
      </c>
      <c r="H21" s="5">
        <f t="shared" si="1"/>
        <v>2.5473290939808755</v>
      </c>
      <c r="I21" s="5">
        <f t="shared" si="2"/>
        <v>1.8999999999999995</v>
      </c>
      <c r="J21" s="5">
        <f t="shared" si="3"/>
        <v>1.049622349568023</v>
      </c>
      <c r="K21" s="5">
        <f>'Ecart de soufflage'!O26</f>
        <v>0.15554930555555552</v>
      </c>
      <c r="L21" s="5">
        <f>'Ecart de soufflage'!I26</f>
        <v>8.7412587412587409E-2</v>
      </c>
      <c r="M21" s="5">
        <f t="shared" si="4"/>
        <v>3.1728382358395777</v>
      </c>
      <c r="N21" s="5">
        <f t="shared" si="5"/>
        <v>0.49353278422496016</v>
      </c>
      <c r="O21" s="5">
        <f t="shared" si="6"/>
        <v>-11.272838235839572</v>
      </c>
      <c r="P21" s="5">
        <f t="shared" si="7"/>
        <v>-1.753482159224959</v>
      </c>
      <c r="Q21" s="5">
        <f t="shared" si="11"/>
        <v>-5.0999999999999996</v>
      </c>
      <c r="R21" s="5">
        <f t="shared" si="8"/>
        <v>-2.8558852499999992</v>
      </c>
      <c r="T21" s="1"/>
      <c r="U21" s="3" t="s">
        <v>10</v>
      </c>
      <c r="V21" s="3" t="s">
        <v>11</v>
      </c>
      <c r="W21" s="3" t="s">
        <v>12</v>
      </c>
      <c r="X21" s="3" t="s">
        <v>13</v>
      </c>
      <c r="Y21" s="3" t="s">
        <v>14</v>
      </c>
      <c r="Z21" s="28" t="s">
        <v>15</v>
      </c>
      <c r="AA21" s="28" t="s">
        <v>16</v>
      </c>
    </row>
    <row r="22" spans="2:27">
      <c r="B22" s="31" t="s">
        <v>175</v>
      </c>
      <c r="C22" s="5">
        <f>'Ecart de soufflage'!N27</f>
        <v>0.1082112172245719</v>
      </c>
      <c r="D22" s="5">
        <f>'Ecart de soufflage'!H27</f>
        <v>8.924321751546882E-2</v>
      </c>
      <c r="E22" s="5">
        <f>W$14-W$13</f>
        <v>0.19999999999999929</v>
      </c>
      <c r="F22" s="5">
        <f>C22*E22</f>
        <v>2.1642243444914302E-2</v>
      </c>
      <c r="G22" s="5">
        <f>W$17-W$15</f>
        <v>16.600000000000001</v>
      </c>
      <c r="H22" s="5">
        <f>C22*G22</f>
        <v>1.7963062059278938</v>
      </c>
      <c r="I22" s="5">
        <f>V$15-V$14</f>
        <v>1.8999999999999995</v>
      </c>
      <c r="J22" s="5">
        <f>C22*I22*3.6</f>
        <v>0.74016472581607162</v>
      </c>
      <c r="K22" s="5">
        <f>'Ecart de soufflage'!O27</f>
        <v>0.13118180555555553</v>
      </c>
      <c r="L22" s="5">
        <f>'Ecart de soufflage'!I27</f>
        <v>8.7412587412587409E-2</v>
      </c>
      <c r="M22" s="5">
        <f>W$26-W$24</f>
        <v>3.1728382358395777</v>
      </c>
      <c r="N22" s="5">
        <f>K22*M22</f>
        <v>0.41621864851313933</v>
      </c>
      <c r="O22" s="5">
        <f>W$24-W$23</f>
        <v>-11.272838235839572</v>
      </c>
      <c r="P22" s="5">
        <f t="shared" si="7"/>
        <v>-1.4787912735131383</v>
      </c>
      <c r="Q22" s="5">
        <f>V$24-V$22</f>
        <v>-5.0999999999999996</v>
      </c>
      <c r="R22" s="5">
        <f>K22*Q22*3.6</f>
        <v>-2.4084979499999997</v>
      </c>
      <c r="T22" s="2" t="s">
        <v>19</v>
      </c>
      <c r="U22" s="27">
        <v>32</v>
      </c>
      <c r="V22" s="21">
        <f>15</f>
        <v>15</v>
      </c>
      <c r="W22" s="21">
        <f>70.5</f>
        <v>70.5</v>
      </c>
      <c r="X22" s="27">
        <v>50</v>
      </c>
      <c r="Y22" s="21">
        <f>0.89</f>
        <v>0.89</v>
      </c>
      <c r="Z22" s="21">
        <f>(X22/100)*AA22</f>
        <v>2375.9104754400132</v>
      </c>
      <c r="AA22" s="21">
        <f>288.68*(1.098+(U22)/100)^8.02</f>
        <v>4751.8209508800264</v>
      </c>
    </row>
    <row r="23" spans="2:27">
      <c r="B23" s="31" t="s">
        <v>176</v>
      </c>
      <c r="C23" s="5">
        <f>'Ecart de soufflage'!N28</f>
        <v>9.6040762475598035E-2</v>
      </c>
      <c r="D23" s="5">
        <f>'Ecart de soufflage'!H28</f>
        <v>0</v>
      </c>
      <c r="E23" s="5">
        <f>W$14-W$13</f>
        <v>0.19999999999999929</v>
      </c>
      <c r="F23" s="5">
        <f>C23*E23</f>
        <v>1.9208152495119538E-2</v>
      </c>
      <c r="G23" s="5">
        <f>W$17-W$15</f>
        <v>16.600000000000001</v>
      </c>
      <c r="H23" s="5">
        <f>C23*G23</f>
        <v>1.5942766570949276</v>
      </c>
      <c r="I23" s="5">
        <f>V$15-V$14</f>
        <v>1.8999999999999995</v>
      </c>
      <c r="J23" s="5">
        <f>C23*I23*3.6</f>
        <v>0.65691881533309038</v>
      </c>
      <c r="K23" s="5">
        <f>'Ecart de soufflage'!O28</f>
        <v>4.0837499999999999E-2</v>
      </c>
      <c r="L23" s="5">
        <f>'Ecart de soufflage'!I28</f>
        <v>0</v>
      </c>
      <c r="M23" s="5">
        <f>W$26-W$24</f>
        <v>3.1728382358395777</v>
      </c>
      <c r="N23" s="5">
        <f>K23*M23</f>
        <v>0.12957078145609874</v>
      </c>
      <c r="O23" s="5">
        <f>W$24-W$23</f>
        <v>-11.272838235839572</v>
      </c>
      <c r="P23" s="5">
        <f t="shared" si="7"/>
        <v>-0.4603545314560985</v>
      </c>
      <c r="Q23" s="5">
        <f>V$24-V$22</f>
        <v>-5.0999999999999996</v>
      </c>
      <c r="R23" s="5">
        <f>K23*Q23*3.6</f>
        <v>-0.74977649999999996</v>
      </c>
      <c r="T23" s="22">
        <v>0</v>
      </c>
      <c r="U23" s="74">
        <v>19.3</v>
      </c>
      <c r="V23" s="21">
        <v>11.9</v>
      </c>
      <c r="W23" s="21">
        <v>50.3</v>
      </c>
      <c r="X23" s="74">
        <v>79.900000000000006</v>
      </c>
      <c r="Y23" s="21">
        <f>(U23+273.15)*287.05/101325</f>
        <v>0.82850009869232677</v>
      </c>
      <c r="Z23" s="21">
        <f>(X23/100)*AA23</f>
        <v>1788.9241992300269</v>
      </c>
      <c r="AA23" s="21">
        <f>288.68*(1.098+(U23)/100)^8.02</f>
        <v>2238.9539414643641</v>
      </c>
    </row>
    <row r="24" spans="2:27">
      <c r="B24" s="32" t="s">
        <v>177</v>
      </c>
      <c r="C24" s="5">
        <f>'Ecart de soufflage'!N29</f>
        <v>3.0990563759343566E-2</v>
      </c>
      <c r="D24" s="5">
        <f>'Ecart de soufflage'!H29</f>
        <v>0</v>
      </c>
      <c r="E24" s="5">
        <f>W$14-W$13</f>
        <v>0.19999999999999929</v>
      </c>
      <c r="F24" s="5">
        <f>C24*E24</f>
        <v>6.198112751868691E-3</v>
      </c>
      <c r="G24" s="5">
        <f>W$17-W$15</f>
        <v>16.600000000000001</v>
      </c>
      <c r="H24" s="5">
        <f>C24*G24</f>
        <v>0.51444335840510325</v>
      </c>
      <c r="I24" s="5">
        <f>V$15-V$14</f>
        <v>1.8999999999999995</v>
      </c>
      <c r="J24" s="5">
        <f>C24*I24*3.6</f>
        <v>0.21197545611390994</v>
      </c>
      <c r="K24" s="5">
        <f>'Ecart de soufflage'!O29</f>
        <v>1.3177499999999997E-2</v>
      </c>
      <c r="L24" s="5">
        <f>'Ecart de soufflage'!I29</f>
        <v>0</v>
      </c>
      <c r="M24" s="5">
        <f>W$26-W$24</f>
        <v>3.1728382358395777</v>
      </c>
      <c r="N24" s="5">
        <f>K24*M24</f>
        <v>4.1810075852776026E-2</v>
      </c>
      <c r="O24" s="5">
        <f>W$24-W$23</f>
        <v>-11.272838235839572</v>
      </c>
      <c r="P24" s="5">
        <f t="shared" si="7"/>
        <v>-0.14854782585277593</v>
      </c>
      <c r="Q24" s="5">
        <f>V$24-V$22</f>
        <v>-5.0999999999999996</v>
      </c>
      <c r="R24" s="5">
        <f>K24*Q24*3.6</f>
        <v>-0.24193889999999993</v>
      </c>
      <c r="T24" s="22">
        <v>3</v>
      </c>
      <c r="U24" s="21">
        <f>((AA24/288.68)^(1/8.02)-1.098)*100</f>
        <v>13.881596251343421</v>
      </c>
      <c r="V24" s="21">
        <f>V25</f>
        <v>9.9</v>
      </c>
      <c r="W24" s="21">
        <f>1.009*(U24)+V24/1000*(2501.6+1.854*(U24))</f>
        <v>39.027161764160425</v>
      </c>
      <c r="X24" s="21">
        <v>100</v>
      </c>
      <c r="Y24" s="21">
        <f>0.83</f>
        <v>0.83</v>
      </c>
      <c r="Z24" s="21">
        <f>(V24*101325)/(622+V24)</f>
        <v>1587.4624149390727</v>
      </c>
      <c r="AA24" s="21">
        <f>Z24</f>
        <v>1587.4624149390727</v>
      </c>
    </row>
    <row r="25" spans="2:27">
      <c r="C25" s="62">
        <f>SUM(C4:C24)</f>
        <v>4.0945628278583026</v>
      </c>
      <c r="D25" s="62">
        <f>SUM(D4:D24)</f>
        <v>1.7313184198000955</v>
      </c>
      <c r="E25" s="5"/>
      <c r="F25" s="48">
        <f>SUM(F4:F24)</f>
        <v>0.81891256557165748</v>
      </c>
      <c r="G25" s="5"/>
      <c r="H25" s="48">
        <f>SUM(H4:H24)</f>
        <v>67.969742942447823</v>
      </c>
      <c r="I25" s="5"/>
      <c r="J25" s="48">
        <f>SUM(J4:J24)</f>
        <v>28.006809742550775</v>
      </c>
      <c r="K25" s="62">
        <f>SUM(K4:K24)</f>
        <v>4.1379927757604564</v>
      </c>
      <c r="L25" s="62">
        <f>SUM(L4:L24)</f>
        <v>1.6958041958041961</v>
      </c>
      <c r="M25" s="5"/>
      <c r="N25" s="48">
        <f>SUM(N4:N24)</f>
        <v>13.129181698560725</v>
      </c>
      <c r="O25" s="5"/>
      <c r="P25" s="48">
        <f>SUM(P4:P24)</f>
        <v>-46.646923182220398</v>
      </c>
      <c r="Q25" s="5"/>
      <c r="R25" s="48">
        <f>SUM(R4:R24)</f>
        <v>-75.973547362961952</v>
      </c>
      <c r="T25" s="2" t="s">
        <v>24</v>
      </c>
      <c r="U25" s="27">
        <v>25</v>
      </c>
      <c r="V25" s="21">
        <f>9.9</f>
        <v>9.9</v>
      </c>
      <c r="W25" s="21">
        <f>50.3</f>
        <v>50.3</v>
      </c>
      <c r="X25" s="27">
        <v>50</v>
      </c>
      <c r="Y25" s="21">
        <f>0.86</f>
        <v>0.86</v>
      </c>
      <c r="Z25" s="21">
        <f>X25/100*AA25</f>
        <v>1583.0682413301295</v>
      </c>
      <c r="AA25" s="21">
        <f>288.68*(1.098+(U25)/100)^8.02</f>
        <v>3166.1364826602589</v>
      </c>
    </row>
    <row r="26" spans="2:27">
      <c r="C26" s="17">
        <f>C25-D25</f>
        <v>2.3632444080582071</v>
      </c>
      <c r="K26" s="17">
        <f>K25-L25</f>
        <v>2.4421885799562606</v>
      </c>
      <c r="T26" s="9" t="s">
        <v>27</v>
      </c>
      <c r="U26" s="21">
        <f>U25-'Ecart de soufflage'!$O$4</f>
        <v>17</v>
      </c>
      <c r="V26" s="21">
        <f>9.9</f>
        <v>9.9</v>
      </c>
      <c r="W26" s="21">
        <f>42.2</f>
        <v>42.2</v>
      </c>
      <c r="X26" s="21">
        <f>81.9</f>
        <v>81.900000000000006</v>
      </c>
      <c r="Y26" s="21">
        <f>0.835</f>
        <v>0.83499999999999996</v>
      </c>
      <c r="Z26" s="21">
        <f>(V26*101325)/(622+V26)</f>
        <v>1587.4624149390727</v>
      </c>
      <c r="AA26" s="21">
        <f>288.68*(1.098+(U26)/100)^8.02</f>
        <v>1938.3540681060183</v>
      </c>
    </row>
    <row r="27" spans="2:27">
      <c r="C27">
        <f>C25*3600*Y13</f>
        <v>11991.121392156358</v>
      </c>
      <c r="K27">
        <f>K25*3600*Y23</f>
        <v>12341.978723180424</v>
      </c>
    </row>
    <row r="29" spans="2:27">
      <c r="G29" s="70"/>
    </row>
    <row r="30" spans="2:27">
      <c r="M30" t="s">
        <v>265</v>
      </c>
    </row>
    <row r="33" spans="2:8">
      <c r="H33" t="s">
        <v>228</v>
      </c>
    </row>
    <row r="39" spans="2:8">
      <c r="B39" s="172" t="s">
        <v>110</v>
      </c>
      <c r="C39" s="172"/>
    </row>
    <row r="40" spans="2:8" ht="16.5">
      <c r="B40" s="41" t="s">
        <v>105</v>
      </c>
      <c r="C40" s="5">
        <f>F25</f>
        <v>0.81891256557165748</v>
      </c>
    </row>
    <row r="41" spans="2:8" ht="16.5">
      <c r="B41" s="41" t="s">
        <v>106</v>
      </c>
      <c r="C41" s="5">
        <f>MAX(H25,N25)</f>
        <v>67.969742942447823</v>
      </c>
    </row>
    <row r="42" spans="2:8">
      <c r="B42" s="42" t="s">
        <v>107</v>
      </c>
      <c r="C42" s="5">
        <f>J25</f>
        <v>28.006809742550775</v>
      </c>
    </row>
    <row r="43" spans="2:8">
      <c r="B43" s="41" t="s">
        <v>108</v>
      </c>
      <c r="C43" s="5">
        <f>P25</f>
        <v>-46.646923182220398</v>
      </c>
    </row>
    <row r="44" spans="2:8">
      <c r="B44" s="42" t="s">
        <v>109</v>
      </c>
      <c r="C44" s="5">
        <f>R25</f>
        <v>-75.973547362961952</v>
      </c>
    </row>
    <row r="45" spans="2:8">
      <c r="B45" s="63" t="s">
        <v>116</v>
      </c>
      <c r="C45" s="1">
        <f>C25*Y17*3600</f>
        <v>12632.545236508435</v>
      </c>
    </row>
    <row r="46" spans="2:8">
      <c r="B46" s="63" t="s">
        <v>117</v>
      </c>
      <c r="C46" s="1">
        <f>K25*3600*Y26</f>
        <v>12438.80628393593</v>
      </c>
    </row>
    <row r="55" spans="13:29">
      <c r="M55" t="s">
        <v>247</v>
      </c>
    </row>
    <row r="62" spans="13:29">
      <c r="AC62">
        <f>AB75/2</f>
        <v>1.05</v>
      </c>
    </row>
    <row r="72" spans="27:29">
      <c r="AA72" t="s">
        <v>238</v>
      </c>
      <c r="AB72">
        <f>'Climatisation  sans recyclage'!C27</f>
        <v>3.0756726421830032</v>
      </c>
    </row>
    <row r="73" spans="27:29">
      <c r="AA73" t="s">
        <v>239</v>
      </c>
      <c r="AB73">
        <f>'Climatisation  sans recyclage'!J27</f>
        <v>3.6828135704268061</v>
      </c>
    </row>
    <row r="75" spans="27:29">
      <c r="AA75" t="s">
        <v>236</v>
      </c>
      <c r="AB75">
        <v>2.1</v>
      </c>
    </row>
    <row r="76" spans="27:29">
      <c r="AA76" t="s">
        <v>237</v>
      </c>
      <c r="AB76">
        <v>2.1</v>
      </c>
    </row>
    <row r="78" spans="27:29">
      <c r="AA78" t="s">
        <v>5</v>
      </c>
      <c r="AB78">
        <f>AB76*AC62</f>
        <v>2.2050000000000001</v>
      </c>
    </row>
    <row r="80" spans="27:29">
      <c r="AA80" t="s">
        <v>240</v>
      </c>
      <c r="AB80">
        <f>AB78/AB72</f>
        <v>0.71691634856008912</v>
      </c>
      <c r="AC80" t="s">
        <v>252</v>
      </c>
    </row>
    <row r="81" spans="27:29">
      <c r="AA81" t="s">
        <v>241</v>
      </c>
      <c r="AB81">
        <f>AB73/AB78</f>
        <v>1.6702102360212272</v>
      </c>
      <c r="AC81" t="s">
        <v>253</v>
      </c>
    </row>
    <row r="111" spans="11:11">
      <c r="K111" t="s">
        <v>195</v>
      </c>
    </row>
    <row r="115" spans="14:23">
      <c r="N115" t="s">
        <v>234</v>
      </c>
    </row>
    <row r="126" spans="14:23">
      <c r="W126" s="91"/>
    </row>
    <row r="159" spans="19:19">
      <c r="S159" t="s">
        <v>251</v>
      </c>
    </row>
    <row r="272" spans="2:3">
      <c r="B272" s="1" t="s">
        <v>144</v>
      </c>
      <c r="C272" s="2" t="s">
        <v>149</v>
      </c>
    </row>
    <row r="273" spans="2:4">
      <c r="B273" s="2" t="s">
        <v>153</v>
      </c>
      <c r="C273" s="2" t="s">
        <v>154</v>
      </c>
    </row>
    <row r="274" spans="2:4">
      <c r="C274" t="s">
        <v>156</v>
      </c>
      <c r="D274" s="91" t="s">
        <v>155</v>
      </c>
    </row>
  </sheetData>
  <mergeCells count="5">
    <mergeCell ref="C2:J2"/>
    <mergeCell ref="K2:R2"/>
    <mergeCell ref="T10:AA10"/>
    <mergeCell ref="T20:AA20"/>
    <mergeCell ref="B39:C39"/>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A138-B3F9-094C-A422-0A37C2BEB458}">
  <dimension ref="B2:AD291"/>
  <sheetViews>
    <sheetView zoomScale="83" zoomScaleNormal="85" workbookViewId="0">
      <selection activeCell="AR62" sqref="AR62"/>
    </sheetView>
  </sheetViews>
  <sheetFormatPr baseColWidth="10" defaultColWidth="10.28515625" defaultRowHeight="15"/>
  <cols>
    <col min="2" max="2" width="24.7109375" customWidth="1"/>
    <col min="3" max="3" width="13.7109375" customWidth="1"/>
    <col min="9" max="9" width="13.140625" customWidth="1"/>
    <col min="10" max="10" width="14" customWidth="1"/>
    <col min="16" max="16" width="16.7109375" customWidth="1"/>
    <col min="18" max="18" width="14.7109375" customWidth="1"/>
    <col min="22" max="22" width="12.7109375" customWidth="1"/>
    <col min="23" max="23" width="13.7109375" customWidth="1"/>
    <col min="29" max="29" width="14.7109375" customWidth="1"/>
  </cols>
  <sheetData>
    <row r="2" spans="2:30">
      <c r="C2" s="197" t="s">
        <v>72</v>
      </c>
      <c r="D2" s="197"/>
      <c r="E2" s="197"/>
      <c r="F2" s="197"/>
      <c r="G2" s="197"/>
      <c r="H2" s="197"/>
      <c r="I2" s="197"/>
      <c r="J2" s="197"/>
      <c r="K2" s="177" t="s">
        <v>74</v>
      </c>
      <c r="L2" s="177"/>
      <c r="M2" s="177"/>
      <c r="N2" s="177"/>
      <c r="O2" s="177"/>
      <c r="P2" s="177"/>
      <c r="Q2" s="177"/>
      <c r="R2" s="177"/>
    </row>
    <row r="3" spans="2:30" ht="51">
      <c r="B3" s="65" t="s">
        <v>54</v>
      </c>
      <c r="C3" s="41" t="s">
        <v>84</v>
      </c>
      <c r="D3" s="41" t="s">
        <v>104</v>
      </c>
      <c r="E3" s="39" t="s">
        <v>102</v>
      </c>
      <c r="F3" s="41" t="s">
        <v>68</v>
      </c>
      <c r="G3" s="39" t="s">
        <v>244</v>
      </c>
      <c r="H3" s="41" t="s">
        <v>245</v>
      </c>
      <c r="I3" s="41" t="s">
        <v>246</v>
      </c>
      <c r="J3" s="42" t="s">
        <v>83</v>
      </c>
      <c r="K3" s="41" t="s">
        <v>85</v>
      </c>
      <c r="L3" s="41" t="s">
        <v>99</v>
      </c>
      <c r="M3" s="39" t="s">
        <v>69</v>
      </c>
      <c r="N3" s="41" t="s">
        <v>75</v>
      </c>
      <c r="O3" s="39" t="s">
        <v>103</v>
      </c>
      <c r="P3" s="41" t="s">
        <v>81</v>
      </c>
      <c r="Q3" s="41" t="s">
        <v>82</v>
      </c>
      <c r="R3" s="42" t="s">
        <v>83</v>
      </c>
      <c r="S3" s="40"/>
      <c r="T3" s="40"/>
      <c r="U3" s="40"/>
      <c r="V3" s="40"/>
      <c r="W3" s="40"/>
      <c r="X3" s="40"/>
      <c r="Y3" s="40"/>
      <c r="Z3" s="40"/>
      <c r="AA3" s="40"/>
      <c r="AB3" s="40"/>
      <c r="AC3" s="40"/>
    </row>
    <row r="4" spans="2:30">
      <c r="B4" s="31" t="s">
        <v>157</v>
      </c>
      <c r="C4" s="5">
        <f>'Ecart de soufflage'!N9</f>
        <v>0.26775000447742486</v>
      </c>
      <c r="D4" s="5">
        <f>'Ecart de soufflage'!H9</f>
        <v>1.7848643503093765E-2</v>
      </c>
      <c r="E4" s="5">
        <f t="shared" ref="E4:E21" si="0">W$14-W$13</f>
        <v>8.3999999999999986</v>
      </c>
      <c r="F4" s="5">
        <f t="shared" ref="F4:F21" si="1">C4*E4</f>
        <v>2.2491000376103685</v>
      </c>
      <c r="G4" s="5">
        <f t="shared" ref="G4:G21" si="2">W$17-W$15</f>
        <v>16.600000000000001</v>
      </c>
      <c r="H4" s="5">
        <f t="shared" ref="H4:H21" si="3">C4*G4</f>
        <v>4.4446500743252528</v>
      </c>
      <c r="I4" s="5">
        <f t="shared" ref="I4:I21" si="4">V$15-V$14</f>
        <v>5.6</v>
      </c>
      <c r="J4" s="5">
        <f t="shared" ref="J4:J21" si="5">C4*I4*3.6</f>
        <v>5.3978400902648849</v>
      </c>
      <c r="K4" s="5">
        <f>'Ecart de soufflage'!O9</f>
        <v>0.169430625</v>
      </c>
      <c r="L4" s="5">
        <f>'Ecart de soufflage'!I9</f>
        <v>1.7482517482517484E-2</v>
      </c>
      <c r="M4" s="5">
        <f t="shared" ref="M4:M21" si="6">W$26-W$24</f>
        <v>3.1728382358395777</v>
      </c>
      <c r="N4" s="5">
        <f t="shared" ref="N4:N21" si="7">K4*M4</f>
        <v>0.53757596532219709</v>
      </c>
      <c r="O4" s="5">
        <f t="shared" ref="O4:O21" si="8">W$24-W$23</f>
        <v>-19.472838235839575</v>
      </c>
      <c r="P4" s="5">
        <f t="shared" ref="P4:P24" si="9">K4*O4</f>
        <v>-3.2992951528221965</v>
      </c>
      <c r="Q4" s="5">
        <f t="shared" ref="Q4:Q24" si="10">V$24-V$23</f>
        <v>-5.0999999999999996</v>
      </c>
      <c r="R4" s="5">
        <f>K4*Q4*3.6</f>
        <v>-3.1107462749999999</v>
      </c>
    </row>
    <row r="5" spans="2:30">
      <c r="B5" s="31" t="s">
        <v>158</v>
      </c>
      <c r="C5" s="5">
        <f>'Ecart de soufflage'!N10</f>
        <v>0.20151803696670481</v>
      </c>
      <c r="D5" s="5">
        <f>'Ecart de soufflage'!H10</f>
        <v>0.17848643503093764</v>
      </c>
      <c r="E5" s="5">
        <f t="shared" si="0"/>
        <v>8.3999999999999986</v>
      </c>
      <c r="F5" s="5">
        <f t="shared" si="1"/>
        <v>1.6927515105203201</v>
      </c>
      <c r="G5" s="5">
        <f t="shared" si="2"/>
        <v>16.600000000000001</v>
      </c>
      <c r="H5" s="5">
        <f t="shared" si="3"/>
        <v>3.3451994136473</v>
      </c>
      <c r="I5" s="5">
        <f t="shared" si="4"/>
        <v>5.6</v>
      </c>
      <c r="J5" s="5">
        <f t="shared" si="5"/>
        <v>4.0626036252487685</v>
      </c>
      <c r="K5" s="5">
        <f>'Ecart de soufflage'!O10</f>
        <v>0.26734275277777775</v>
      </c>
      <c r="L5" s="5">
        <f>'Ecart de soufflage'!I10</f>
        <v>0.17482517482517482</v>
      </c>
      <c r="M5" s="5">
        <f t="shared" si="6"/>
        <v>3.1728382358395777</v>
      </c>
      <c r="N5" s="5">
        <f t="shared" si="7"/>
        <v>0.84823530808794068</v>
      </c>
      <c r="O5" s="5">
        <f t="shared" si="8"/>
        <v>-19.472838235839575</v>
      </c>
      <c r="P5" s="5">
        <f t="shared" si="9"/>
        <v>-5.205922178365717</v>
      </c>
      <c r="Q5" s="5">
        <f t="shared" si="10"/>
        <v>-5.0999999999999996</v>
      </c>
      <c r="R5" s="5">
        <f t="shared" ref="R5:R21" si="11">K5*Q5*3.6</f>
        <v>-4.908412940999999</v>
      </c>
    </row>
    <row r="6" spans="2:30">
      <c r="B6" s="31" t="s">
        <v>159</v>
      </c>
      <c r="C6" s="5">
        <f>'Ecart de soufflage'!N11</f>
        <v>0.1094459010396852</v>
      </c>
      <c r="D6" s="5">
        <f>'Ecart de soufflage'!H11</f>
        <v>1.7848643503093765E-2</v>
      </c>
      <c r="E6" s="5">
        <f t="shared" si="0"/>
        <v>8.3999999999999986</v>
      </c>
      <c r="F6" s="5">
        <f t="shared" si="1"/>
        <v>0.91934556873335549</v>
      </c>
      <c r="G6" s="5">
        <f t="shared" si="2"/>
        <v>16.600000000000001</v>
      </c>
      <c r="H6" s="5">
        <f t="shared" si="3"/>
        <v>1.8168019572587744</v>
      </c>
      <c r="I6" s="5">
        <f t="shared" si="4"/>
        <v>5.6</v>
      </c>
      <c r="J6" s="5">
        <f t="shared" si="5"/>
        <v>2.2064293649600533</v>
      </c>
      <c r="K6" s="5">
        <f>'Ecart de soufflage'!O11</f>
        <v>6.1053499999999997E-2</v>
      </c>
      <c r="L6" s="5">
        <f>'Ecart de soufflage'!I11</f>
        <v>1.7482517482517484E-2</v>
      </c>
      <c r="M6" s="5">
        <f t="shared" si="6"/>
        <v>3.1728382358395777</v>
      </c>
      <c r="N6" s="5">
        <f t="shared" si="7"/>
        <v>0.19371287923183164</v>
      </c>
      <c r="O6" s="5">
        <f t="shared" si="8"/>
        <v>-19.472838235839575</v>
      </c>
      <c r="P6" s="5">
        <f t="shared" si="9"/>
        <v>-1.1888849292318313</v>
      </c>
      <c r="Q6" s="5">
        <f t="shared" si="10"/>
        <v>-5.0999999999999996</v>
      </c>
      <c r="R6" s="5">
        <f t="shared" si="11"/>
        <v>-1.1209422599999999</v>
      </c>
    </row>
    <row r="7" spans="2:30">
      <c r="B7" s="31" t="s">
        <v>160</v>
      </c>
      <c r="C7" s="5">
        <f>'Ecart de soufflage'!N12</f>
        <v>0.24242918718970466</v>
      </c>
      <c r="D7" s="5">
        <f>'Ecart de soufflage'!H12</f>
        <v>5.3545930509281289E-2</v>
      </c>
      <c r="E7" s="5">
        <f t="shared" si="0"/>
        <v>8.3999999999999986</v>
      </c>
      <c r="F7" s="5">
        <f t="shared" si="1"/>
        <v>2.0364051723935188</v>
      </c>
      <c r="G7" s="5">
        <f t="shared" si="2"/>
        <v>16.600000000000001</v>
      </c>
      <c r="H7" s="5">
        <f t="shared" si="3"/>
        <v>4.0243245073490979</v>
      </c>
      <c r="I7" s="5">
        <f t="shared" si="4"/>
        <v>5.6</v>
      </c>
      <c r="J7" s="5">
        <f t="shared" si="5"/>
        <v>4.8873724137444459</v>
      </c>
      <c r="K7" s="5">
        <f>'Ecart de soufflage'!O12</f>
        <v>0.27987666111111109</v>
      </c>
      <c r="L7" s="5">
        <f>'Ecart de soufflage'!I12</f>
        <v>5.2447552447552455E-2</v>
      </c>
      <c r="M7" s="5">
        <f t="shared" si="6"/>
        <v>3.1728382358395777</v>
      </c>
      <c r="N7" s="5">
        <f t="shared" si="7"/>
        <v>0.88800337169244903</v>
      </c>
      <c r="O7" s="5">
        <f t="shared" si="8"/>
        <v>-19.472838235839575</v>
      </c>
      <c r="P7" s="5">
        <f t="shared" si="9"/>
        <v>-5.4499929478035591</v>
      </c>
      <c r="Q7" s="5">
        <f t="shared" si="10"/>
        <v>-5.0999999999999996</v>
      </c>
      <c r="R7" s="5">
        <f t="shared" si="11"/>
        <v>-5.1385354979999995</v>
      </c>
    </row>
    <row r="8" spans="2:30">
      <c r="B8" s="31" t="s">
        <v>161</v>
      </c>
      <c r="C8" s="5">
        <f>'Ecart de soufflage'!N13</f>
        <v>0.15891654580634745</v>
      </c>
      <c r="D8" s="5">
        <f>'Ecart de soufflage'!H13</f>
        <v>5.3545930509281289E-2</v>
      </c>
      <c r="E8" s="5">
        <f t="shared" si="0"/>
        <v>8.3999999999999986</v>
      </c>
      <c r="F8" s="5">
        <f t="shared" si="1"/>
        <v>1.3348989847733184</v>
      </c>
      <c r="G8" s="5">
        <f t="shared" si="2"/>
        <v>16.600000000000001</v>
      </c>
      <c r="H8" s="5">
        <f t="shared" si="3"/>
        <v>2.6380146603853678</v>
      </c>
      <c r="I8" s="5">
        <f t="shared" si="4"/>
        <v>5.6</v>
      </c>
      <c r="J8" s="5">
        <f t="shared" si="5"/>
        <v>3.2037575634559645</v>
      </c>
      <c r="K8" s="5">
        <f>'Ecart de soufflage'!O13</f>
        <v>0.17090749999999999</v>
      </c>
      <c r="L8" s="5">
        <f>'Ecart de soufflage'!I13</f>
        <v>5.2447552447552455E-2</v>
      </c>
      <c r="M8" s="5">
        <f t="shared" si="6"/>
        <v>3.1728382358395777</v>
      </c>
      <c r="N8" s="5">
        <f t="shared" si="7"/>
        <v>0.5422618507917526</v>
      </c>
      <c r="O8" s="5">
        <f t="shared" si="8"/>
        <v>-19.472838235839575</v>
      </c>
      <c r="P8" s="5">
        <f t="shared" si="9"/>
        <v>-3.3280541007917521</v>
      </c>
      <c r="Q8" s="5">
        <f t="shared" si="10"/>
        <v>-5.0999999999999996</v>
      </c>
      <c r="R8" s="5">
        <f t="shared" si="11"/>
        <v>-3.1378616999999998</v>
      </c>
      <c r="AC8" s="2" t="s">
        <v>123</v>
      </c>
      <c r="AD8" s="1"/>
    </row>
    <row r="9" spans="2:30">
      <c r="B9" s="31" t="s">
        <v>162</v>
      </c>
      <c r="C9" s="5">
        <f>'Ecart de soufflage'!N14</f>
        <v>0.15989155405717101</v>
      </c>
      <c r="D9" s="5">
        <f>'Ecart de soufflage'!H14</f>
        <v>5.3545930509281289E-2</v>
      </c>
      <c r="E9" s="5">
        <f t="shared" si="0"/>
        <v>8.3999999999999986</v>
      </c>
      <c r="F9" s="5">
        <f t="shared" si="1"/>
        <v>1.3430890540802363</v>
      </c>
      <c r="G9" s="5">
        <f t="shared" si="2"/>
        <v>16.600000000000001</v>
      </c>
      <c r="H9" s="5">
        <f t="shared" si="3"/>
        <v>2.654199797349039</v>
      </c>
      <c r="I9" s="5">
        <f t="shared" si="4"/>
        <v>5.6</v>
      </c>
      <c r="J9" s="5">
        <f t="shared" si="5"/>
        <v>3.2234137297925676</v>
      </c>
      <c r="K9" s="5">
        <f>'Ecart de soufflage'!O14</f>
        <v>0.17132208333333332</v>
      </c>
      <c r="L9" s="5">
        <f>'Ecart de soufflage'!I14</f>
        <v>5.2447552447552455E-2</v>
      </c>
      <c r="M9" s="5">
        <f t="shared" si="6"/>
        <v>3.1728382358395777</v>
      </c>
      <c r="N9" s="5">
        <f t="shared" si="7"/>
        <v>0.54357725664369438</v>
      </c>
      <c r="O9" s="5">
        <f t="shared" si="8"/>
        <v>-19.472838235839575</v>
      </c>
      <c r="P9" s="5">
        <f t="shared" si="9"/>
        <v>-3.3361272149770271</v>
      </c>
      <c r="Q9" s="5">
        <f t="shared" si="10"/>
        <v>-5.0999999999999996</v>
      </c>
      <c r="R9" s="5">
        <f t="shared" si="11"/>
        <v>-3.1454734499999994</v>
      </c>
      <c r="T9" s="68" t="s">
        <v>115</v>
      </c>
      <c r="AC9" s="66"/>
      <c r="AD9" s="34" t="s">
        <v>101</v>
      </c>
    </row>
    <row r="10" spans="2:30">
      <c r="B10" s="31" t="s">
        <v>163</v>
      </c>
      <c r="C10" s="5">
        <f>'Ecart de soufflage'!N15</f>
        <v>0.15989155405717101</v>
      </c>
      <c r="D10" s="5">
        <f>'Ecart de soufflage'!H15</f>
        <v>5.3545930509281289E-2</v>
      </c>
      <c r="E10" s="5">
        <f t="shared" si="0"/>
        <v>8.3999999999999986</v>
      </c>
      <c r="F10" s="5">
        <f t="shared" si="1"/>
        <v>1.3430890540802363</v>
      </c>
      <c r="G10" s="5">
        <f t="shared" si="2"/>
        <v>16.600000000000001</v>
      </c>
      <c r="H10" s="5">
        <f t="shared" si="3"/>
        <v>2.654199797349039</v>
      </c>
      <c r="I10" s="5">
        <f t="shared" si="4"/>
        <v>5.6</v>
      </c>
      <c r="J10" s="5">
        <f t="shared" si="5"/>
        <v>3.2234137297925676</v>
      </c>
      <c r="K10" s="5">
        <f>'Ecart de soufflage'!O15</f>
        <v>0.17588208333333333</v>
      </c>
      <c r="L10" s="5">
        <f>'Ecart de soufflage'!I15</f>
        <v>5.2447552447552455E-2</v>
      </c>
      <c r="M10" s="5">
        <f t="shared" si="6"/>
        <v>3.1728382358395777</v>
      </c>
      <c r="N10" s="5">
        <f t="shared" si="7"/>
        <v>0.55804539899912287</v>
      </c>
      <c r="O10" s="5">
        <f t="shared" si="8"/>
        <v>-19.472838235839575</v>
      </c>
      <c r="P10" s="5">
        <f t="shared" si="9"/>
        <v>-3.4249233573324558</v>
      </c>
      <c r="Q10" s="5">
        <f t="shared" si="10"/>
        <v>-5.0999999999999996</v>
      </c>
      <c r="R10" s="5">
        <f t="shared" si="11"/>
        <v>-3.22919505</v>
      </c>
      <c r="T10" s="178" t="s">
        <v>122</v>
      </c>
      <c r="U10" s="178"/>
      <c r="V10" s="178"/>
      <c r="W10" s="178"/>
      <c r="X10" s="178"/>
      <c r="Y10" s="178"/>
      <c r="Z10" s="178"/>
      <c r="AA10" s="178"/>
      <c r="AC10" s="15" t="s">
        <v>100</v>
      </c>
      <c r="AD10" s="2"/>
    </row>
    <row r="11" spans="2:30">
      <c r="B11" s="31" t="s">
        <v>164</v>
      </c>
      <c r="C11" s="5">
        <f>'Ecart de soufflage'!N16</f>
        <v>0.2936783645948039</v>
      </c>
      <c r="D11" s="5">
        <f>'Ecart de soufflage'!H16</f>
        <v>0.2498810090433127</v>
      </c>
      <c r="E11" s="5">
        <f t="shared" si="0"/>
        <v>8.3999999999999986</v>
      </c>
      <c r="F11" s="5">
        <f t="shared" si="1"/>
        <v>2.4668982625963523</v>
      </c>
      <c r="G11" s="5">
        <f t="shared" si="2"/>
        <v>16.600000000000001</v>
      </c>
      <c r="H11" s="5">
        <f t="shared" si="3"/>
        <v>4.8750608522737453</v>
      </c>
      <c r="I11" s="5">
        <f t="shared" si="4"/>
        <v>5.6</v>
      </c>
      <c r="J11" s="5">
        <f t="shared" si="5"/>
        <v>5.9205558302312458</v>
      </c>
      <c r="K11" s="5">
        <f>'Ecart de soufflage'!O16</f>
        <v>0.3828507888888889</v>
      </c>
      <c r="L11" s="5">
        <f>'Ecart de soufflage'!I16</f>
        <v>0.24475524475524477</v>
      </c>
      <c r="M11" s="5">
        <f t="shared" si="6"/>
        <v>3.1728382358395777</v>
      </c>
      <c r="N11" s="5">
        <f t="shared" si="7"/>
        <v>1.2147236216080128</v>
      </c>
      <c r="O11" s="5">
        <f t="shared" si="8"/>
        <v>-19.472838235839575</v>
      </c>
      <c r="P11" s="5">
        <f t="shared" si="9"/>
        <v>-7.4551914804969011</v>
      </c>
      <c r="Q11" s="5">
        <f t="shared" si="10"/>
        <v>-5.0999999999999996</v>
      </c>
      <c r="R11" s="5">
        <f t="shared" si="11"/>
        <v>-7.029140484</v>
      </c>
      <c r="T11" s="14"/>
      <c r="U11" s="18" t="s">
        <v>10</v>
      </c>
      <c r="V11" s="18" t="s">
        <v>11</v>
      </c>
      <c r="W11" s="18" t="s">
        <v>12</v>
      </c>
      <c r="X11" s="18" t="s">
        <v>13</v>
      </c>
      <c r="Y11" s="18" t="s">
        <v>14</v>
      </c>
      <c r="Z11" s="46" t="s">
        <v>15</v>
      </c>
      <c r="AA11" s="46" t="s">
        <v>16</v>
      </c>
    </row>
    <row r="12" spans="2:30">
      <c r="B12" s="31" t="s">
        <v>165</v>
      </c>
      <c r="C12" s="5">
        <f>'Ecart de soufflage'!N17</f>
        <v>0.40391799094420477</v>
      </c>
      <c r="D12" s="5">
        <f>'Ecart de soufflage'!H17</f>
        <v>1.7848643503093765E-2</v>
      </c>
      <c r="E12" s="5">
        <f t="shared" si="0"/>
        <v>8.3999999999999986</v>
      </c>
      <c r="F12" s="5">
        <f t="shared" si="1"/>
        <v>3.3929111239313197</v>
      </c>
      <c r="G12" s="5">
        <f t="shared" si="2"/>
        <v>16.600000000000001</v>
      </c>
      <c r="H12" s="5">
        <f t="shared" si="3"/>
        <v>6.7050386496738001</v>
      </c>
      <c r="I12" s="5">
        <f t="shared" si="4"/>
        <v>5.6</v>
      </c>
      <c r="J12" s="5">
        <f t="shared" si="5"/>
        <v>8.1429866974351679</v>
      </c>
      <c r="K12" s="5">
        <f>'Ecart de soufflage'!O17</f>
        <v>0.22081249999999999</v>
      </c>
      <c r="L12" s="5">
        <f>'Ecart de soufflage'!I17</f>
        <v>1.7482517482517484E-2</v>
      </c>
      <c r="M12" s="5">
        <f t="shared" si="6"/>
        <v>3.1728382358395777</v>
      </c>
      <c r="N12" s="5">
        <f t="shared" si="7"/>
        <v>0.70060234295132673</v>
      </c>
      <c r="O12" s="5">
        <f t="shared" si="8"/>
        <v>-19.472838235839575</v>
      </c>
      <c r="P12" s="5">
        <f t="shared" si="9"/>
        <v>-4.2998460929513262</v>
      </c>
      <c r="Q12" s="5">
        <f t="shared" si="10"/>
        <v>-5.0999999999999996</v>
      </c>
      <c r="R12" s="5">
        <f t="shared" si="11"/>
        <v>-4.0541175000000003</v>
      </c>
      <c r="T12" s="2" t="s">
        <v>19</v>
      </c>
      <c r="U12" s="27">
        <v>-8</v>
      </c>
      <c r="V12" s="21">
        <v>1.7</v>
      </c>
      <c r="W12" s="21">
        <f>1.009*(U12)+V12/1000*(2501.6+1.854*(U12))</f>
        <v>-3.8444943999999994</v>
      </c>
      <c r="X12" s="27">
        <v>90</v>
      </c>
      <c r="Y12" s="21">
        <f>(U12+273.15)*287.05/101325</f>
        <v>0.75116020231926961</v>
      </c>
      <c r="Z12" s="21">
        <f>(X12/100)*AA12</f>
        <v>278.96016200898111</v>
      </c>
      <c r="AA12" s="21">
        <f>4.689*(1.486+(U12)/100)^12.3</f>
        <v>309.95573556553455</v>
      </c>
    </row>
    <row r="13" spans="2:30">
      <c r="B13" s="31" t="s">
        <v>166</v>
      </c>
      <c r="C13" s="5">
        <f>'Ecart de soufflage'!N18</f>
        <v>6.3850791581572988E-2</v>
      </c>
      <c r="D13" s="5">
        <f>'Ecart de soufflage'!H18</f>
        <v>1.7848643503093765E-2</v>
      </c>
      <c r="E13" s="5">
        <f t="shared" si="0"/>
        <v>8.3999999999999986</v>
      </c>
      <c r="F13" s="5">
        <f t="shared" si="1"/>
        <v>0.53634664928521303</v>
      </c>
      <c r="G13" s="5">
        <f t="shared" si="2"/>
        <v>16.600000000000001</v>
      </c>
      <c r="H13" s="5">
        <f t="shared" si="3"/>
        <v>1.0599231402541116</v>
      </c>
      <c r="I13" s="5">
        <f t="shared" si="4"/>
        <v>5.6</v>
      </c>
      <c r="J13" s="5">
        <f t="shared" si="5"/>
        <v>1.2872319582845115</v>
      </c>
      <c r="K13" s="5">
        <f>'Ecart de soufflage'!O18</f>
        <v>3.5740500000000001E-2</v>
      </c>
      <c r="L13" s="5">
        <f>'Ecart de soufflage'!I18</f>
        <v>1.7482517482517484E-2</v>
      </c>
      <c r="M13" s="5">
        <f t="shared" si="6"/>
        <v>3.1728382358395777</v>
      </c>
      <c r="N13" s="5">
        <f t="shared" si="7"/>
        <v>0.11339882496802443</v>
      </c>
      <c r="O13" s="5">
        <f t="shared" si="8"/>
        <v>-19.472838235839575</v>
      </c>
      <c r="P13" s="5">
        <f t="shared" si="9"/>
        <v>-0.69596897496802435</v>
      </c>
      <c r="Q13" s="5">
        <f t="shared" si="10"/>
        <v>-5.0999999999999996</v>
      </c>
      <c r="R13" s="5">
        <f t="shared" si="11"/>
        <v>-0.65619558</v>
      </c>
      <c r="T13" s="2">
        <v>0</v>
      </c>
      <c r="U13" s="74">
        <v>15</v>
      </c>
      <c r="V13" s="21">
        <v>1.7</v>
      </c>
      <c r="W13" s="21">
        <v>19.5</v>
      </c>
      <c r="X13" s="74">
        <v>16.3</v>
      </c>
      <c r="Y13" s="21">
        <f>(U13+273.15)*287.05/101325</f>
        <v>0.81631835677276077</v>
      </c>
      <c r="Z13" s="21">
        <f>(X13/100)*AA13</f>
        <v>278.12836035019757</v>
      </c>
      <c r="AA13" s="21">
        <f>288.68*(1.098+(U13)/100)^8.02</f>
        <v>1706.3089592036661</v>
      </c>
    </row>
    <row r="14" spans="2:30" ht="15.75">
      <c r="B14" s="104" t="s">
        <v>167</v>
      </c>
      <c r="C14" s="5">
        <f>'Ecart de soufflage'!N19</f>
        <v>0.16057503974053733</v>
      </c>
      <c r="D14" s="5">
        <f>'Ecart de soufflage'!H19</f>
        <v>1.7848643503093765E-2</v>
      </c>
      <c r="E14" s="5">
        <f t="shared" si="0"/>
        <v>8.3999999999999986</v>
      </c>
      <c r="F14" s="5">
        <f t="shared" si="1"/>
        <v>1.3488303338205134</v>
      </c>
      <c r="G14" s="5">
        <f t="shared" si="2"/>
        <v>16.600000000000001</v>
      </c>
      <c r="H14" s="5">
        <f t="shared" si="3"/>
        <v>2.6655456596929197</v>
      </c>
      <c r="I14" s="5">
        <f t="shared" si="4"/>
        <v>5.6</v>
      </c>
      <c r="J14" s="5">
        <f t="shared" si="5"/>
        <v>3.2371928011692321</v>
      </c>
      <c r="K14" s="5">
        <f>'Ecart de soufflage'!O19</f>
        <v>8.6485624999999997E-2</v>
      </c>
      <c r="L14" s="5">
        <f>'Ecart de soufflage'!I19</f>
        <v>1.7482517482517484E-2</v>
      </c>
      <c r="M14" s="5">
        <f t="shared" si="6"/>
        <v>3.1728382358395777</v>
      </c>
      <c r="N14" s="5">
        <f t="shared" si="7"/>
        <v>0.27440489785048328</v>
      </c>
      <c r="O14" s="5">
        <f t="shared" si="8"/>
        <v>-19.472838235839575</v>
      </c>
      <c r="P14" s="5">
        <f t="shared" si="9"/>
        <v>-1.684120585350483</v>
      </c>
      <c r="Q14" s="5">
        <f t="shared" si="10"/>
        <v>-5.0999999999999996</v>
      </c>
      <c r="R14" s="5">
        <f t="shared" si="11"/>
        <v>-1.5878760749999998</v>
      </c>
      <c r="T14" s="2">
        <v>1</v>
      </c>
      <c r="U14" s="21">
        <v>23.5</v>
      </c>
      <c r="V14" s="21">
        <f>V13</f>
        <v>1.7</v>
      </c>
      <c r="W14" s="21">
        <f>W15</f>
        <v>27.9</v>
      </c>
      <c r="X14" s="21">
        <f>Z14/AA14*100</f>
        <v>9.5419095357821888</v>
      </c>
      <c r="Y14" s="21">
        <f t="shared" ref="Y14:Y17" si="12">(U14+273.15)*287.05/101325</f>
        <v>0.8403985442881815</v>
      </c>
      <c r="Z14" s="21">
        <f>(V14*101325)/(622+V14)</f>
        <v>276.17845117845116</v>
      </c>
      <c r="AA14" s="21">
        <f>288.68*(1.098+(U14)/100)^8.02</f>
        <v>2894.3729778906531</v>
      </c>
    </row>
    <row r="15" spans="2:30">
      <c r="B15" s="31" t="s">
        <v>168</v>
      </c>
      <c r="C15" s="5">
        <f>'Ecart de soufflage'!N20</f>
        <v>0.1870545979896634</v>
      </c>
      <c r="D15" s="5">
        <f>'Ecart de soufflage'!H20</f>
        <v>5.3545930509281289E-2</v>
      </c>
      <c r="E15" s="5">
        <f t="shared" si="0"/>
        <v>8.3999999999999986</v>
      </c>
      <c r="F15" s="5">
        <f t="shared" si="1"/>
        <v>1.5712586231131722</v>
      </c>
      <c r="G15" s="5">
        <f t="shared" si="2"/>
        <v>16.600000000000001</v>
      </c>
      <c r="H15" s="5">
        <f>C15*G15</f>
        <v>3.1051063266284125</v>
      </c>
      <c r="I15" s="5">
        <f t="shared" si="4"/>
        <v>5.6</v>
      </c>
      <c r="J15" s="5">
        <f t="shared" si="5"/>
        <v>3.7710206954716137</v>
      </c>
      <c r="K15" s="5">
        <f>'Ecart de soufflage'!O20</f>
        <v>0.37135758333333335</v>
      </c>
      <c r="L15" s="5">
        <f>'Ecart de soufflage'!I20</f>
        <v>5.2447552447552455E-2</v>
      </c>
      <c r="M15" s="5">
        <f t="shared" si="6"/>
        <v>3.1728382358395777</v>
      </c>
      <c r="N15" s="5">
        <f t="shared" si="7"/>
        <v>1.1782575395689823</v>
      </c>
      <c r="O15" s="5">
        <f t="shared" si="8"/>
        <v>-19.472838235839575</v>
      </c>
      <c r="P15" s="5">
        <f t="shared" si="9"/>
        <v>-7.2313861479023149</v>
      </c>
      <c r="Q15" s="5">
        <f t="shared" si="10"/>
        <v>-5.0999999999999996</v>
      </c>
      <c r="R15" s="5">
        <f t="shared" si="11"/>
        <v>-6.8181252299999997</v>
      </c>
      <c r="T15" s="2">
        <v>2</v>
      </c>
      <c r="U15" s="21">
        <v>9.4</v>
      </c>
      <c r="V15" s="21">
        <f>V16</f>
        <v>7.3</v>
      </c>
      <c r="W15" s="21">
        <f>27.9</f>
        <v>27.9</v>
      </c>
      <c r="X15" s="21">
        <v>100</v>
      </c>
      <c r="Y15" s="21">
        <f t="shared" si="12"/>
        <v>0.80045376264495427</v>
      </c>
      <c r="Z15" s="21">
        <f>(V15*101325)/(622+V15)</f>
        <v>1175.3893214682982</v>
      </c>
      <c r="AA15" s="21">
        <f>Z15/(X15/100)</f>
        <v>1175.3893214682982</v>
      </c>
    </row>
    <row r="16" spans="2:30">
      <c r="B16" s="31" t="s">
        <v>169</v>
      </c>
      <c r="C16" s="5">
        <f>'Ecart de soufflage'!N21</f>
        <v>0.26475148664072112</v>
      </c>
      <c r="D16" s="5">
        <f>'Ecart de soufflage'!H21</f>
        <v>0.10709186101856258</v>
      </c>
      <c r="E16" s="5">
        <f t="shared" si="0"/>
        <v>8.3999999999999986</v>
      </c>
      <c r="F16" s="5">
        <f>C16*E16</f>
        <v>2.2239124877820569</v>
      </c>
      <c r="G16" s="5">
        <f t="shared" si="2"/>
        <v>16.600000000000001</v>
      </c>
      <c r="H16" s="5">
        <f t="shared" si="3"/>
        <v>4.3948746782359711</v>
      </c>
      <c r="I16" s="5">
        <f t="shared" si="4"/>
        <v>5.6</v>
      </c>
      <c r="J16" s="5">
        <f t="shared" si="5"/>
        <v>5.3373899706769379</v>
      </c>
      <c r="K16" s="5">
        <f>'Ecart de soufflage'!O21</f>
        <v>0.28831666666666667</v>
      </c>
      <c r="L16" s="5">
        <f>'Ecart de soufflage'!I21</f>
        <v>0.10489510489510491</v>
      </c>
      <c r="M16" s="5">
        <f t="shared" si="6"/>
        <v>3.1728382358395777</v>
      </c>
      <c r="N16" s="5">
        <f t="shared" si="7"/>
        <v>0.91478214402981428</v>
      </c>
      <c r="O16" s="5">
        <f t="shared" si="8"/>
        <v>-19.472838235839575</v>
      </c>
      <c r="P16" s="5">
        <f t="shared" si="9"/>
        <v>-5.6143438106964805</v>
      </c>
      <c r="Q16" s="5">
        <f t="shared" si="10"/>
        <v>-5.0999999999999996</v>
      </c>
      <c r="R16" s="5">
        <f t="shared" si="11"/>
        <v>-5.293493999999999</v>
      </c>
      <c r="T16" s="2" t="s">
        <v>24</v>
      </c>
      <c r="U16" s="27">
        <v>20</v>
      </c>
      <c r="V16" s="21">
        <v>7.3</v>
      </c>
      <c r="W16" s="21">
        <v>38.5</v>
      </c>
      <c r="X16" s="27">
        <v>50</v>
      </c>
      <c r="Y16" s="21">
        <f>0.84</f>
        <v>0.84</v>
      </c>
      <c r="Z16" s="21">
        <f>X16/100*AA16</f>
        <v>1169.0948153478178</v>
      </c>
      <c r="AA16" s="21">
        <f>288.68*(1.098+(U16)/100)^8.02</f>
        <v>2338.1896306956355</v>
      </c>
      <c r="AB16" s="17">
        <f>Z16-Z12</f>
        <v>890.13465333883664</v>
      </c>
      <c r="AC16" s="17">
        <f>AA16-AA12</f>
        <v>2028.233895130101</v>
      </c>
    </row>
    <row r="17" spans="2:27">
      <c r="B17" s="31" t="s">
        <v>170</v>
      </c>
      <c r="C17" s="5">
        <f>'Ecart de soufflage'!N22</f>
        <v>0.46406473108043789</v>
      </c>
      <c r="D17" s="5">
        <f>'Ecart de soufflage'!H22</f>
        <v>0.46406473108043789</v>
      </c>
      <c r="E17" s="5">
        <f t="shared" si="0"/>
        <v>8.3999999999999986</v>
      </c>
      <c r="F17" s="5">
        <f t="shared" si="1"/>
        <v>3.8981437410756774</v>
      </c>
      <c r="G17" s="5">
        <f t="shared" si="2"/>
        <v>16.600000000000001</v>
      </c>
      <c r="H17" s="5">
        <f t="shared" si="3"/>
        <v>7.7034745359352694</v>
      </c>
      <c r="I17" s="5">
        <f t="shared" si="4"/>
        <v>5.6</v>
      </c>
      <c r="J17" s="5">
        <f t="shared" si="5"/>
        <v>9.3555449785816265</v>
      </c>
      <c r="K17" s="5">
        <f>'Ecart de soufflage'!O22</f>
        <v>0.6547897222222222</v>
      </c>
      <c r="L17" s="5">
        <f>'Ecart de soufflage'!I22</f>
        <v>0.45454545454545459</v>
      </c>
      <c r="M17" s="5">
        <f t="shared" si="6"/>
        <v>3.1728382358395777</v>
      </c>
      <c r="N17" s="5">
        <f t="shared" si="7"/>
        <v>2.0775418671014427</v>
      </c>
      <c r="O17" s="5">
        <f t="shared" si="8"/>
        <v>-19.472838235839575</v>
      </c>
      <c r="P17" s="5">
        <f t="shared" si="9"/>
        <v>-12.750614339323663</v>
      </c>
      <c r="Q17" s="5">
        <f t="shared" si="10"/>
        <v>-5.0999999999999996</v>
      </c>
      <c r="R17" s="5">
        <f t="shared" si="11"/>
        <v>-12.021939299999998</v>
      </c>
      <c r="T17" s="2" t="s">
        <v>27</v>
      </c>
      <c r="U17" s="21">
        <f>U16+'Ecart de soufflage'!$O$3</f>
        <v>25.669467692307691</v>
      </c>
      <c r="V17" s="21">
        <f>V16</f>
        <v>7.3</v>
      </c>
      <c r="W17" s="21">
        <v>44.5</v>
      </c>
      <c r="X17" s="21">
        <v>35.6</v>
      </c>
      <c r="Y17" s="21">
        <f t="shared" si="12"/>
        <v>0.84654456650458343</v>
      </c>
      <c r="Z17" s="21">
        <f>(V17*101325)/(622+V17)</f>
        <v>1175.3893214682982</v>
      </c>
      <c r="AA17" s="21">
        <f>288.68*(1.098+(U17)/100)^8.02</f>
        <v>3294.4651637124252</v>
      </c>
    </row>
    <row r="18" spans="2:27">
      <c r="B18" s="31" t="s">
        <v>171</v>
      </c>
      <c r="C18" s="5">
        <f>'Ecart de soufflage'!N23</f>
        <v>0.4878764903719085</v>
      </c>
      <c r="D18" s="5">
        <f>'Ecart de soufflage'!H23</f>
        <v>0.16063779152784388</v>
      </c>
      <c r="E18" s="5">
        <f t="shared" si="0"/>
        <v>8.3999999999999986</v>
      </c>
      <c r="F18" s="5">
        <f t="shared" si="1"/>
        <v>4.0981625191240303</v>
      </c>
      <c r="G18" s="5">
        <f t="shared" si="2"/>
        <v>16.600000000000001</v>
      </c>
      <c r="H18" s="5">
        <f t="shared" si="3"/>
        <v>8.0987497401736821</v>
      </c>
      <c r="I18" s="5">
        <f t="shared" si="4"/>
        <v>5.6</v>
      </c>
      <c r="J18" s="5">
        <f t="shared" si="5"/>
        <v>9.8355900458976748</v>
      </c>
      <c r="K18" s="5">
        <f>'Ecart de soufflage'!O23</f>
        <v>0.3886933507604563</v>
      </c>
      <c r="L18" s="5">
        <f>'Ecart de soufflage'!I23</f>
        <v>0.15734265734265734</v>
      </c>
      <c r="M18" s="5">
        <f t="shared" si="6"/>
        <v>3.1728382358395777</v>
      </c>
      <c r="N18" s="5">
        <f t="shared" si="7"/>
        <v>1.2332611253093804</v>
      </c>
      <c r="O18" s="5">
        <f t="shared" si="8"/>
        <v>-19.472838235839575</v>
      </c>
      <c r="P18" s="5">
        <f t="shared" si="9"/>
        <v>-7.5689627427048167</v>
      </c>
      <c r="Q18" s="5">
        <f t="shared" si="10"/>
        <v>-5.0999999999999996</v>
      </c>
      <c r="R18" s="5">
        <f t="shared" si="11"/>
        <v>-7.1364099199619773</v>
      </c>
    </row>
    <row r="19" spans="2:27">
      <c r="B19" s="31" t="s">
        <v>172</v>
      </c>
      <c r="C19" s="5">
        <f>'Ecart de soufflage'!N24</f>
        <v>4.1714674610613289E-2</v>
      </c>
      <c r="D19" s="5">
        <f>'Ecart de soufflage'!H24</f>
        <v>1.7848643503093765E-2</v>
      </c>
      <c r="E19" s="5">
        <f t="shared" si="0"/>
        <v>8.3999999999999986</v>
      </c>
      <c r="F19" s="5">
        <f t="shared" si="1"/>
        <v>0.35040326672915156</v>
      </c>
      <c r="G19" s="5">
        <f t="shared" si="2"/>
        <v>16.600000000000001</v>
      </c>
      <c r="H19" s="5">
        <f t="shared" si="3"/>
        <v>0.69246359853618067</v>
      </c>
      <c r="I19" s="5">
        <f t="shared" si="4"/>
        <v>5.6</v>
      </c>
      <c r="J19" s="5">
        <f t="shared" si="5"/>
        <v>0.84096784014996384</v>
      </c>
      <c r="K19" s="5">
        <f>'Ecart de soufflage'!O24</f>
        <v>3.7047361111111107E-2</v>
      </c>
      <c r="L19" s="5">
        <f>'Ecart de soufflage'!I24</f>
        <v>1.7482517482517484E-2</v>
      </c>
      <c r="M19" s="5">
        <f t="shared" si="6"/>
        <v>3.1728382358395777</v>
      </c>
      <c r="N19" s="5">
        <f t="shared" si="7"/>
        <v>0.11754528387028955</v>
      </c>
      <c r="O19" s="5">
        <f t="shared" si="8"/>
        <v>-19.472838235839575</v>
      </c>
      <c r="P19" s="5">
        <f t="shared" si="9"/>
        <v>-0.72141726998140043</v>
      </c>
      <c r="Q19" s="5">
        <f t="shared" si="10"/>
        <v>-5.0999999999999996</v>
      </c>
      <c r="R19" s="5">
        <f t="shared" si="11"/>
        <v>-0.68018954999999992</v>
      </c>
    </row>
    <row r="20" spans="2:27">
      <c r="B20" s="31" t="s">
        <v>173</v>
      </c>
      <c r="C20" s="5">
        <f>'Ecart de soufflage'!N25</f>
        <v>3.8539773371750546E-2</v>
      </c>
      <c r="D20" s="5">
        <f>'Ecart de soufflage'!H25</f>
        <v>1.7848643503093765E-2</v>
      </c>
      <c r="E20" s="5">
        <f t="shared" si="0"/>
        <v>8.3999999999999986</v>
      </c>
      <c r="F20" s="5">
        <f t="shared" si="1"/>
        <v>0.32373409632270456</v>
      </c>
      <c r="G20" s="5">
        <f t="shared" si="2"/>
        <v>16.600000000000001</v>
      </c>
      <c r="H20" s="5">
        <f>C20*G20</f>
        <v>0.63976023797105908</v>
      </c>
      <c r="I20" s="5">
        <f t="shared" si="4"/>
        <v>5.6</v>
      </c>
      <c r="J20" s="5">
        <f t="shared" si="5"/>
        <v>0.77696183117449091</v>
      </c>
      <c r="K20" s="5">
        <f>'Ecart de soufflage'!O25</f>
        <v>3.5337361111111111E-2</v>
      </c>
      <c r="L20" s="5">
        <f>'Ecart de soufflage'!I25</f>
        <v>1.7482517482517484E-2</v>
      </c>
      <c r="M20" s="5">
        <f t="shared" si="6"/>
        <v>3.1728382358395777</v>
      </c>
      <c r="N20" s="5">
        <f t="shared" si="7"/>
        <v>0.11211973048700388</v>
      </c>
      <c r="O20" s="5">
        <f t="shared" si="8"/>
        <v>-19.472838235839575</v>
      </c>
      <c r="P20" s="5">
        <f t="shared" si="9"/>
        <v>-0.68811871659811485</v>
      </c>
      <c r="Q20" s="5">
        <f t="shared" si="10"/>
        <v>-5.0999999999999996</v>
      </c>
      <c r="R20" s="5">
        <f t="shared" si="11"/>
        <v>-0.64879394999999995</v>
      </c>
      <c r="T20" s="173" t="s">
        <v>235</v>
      </c>
      <c r="U20" s="174"/>
      <c r="V20" s="174"/>
      <c r="W20" s="174"/>
      <c r="X20" s="174"/>
      <c r="Y20" s="174"/>
      <c r="Z20" s="174"/>
      <c r="AA20" s="175"/>
    </row>
    <row r="21" spans="2:27">
      <c r="B21" s="31" t="s">
        <v>174</v>
      </c>
      <c r="C21" s="5">
        <f>'Ecart de soufflage'!N26</f>
        <v>0.15345355987836598</v>
      </c>
      <c r="D21" s="5">
        <f>'Ecart de soufflage'!H26</f>
        <v>8.924321751546882E-2</v>
      </c>
      <c r="E21" s="5">
        <f t="shared" si="0"/>
        <v>8.3999999999999986</v>
      </c>
      <c r="F21" s="5">
        <f t="shared" si="1"/>
        <v>1.289009902978274</v>
      </c>
      <c r="G21" s="5">
        <f t="shared" si="2"/>
        <v>16.600000000000001</v>
      </c>
      <c r="H21" s="5">
        <f t="shared" si="3"/>
        <v>2.5473290939808755</v>
      </c>
      <c r="I21" s="5">
        <f t="shared" si="4"/>
        <v>5.6</v>
      </c>
      <c r="J21" s="5">
        <f t="shared" si="5"/>
        <v>3.0936237671478581</v>
      </c>
      <c r="K21" s="5">
        <f>'Ecart de soufflage'!O26</f>
        <v>0.15554930555555552</v>
      </c>
      <c r="L21" s="5">
        <f>'Ecart de soufflage'!I26</f>
        <v>8.7412587412587409E-2</v>
      </c>
      <c r="M21" s="5">
        <f t="shared" si="6"/>
        <v>3.1728382358395777</v>
      </c>
      <c r="N21" s="5">
        <f t="shared" si="7"/>
        <v>0.49353278422496016</v>
      </c>
      <c r="O21" s="5">
        <f t="shared" si="8"/>
        <v>-19.472838235839575</v>
      </c>
      <c r="P21" s="5">
        <f t="shared" si="9"/>
        <v>-3.0289864647805147</v>
      </c>
      <c r="Q21" s="5">
        <f t="shared" si="10"/>
        <v>-5.0999999999999996</v>
      </c>
      <c r="R21" s="5">
        <f t="shared" si="11"/>
        <v>-2.8558852499999992</v>
      </c>
      <c r="T21" s="1"/>
      <c r="U21" s="3" t="s">
        <v>10</v>
      </c>
      <c r="V21" s="3" t="s">
        <v>11</v>
      </c>
      <c r="W21" s="3" t="s">
        <v>12</v>
      </c>
      <c r="X21" s="3" t="s">
        <v>13</v>
      </c>
      <c r="Y21" s="3" t="s">
        <v>14</v>
      </c>
      <c r="Z21" s="28" t="s">
        <v>15</v>
      </c>
      <c r="AA21" s="28" t="s">
        <v>16</v>
      </c>
    </row>
    <row r="22" spans="2:27">
      <c r="B22" s="31" t="s">
        <v>175</v>
      </c>
      <c r="C22" s="5">
        <f>'Ecart de soufflage'!N27</f>
        <v>0.1082112172245719</v>
      </c>
      <c r="D22" s="5">
        <f>'Ecart de soufflage'!H27</f>
        <v>8.924321751546882E-2</v>
      </c>
      <c r="E22" s="5">
        <f>W$14-W$13</f>
        <v>8.3999999999999986</v>
      </c>
      <c r="F22" s="5">
        <f>C22*E22</f>
        <v>0.90897422468640376</v>
      </c>
      <c r="G22" s="5">
        <f>W$17-W$15</f>
        <v>16.600000000000001</v>
      </c>
      <c r="H22" s="5">
        <f>C22*G22</f>
        <v>1.7963062059278938</v>
      </c>
      <c r="I22" s="5">
        <f>V$15-V$14</f>
        <v>5.6</v>
      </c>
      <c r="J22" s="5">
        <f>C22*I22*3.6</f>
        <v>2.1815381392473698</v>
      </c>
      <c r="K22" s="5">
        <f>'Ecart de soufflage'!O27</f>
        <v>0.13118180555555553</v>
      </c>
      <c r="L22" s="5">
        <f>'Ecart de soufflage'!I27</f>
        <v>8.7412587412587409E-2</v>
      </c>
      <c r="M22" s="5">
        <f>W$26-W$24</f>
        <v>3.1728382358395777</v>
      </c>
      <c r="N22" s="5">
        <f>K22*M22</f>
        <v>0.41621864851313933</v>
      </c>
      <c r="O22" s="5">
        <f>W$24-W$23</f>
        <v>-19.472838235839575</v>
      </c>
      <c r="P22" s="5">
        <f t="shared" si="9"/>
        <v>-2.554482079068694</v>
      </c>
      <c r="Q22" s="5">
        <f t="shared" si="10"/>
        <v>-5.0999999999999996</v>
      </c>
      <c r="R22" s="5">
        <f>K22*Q22*3.6</f>
        <v>-2.4084979499999997</v>
      </c>
      <c r="T22" s="2" t="s">
        <v>19</v>
      </c>
      <c r="U22" s="27">
        <v>32</v>
      </c>
      <c r="V22" s="21">
        <v>15</v>
      </c>
      <c r="W22" s="21">
        <v>70.5</v>
      </c>
      <c r="X22" s="27">
        <v>50</v>
      </c>
      <c r="Y22" s="21">
        <f>(U22+273.15)*287.05/101325</f>
        <v>0.86447873180360224</v>
      </c>
      <c r="Z22" s="21">
        <f>(X22/100)*AA22</f>
        <v>2375.9104754400132</v>
      </c>
      <c r="AA22" s="21">
        <f>288.68*(1.098+(U22)/100)^8.02</f>
        <v>4751.8209508800264</v>
      </c>
    </row>
    <row r="23" spans="2:27">
      <c r="B23" s="31" t="s">
        <v>176</v>
      </c>
      <c r="C23" s="5">
        <f>'Ecart de soufflage'!N28</f>
        <v>9.6040762475598035E-2</v>
      </c>
      <c r="D23" s="5">
        <f>'Ecart de soufflage'!H28</f>
        <v>0</v>
      </c>
      <c r="E23" s="5">
        <f>W$14-W$13</f>
        <v>8.3999999999999986</v>
      </c>
      <c r="F23" s="5">
        <f>C23*E23</f>
        <v>0.80674240479502335</v>
      </c>
      <c r="G23" s="5">
        <f>W$17-W$15</f>
        <v>16.600000000000001</v>
      </c>
      <c r="H23" s="5">
        <f>C23*G23</f>
        <v>1.5942766570949276</v>
      </c>
      <c r="I23" s="5">
        <f>V$15-V$14</f>
        <v>5.6</v>
      </c>
      <c r="J23" s="5">
        <f>C23*I23*3.6</f>
        <v>1.9361817715080563</v>
      </c>
      <c r="K23" s="5">
        <f>'Ecart de soufflage'!O28</f>
        <v>4.0837499999999999E-2</v>
      </c>
      <c r="L23" s="5">
        <f>'Ecart de soufflage'!I28</f>
        <v>0</v>
      </c>
      <c r="M23" s="5">
        <f>W$26-W$24</f>
        <v>3.1728382358395777</v>
      </c>
      <c r="N23" s="5">
        <f>K23*M23</f>
        <v>0.12957078145609874</v>
      </c>
      <c r="O23" s="5">
        <f>W$24-W$23</f>
        <v>-19.472838235839575</v>
      </c>
      <c r="P23" s="5">
        <f t="shared" si="9"/>
        <v>-0.7952220314560986</v>
      </c>
      <c r="Q23" s="5">
        <f t="shared" si="10"/>
        <v>-5.0999999999999996</v>
      </c>
      <c r="R23" s="5">
        <f>K23*Q23*3.6</f>
        <v>-0.74977649999999996</v>
      </c>
      <c r="T23" s="22">
        <v>0</v>
      </c>
      <c r="U23" s="74">
        <v>20.6</v>
      </c>
      <c r="V23" s="21">
        <v>15</v>
      </c>
      <c r="W23" s="21">
        <v>58.5</v>
      </c>
      <c r="X23" s="74">
        <v>97.1</v>
      </c>
      <c r="Y23" s="21">
        <f>(U23+273.15)*287.05/101325</f>
        <v>0.83218295090056749</v>
      </c>
      <c r="Z23" s="21">
        <f>(X23/100)*AA23</f>
        <v>2355.9290620200318</v>
      </c>
      <c r="AA23" s="21">
        <f>288.68*(1.098+(U23)/100)^8.02</f>
        <v>2426.2915159835547</v>
      </c>
    </row>
    <row r="24" spans="2:27">
      <c r="B24" s="32" t="s">
        <v>177</v>
      </c>
      <c r="C24" s="5">
        <f>'Ecart de soufflage'!N29</f>
        <v>3.0990563759343566E-2</v>
      </c>
      <c r="D24" s="5">
        <f>'Ecart de soufflage'!H29</f>
        <v>0</v>
      </c>
      <c r="E24" s="5">
        <f>W$14-W$13</f>
        <v>8.3999999999999986</v>
      </c>
      <c r="F24" s="5">
        <f>C24*E24</f>
        <v>0.2603207355784859</v>
      </c>
      <c r="G24" s="5">
        <f>W$17-W$15</f>
        <v>16.600000000000001</v>
      </c>
      <c r="H24" s="5">
        <f>C24*G24</f>
        <v>0.51444335840510325</v>
      </c>
      <c r="I24" s="5">
        <f>V$15-V$14</f>
        <v>5.6</v>
      </c>
      <c r="J24" s="5">
        <f>C24*I24*3.6</f>
        <v>0.62476976538836626</v>
      </c>
      <c r="K24" s="5">
        <f>'Ecart de soufflage'!O29</f>
        <v>1.3177499999999997E-2</v>
      </c>
      <c r="L24" s="5">
        <f>'Ecart de soufflage'!I29</f>
        <v>0</v>
      </c>
      <c r="M24" s="5">
        <f>W$26-W$24</f>
        <v>3.1728382358395777</v>
      </c>
      <c r="N24" s="5">
        <f>K24*M24</f>
        <v>4.1810075852776026E-2</v>
      </c>
      <c r="O24" s="5">
        <f>W$24-W$23</f>
        <v>-19.472838235839575</v>
      </c>
      <c r="P24" s="5">
        <f t="shared" si="9"/>
        <v>-0.25660332585277595</v>
      </c>
      <c r="Q24" s="5">
        <f t="shared" si="10"/>
        <v>-5.0999999999999996</v>
      </c>
      <c r="R24" s="5">
        <f>K24*Q24*3.6</f>
        <v>-0.24193889999999993</v>
      </c>
      <c r="T24" s="22">
        <v>3</v>
      </c>
      <c r="U24" s="21">
        <f>((AA24/288.68)^(1/8.02)-1.098)*100</f>
        <v>13.881596251343421</v>
      </c>
      <c r="V24" s="21">
        <f>V25</f>
        <v>9.9</v>
      </c>
      <c r="W24" s="21">
        <f>1.009*(U24)+V24/1000*(2501.6+1.854*(U24))</f>
        <v>39.027161764160425</v>
      </c>
      <c r="X24" s="21">
        <v>100</v>
      </c>
      <c r="Y24" s="21">
        <f>0.83</f>
        <v>0.83</v>
      </c>
      <c r="Z24" s="21">
        <f>(V24*101325)/(622+V24)</f>
        <v>1587.4624149390727</v>
      </c>
      <c r="AA24" s="21">
        <f>Z24</f>
        <v>1587.4624149390727</v>
      </c>
    </row>
    <row r="25" spans="2:27">
      <c r="C25" s="62">
        <f>SUM(C4:C24)</f>
        <v>4.0945628278583026</v>
      </c>
      <c r="D25" s="62">
        <f>SUM(D4:D24)</f>
        <v>1.7313184198000955</v>
      </c>
      <c r="E25" s="5"/>
      <c r="F25" s="48">
        <f>SUM(F4:F24)</f>
        <v>34.394327754009744</v>
      </c>
      <c r="G25" s="5"/>
      <c r="H25" s="48">
        <f>SUM(H4:H24)</f>
        <v>67.969742942447823</v>
      </c>
      <c r="I25" s="5"/>
      <c r="J25" s="48">
        <f>SUM(J4:J24)</f>
        <v>82.546386609623355</v>
      </c>
      <c r="K25" s="62">
        <f>SUM(K4:K24)</f>
        <v>4.1379927757604564</v>
      </c>
      <c r="L25" s="62">
        <f>SUM(L4:L24)</f>
        <v>1.6958041958041961</v>
      </c>
      <c r="M25" s="5"/>
      <c r="N25" s="48">
        <f>SUM(N4:N24)</f>
        <v>13.129181698560725</v>
      </c>
      <c r="O25" s="5"/>
      <c r="P25" s="48">
        <f>SUM(P4:P24)</f>
        <v>-80.578463943456143</v>
      </c>
      <c r="Q25" s="5"/>
      <c r="R25" s="48">
        <f>SUM(R4:R24)</f>
        <v>-75.973547362961952</v>
      </c>
      <c r="T25" s="2" t="s">
        <v>24</v>
      </c>
      <c r="U25" s="27">
        <v>25</v>
      </c>
      <c r="V25" s="21">
        <f>9.9</f>
        <v>9.9</v>
      </c>
      <c r="W25" s="21">
        <f>50.3</f>
        <v>50.3</v>
      </c>
      <c r="X25" s="27">
        <v>50</v>
      </c>
      <c r="Y25" s="21">
        <f>0.86</f>
        <v>0.86</v>
      </c>
      <c r="Z25" s="21">
        <f>X25/100*AA25</f>
        <v>1583.0682413301295</v>
      </c>
      <c r="AA25" s="21">
        <f>288.68*(1.098+(U25)/100)^8.02</f>
        <v>3166.1364826602589</v>
      </c>
    </row>
    <row r="26" spans="2:27">
      <c r="C26">
        <f>C25*3600*Y13</f>
        <v>12032.880477624425</v>
      </c>
      <c r="D26" s="69"/>
      <c r="K26" s="17">
        <f>K25*Y23*3600</f>
        <v>12396.84134017524</v>
      </c>
      <c r="T26" s="9" t="s">
        <v>27</v>
      </c>
      <c r="U26" s="21">
        <f>U25-'Ecart de soufflage'!$O$4</f>
        <v>17</v>
      </c>
      <c r="V26" s="21">
        <f>9.9</f>
        <v>9.9</v>
      </c>
      <c r="W26" s="21">
        <f>42.2</f>
        <v>42.2</v>
      </c>
      <c r="X26" s="21">
        <f>81.9</f>
        <v>81.900000000000006</v>
      </c>
      <c r="Y26" s="21">
        <f>0.835</f>
        <v>0.83499999999999996</v>
      </c>
      <c r="Z26" s="21">
        <f>(V26*101325)/(622+V26)</f>
        <v>1587.4624149390727</v>
      </c>
      <c r="AA26" s="21">
        <f>288.68*(1.098+(U26)/100)^8.02</f>
        <v>1938.3540681060183</v>
      </c>
    </row>
    <row r="28" spans="2:27">
      <c r="B28" t="s">
        <v>140</v>
      </c>
    </row>
    <row r="29" spans="2:27">
      <c r="B29" s="172" t="s">
        <v>110</v>
      </c>
      <c r="C29" s="172"/>
      <c r="G29" s="70"/>
    </row>
    <row r="30" spans="2:27" ht="16.5">
      <c r="B30" s="41" t="s">
        <v>105</v>
      </c>
      <c r="C30" s="5">
        <f>F25</f>
        <v>34.394327754009744</v>
      </c>
    </row>
    <row r="31" spans="2:27" ht="16.5">
      <c r="B31" s="41" t="s">
        <v>106</v>
      </c>
      <c r="C31" s="5">
        <f>MAX(H25,N25)</f>
        <v>67.969742942447823</v>
      </c>
    </row>
    <row r="32" spans="2:27">
      <c r="B32" s="42" t="s">
        <v>107</v>
      </c>
      <c r="C32" s="5">
        <f>J25</f>
        <v>82.546386609623355</v>
      </c>
    </row>
    <row r="33" spans="2:8">
      <c r="B33" s="41" t="s">
        <v>108</v>
      </c>
      <c r="C33" s="5">
        <f>P25</f>
        <v>-80.578463943456143</v>
      </c>
    </row>
    <row r="34" spans="2:8">
      <c r="B34" s="42" t="s">
        <v>109</v>
      </c>
      <c r="C34" s="6">
        <f>R25</f>
        <v>-75.973547362961952</v>
      </c>
      <c r="E34" s="196"/>
      <c r="F34" s="196"/>
    </row>
    <row r="35" spans="2:8">
      <c r="B35" s="64" t="s">
        <v>118</v>
      </c>
      <c r="C35" s="5">
        <f>C26</f>
        <v>12032.880477624425</v>
      </c>
      <c r="E35" s="196"/>
      <c r="F35" s="196"/>
      <c r="G35" t="s">
        <v>229</v>
      </c>
      <c r="H35" t="s">
        <v>230</v>
      </c>
    </row>
    <row r="36" spans="2:8">
      <c r="B36" s="64" t="s">
        <v>117</v>
      </c>
      <c r="C36" s="5">
        <f>K26</f>
        <v>12396.84134017524</v>
      </c>
      <c r="E36" s="196"/>
      <c r="F36" s="196"/>
    </row>
    <row r="38" spans="2:8">
      <c r="H38" t="s">
        <v>231</v>
      </c>
    </row>
    <row r="42" spans="2:8">
      <c r="B42" t="s">
        <v>226</v>
      </c>
    </row>
    <row r="43" spans="2:8">
      <c r="B43" t="s">
        <v>232</v>
      </c>
    </row>
    <row r="60" spans="12:14">
      <c r="L60" t="s">
        <v>238</v>
      </c>
      <c r="M60">
        <f>'Climatisation  sans recyclage'!C27</f>
        <v>3.0756726421830032</v>
      </c>
    </row>
    <row r="61" spans="12:14">
      <c r="L61" t="s">
        <v>239</v>
      </c>
      <c r="M61">
        <f>'Climatisation  sans recyclage'!J27</f>
        <v>3.6828135704268061</v>
      </c>
    </row>
    <row r="63" spans="12:14">
      <c r="L63" t="s">
        <v>242</v>
      </c>
      <c r="M63">
        <v>2.38</v>
      </c>
      <c r="N63">
        <f>M63/2</f>
        <v>1.19</v>
      </c>
    </row>
    <row r="64" spans="12:14">
      <c r="L64" t="s">
        <v>237</v>
      </c>
      <c r="M64">
        <v>2.38</v>
      </c>
    </row>
    <row r="66" spans="12:14">
      <c r="L66" t="s">
        <v>5</v>
      </c>
      <c r="M66">
        <f>M64*N63</f>
        <v>2.8321999999999998</v>
      </c>
    </row>
    <row r="68" spans="12:14">
      <c r="L68" t="s">
        <v>240</v>
      </c>
      <c r="M68">
        <f>M66/M60</f>
        <v>0.92083922103940319</v>
      </c>
      <c r="N68" t="s">
        <v>243</v>
      </c>
    </row>
    <row r="69" spans="12:14">
      <c r="L69" t="s">
        <v>241</v>
      </c>
      <c r="M69">
        <f>M61/M66</f>
        <v>1.3003366889438621</v>
      </c>
    </row>
    <row r="102" spans="8:12">
      <c r="H102" t="s">
        <v>248</v>
      </c>
    </row>
    <row r="103" spans="8:12">
      <c r="L103" t="s">
        <v>249</v>
      </c>
    </row>
    <row r="105" spans="8:12">
      <c r="L105" t="s">
        <v>250</v>
      </c>
    </row>
    <row r="255" spans="17:17">
      <c r="Q255">
        <f>3.52/Y22*3600</f>
        <v>14658.544546910733</v>
      </c>
    </row>
    <row r="288" spans="2:3">
      <c r="B288" s="1" t="s">
        <v>144</v>
      </c>
      <c r="C288" s="2" t="s">
        <v>150</v>
      </c>
    </row>
    <row r="289" spans="2:4">
      <c r="B289" s="2" t="s">
        <v>153</v>
      </c>
      <c r="C289" s="2" t="s">
        <v>154</v>
      </c>
    </row>
    <row r="291" spans="2:4">
      <c r="C291" t="s">
        <v>156</v>
      </c>
      <c r="D291" s="91" t="s">
        <v>155</v>
      </c>
    </row>
  </sheetData>
  <mergeCells count="6">
    <mergeCell ref="E34:F36"/>
    <mergeCell ref="T20:AA20"/>
    <mergeCell ref="B29:C29"/>
    <mergeCell ref="T10:AA10"/>
    <mergeCell ref="C2:J2"/>
    <mergeCell ref="K2:R2"/>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2FF1-2BB5-524D-9729-11C15412B2B2}">
  <dimension ref="A1:AB224"/>
  <sheetViews>
    <sheetView tabSelected="1" topLeftCell="B1" zoomScale="75" zoomScaleNormal="75" workbookViewId="0">
      <selection activeCell="I11" sqref="I11"/>
    </sheetView>
  </sheetViews>
  <sheetFormatPr baseColWidth="10" defaultColWidth="10.28515625" defaultRowHeight="15"/>
  <cols>
    <col min="1" max="1" width="26.28515625" customWidth="1"/>
    <col min="2" max="2" width="24.7109375" customWidth="1"/>
    <col min="3" max="3" width="20.140625" customWidth="1"/>
    <col min="4" max="4" width="14.7109375" customWidth="1"/>
    <col min="6" max="6" width="12.28515625" customWidth="1"/>
    <col min="7" max="7" width="18.7109375" customWidth="1"/>
    <col min="8" max="8" width="14.7109375" customWidth="1"/>
    <col min="9" max="9" width="16.7109375" customWidth="1"/>
    <col min="10" max="10" width="32.7109375" customWidth="1"/>
    <col min="11" max="11" width="14" customWidth="1"/>
  </cols>
  <sheetData>
    <row r="1" spans="1:25">
      <c r="A1" s="24"/>
      <c r="B1" s="24"/>
      <c r="C1" s="24"/>
      <c r="D1" s="24"/>
      <c r="E1" s="24"/>
      <c r="F1" s="24"/>
      <c r="G1" s="24" t="s">
        <v>263</v>
      </c>
      <c r="H1" s="24"/>
      <c r="I1" s="24"/>
      <c r="J1" s="24"/>
      <c r="K1" s="24"/>
      <c r="L1" s="24"/>
      <c r="M1" s="24"/>
      <c r="N1" s="24"/>
      <c r="O1" s="24"/>
      <c r="P1" s="24"/>
      <c r="Q1" s="24"/>
      <c r="R1" s="24"/>
      <c r="S1" s="24"/>
      <c r="T1" s="24"/>
      <c r="U1" s="24"/>
    </row>
    <row r="2" spans="1:25" ht="18.75">
      <c r="A2" s="24"/>
      <c r="B2" s="24"/>
      <c r="C2" s="24"/>
      <c r="D2" s="2" t="s">
        <v>131</v>
      </c>
      <c r="E2" s="201">
        <v>20</v>
      </c>
      <c r="F2" s="201"/>
      <c r="G2" s="24">
        <v>20</v>
      </c>
      <c r="H2" s="24"/>
      <c r="I2" s="24"/>
      <c r="J2" s="24"/>
      <c r="K2" s="24"/>
      <c r="L2" s="24"/>
      <c r="M2" s="24"/>
      <c r="O2" s="24"/>
      <c r="P2" s="24"/>
      <c r="Q2" s="24"/>
      <c r="R2" s="24"/>
      <c r="S2" s="24"/>
      <c r="T2" s="24"/>
      <c r="U2" s="24"/>
    </row>
    <row r="3" spans="1:25" ht="18.75">
      <c r="A3" s="24"/>
      <c r="B3" s="24"/>
      <c r="C3" s="24"/>
      <c r="D3" s="2" t="s">
        <v>132</v>
      </c>
      <c r="E3" s="202">
        <v>25</v>
      </c>
      <c r="F3" s="202"/>
      <c r="G3" s="24">
        <v>27</v>
      </c>
      <c r="H3" s="24"/>
      <c r="I3" s="24">
        <f>((($E$7+$F$7)/2)-G3)</f>
        <v>-17.5</v>
      </c>
      <c r="J3" s="24"/>
      <c r="K3" s="24"/>
      <c r="L3" s="24"/>
      <c r="M3" s="24"/>
      <c r="N3" s="24"/>
      <c r="O3" s="24"/>
      <c r="P3" s="24"/>
      <c r="Q3" s="24"/>
      <c r="R3" s="24"/>
      <c r="S3" s="24"/>
      <c r="T3" s="24"/>
      <c r="U3" s="24"/>
    </row>
    <row r="4" spans="1:25">
      <c r="A4" s="24"/>
      <c r="B4" s="24"/>
      <c r="C4" s="24"/>
      <c r="D4" s="2" t="s">
        <v>129</v>
      </c>
      <c r="E4" s="2">
        <v>70</v>
      </c>
      <c r="F4" s="2">
        <v>50</v>
      </c>
      <c r="G4" s="24">
        <f>(E4+F4)/2</f>
        <v>60</v>
      </c>
      <c r="H4" s="24"/>
      <c r="I4" s="24"/>
      <c r="J4" s="24"/>
      <c r="K4" s="24"/>
      <c r="L4" s="24"/>
      <c r="M4" s="24"/>
      <c r="N4" s="24"/>
      <c r="O4" s="24"/>
      <c r="P4" s="24"/>
      <c r="Q4" s="24"/>
      <c r="R4" s="24"/>
      <c r="S4" s="24"/>
      <c r="T4" s="24"/>
      <c r="U4" s="24"/>
    </row>
    <row r="5" spans="1:25">
      <c r="A5" s="24"/>
      <c r="B5" s="24"/>
      <c r="C5" s="24"/>
      <c r="D5" s="22" t="s">
        <v>130</v>
      </c>
      <c r="E5" s="22">
        <v>7</v>
      </c>
      <c r="F5" s="112">
        <v>12</v>
      </c>
      <c r="G5" s="24">
        <f>(E5+F5)/2</f>
        <v>9.5</v>
      </c>
      <c r="H5" s="24"/>
      <c r="I5" s="24"/>
      <c r="J5" s="24">
        <f>(((E5+F5)/2)-E3)</f>
        <v>-15.5</v>
      </c>
      <c r="K5" s="24"/>
      <c r="L5" s="24"/>
      <c r="M5" s="24"/>
      <c r="N5" s="24"/>
      <c r="O5" s="24"/>
      <c r="P5" s="24"/>
      <c r="Q5" s="24"/>
      <c r="R5" s="24"/>
      <c r="S5" s="24"/>
      <c r="T5" s="24"/>
      <c r="U5" s="24"/>
    </row>
    <row r="6" spans="1:25">
      <c r="A6" s="24"/>
      <c r="B6" s="24"/>
      <c r="C6" s="207" t="s">
        <v>257</v>
      </c>
      <c r="D6" s="208"/>
      <c r="E6" s="166">
        <v>65</v>
      </c>
      <c r="F6" s="32">
        <v>55</v>
      </c>
      <c r="G6" s="24">
        <f>(E6+F6)/2</f>
        <v>60</v>
      </c>
      <c r="H6" s="24"/>
      <c r="I6" s="24"/>
      <c r="J6" s="24">
        <f>(((E6+F6)/2)-E3)</f>
        <v>35</v>
      </c>
      <c r="K6" s="24"/>
      <c r="L6" s="24"/>
      <c r="M6" s="24"/>
      <c r="N6" s="24"/>
      <c r="O6" s="24"/>
      <c r="P6" s="24"/>
      <c r="Q6" s="24"/>
      <c r="R6" s="24"/>
      <c r="S6" s="24"/>
      <c r="T6" s="24"/>
      <c r="U6" s="24"/>
    </row>
    <row r="7" spans="1:25">
      <c r="A7" s="24"/>
      <c r="B7" s="24"/>
      <c r="C7" s="209"/>
      <c r="D7" s="210"/>
      <c r="E7" s="32">
        <v>7</v>
      </c>
      <c r="F7" s="167">
        <v>12</v>
      </c>
      <c r="G7" s="24"/>
      <c r="H7" s="24"/>
      <c r="I7" s="24"/>
      <c r="J7" s="24">
        <f>(((J5/J6)^10))</f>
        <v>2.9015932896152638E-4</v>
      </c>
      <c r="K7" s="24"/>
      <c r="L7" s="24"/>
      <c r="M7" s="24"/>
      <c r="N7" s="24"/>
      <c r="O7" s="24"/>
      <c r="P7" s="24"/>
      <c r="Q7" s="24"/>
      <c r="R7" s="24"/>
      <c r="S7" s="24"/>
      <c r="T7" s="24"/>
      <c r="U7" s="24"/>
      <c r="W7">
        <v>1.3</v>
      </c>
      <c r="X7">
        <f>((($E$4+$F$4)/2-20)/((45+40)/2-20))^1.3*W7</f>
        <v>2.746528231532805</v>
      </c>
      <c r="Y7">
        <f t="shared" ref="Y7:Y15" si="0">((((($E$5+$F$5)/2)-$E$3)/((($E$7+$F$7)/2)-$G$3))^1.3)*W7</f>
        <v>1.1102610305793625</v>
      </c>
    </row>
    <row r="8" spans="1:25">
      <c r="A8" s="24"/>
      <c r="B8" s="24"/>
      <c r="C8" s="24"/>
      <c r="D8" s="24"/>
      <c r="E8" s="24"/>
      <c r="F8" s="24"/>
      <c r="G8" s="24"/>
      <c r="H8" s="24"/>
      <c r="I8" s="24"/>
      <c r="J8" s="24"/>
      <c r="K8" s="24"/>
      <c r="L8" s="24"/>
      <c r="M8" s="24"/>
      <c r="N8" s="24"/>
      <c r="O8" s="24"/>
      <c r="P8" s="24"/>
      <c r="Q8" s="24"/>
      <c r="R8" s="24"/>
      <c r="S8" s="24"/>
      <c r="T8" s="24"/>
      <c r="U8" s="24"/>
      <c r="W8">
        <v>1.8</v>
      </c>
      <c r="X8">
        <f>((($E$4+$F$4)/2-20)/((45+40)/2-20))^1.3*W8</f>
        <v>3.8028852436608069</v>
      </c>
      <c r="Y8">
        <f t="shared" si="0"/>
        <v>1.5372845038791174</v>
      </c>
    </row>
    <row r="9" spans="1:25">
      <c r="A9" s="24"/>
      <c r="B9" s="75" t="s">
        <v>54</v>
      </c>
      <c r="C9" s="63" t="s">
        <v>143</v>
      </c>
      <c r="D9" s="63" t="s">
        <v>53</v>
      </c>
      <c r="E9" s="63" t="s">
        <v>64</v>
      </c>
      <c r="F9" s="63" t="s">
        <v>133</v>
      </c>
      <c r="G9" s="80" t="s">
        <v>135</v>
      </c>
      <c r="H9" s="63" t="s">
        <v>134</v>
      </c>
      <c r="I9" s="79" t="s">
        <v>136</v>
      </c>
      <c r="J9" s="63" t="s">
        <v>139</v>
      </c>
      <c r="K9" s="63" t="s">
        <v>142</v>
      </c>
      <c r="L9" s="24"/>
      <c r="M9" s="203" t="s">
        <v>7</v>
      </c>
      <c r="N9" s="204"/>
      <c r="O9" s="204"/>
      <c r="P9" s="204"/>
      <c r="Q9" s="204"/>
      <c r="R9" s="204"/>
      <c r="S9" s="204"/>
      <c r="T9" s="205"/>
      <c r="U9" s="24"/>
      <c r="W9">
        <v>2.2999999999999998</v>
      </c>
      <c r="X9">
        <f>((($E$4+$F$4)/2-20)/((45+40)/2-20))^1.3*W10</f>
        <v>5.2817850606400096</v>
      </c>
      <c r="Y9">
        <f t="shared" si="0"/>
        <v>1.9643079771788721</v>
      </c>
    </row>
    <row r="10" spans="1:25">
      <c r="A10" s="24"/>
      <c r="B10" s="31" t="s">
        <v>157</v>
      </c>
      <c r="C10" s="83" t="s">
        <v>254</v>
      </c>
      <c r="D10" s="4">
        <f>'Ecart de soufflage'!J9</f>
        <v>1.518</v>
      </c>
      <c r="E10" s="4">
        <f>Données!V7</f>
        <v>1.355445</v>
      </c>
      <c r="F10" s="88" t="s">
        <v>73</v>
      </c>
      <c r="G10" s="88" t="s">
        <v>73</v>
      </c>
      <c r="H10" s="88" t="s">
        <v>73</v>
      </c>
      <c r="I10" s="88" t="s">
        <v>73</v>
      </c>
      <c r="J10" s="84"/>
      <c r="K10" s="88"/>
      <c r="L10" s="24"/>
      <c r="M10" s="14"/>
      <c r="N10" s="18" t="s">
        <v>10</v>
      </c>
      <c r="O10" s="18" t="s">
        <v>11</v>
      </c>
      <c r="P10" s="18" t="s">
        <v>12</v>
      </c>
      <c r="Q10" s="18" t="s">
        <v>13</v>
      </c>
      <c r="R10" s="18" t="s">
        <v>14</v>
      </c>
      <c r="S10" s="46" t="s">
        <v>15</v>
      </c>
      <c r="T10" s="46" t="s">
        <v>16</v>
      </c>
      <c r="U10" s="24"/>
      <c r="W10">
        <v>2.5</v>
      </c>
      <c r="X10">
        <f>((($E$4+$F$4)/2-20)/((45+40)/2-20))^1.3*W9</f>
        <v>4.8592422557888089</v>
      </c>
      <c r="Y10">
        <f t="shared" si="0"/>
        <v>2.1351173664987741</v>
      </c>
    </row>
    <row r="11" spans="1:25">
      <c r="A11" s="24"/>
      <c r="B11" s="31" t="s">
        <v>158</v>
      </c>
      <c r="C11" s="86" t="s">
        <v>255</v>
      </c>
      <c r="D11" s="4">
        <f>'Ecart de soufflage'!J10</f>
        <v>1.1425000000000001</v>
      </c>
      <c r="E11" s="4">
        <f>Données!V8</f>
        <v>2.138742022222222</v>
      </c>
      <c r="F11" s="88">
        <f>1800*K11</f>
        <v>3600</v>
      </c>
      <c r="G11" s="88">
        <f>((($E$4+$F$4)/2-20)/((65+55)/2-20))^1.3*F11</f>
        <v>3600</v>
      </c>
      <c r="H11" s="88">
        <f>1500*K11</f>
        <v>3000</v>
      </c>
      <c r="I11" s="168">
        <f>((((($E$5+$F$5)/2)-$E$3)/((($E$7+$F$7)/2)-G3))^1.3)*H11</f>
        <v>2562.1408397985288</v>
      </c>
      <c r="J11" s="87" t="s">
        <v>259</v>
      </c>
      <c r="K11" s="88">
        <v>2</v>
      </c>
      <c r="L11" s="24"/>
      <c r="M11" s="2" t="s">
        <v>19</v>
      </c>
      <c r="N11" s="27">
        <v>-8</v>
      </c>
      <c r="O11" s="21">
        <f>1.72</f>
        <v>1.72</v>
      </c>
      <c r="P11" s="21">
        <f>-3.84</f>
        <v>-3.84</v>
      </c>
      <c r="Q11" s="27">
        <v>90</v>
      </c>
      <c r="R11" s="21">
        <f>(N11+273.15)*287.05/101325</f>
        <v>0.75116020231926961</v>
      </c>
      <c r="S11" s="21">
        <f>(Q11/100)*T11</f>
        <v>278.96016200898111</v>
      </c>
      <c r="T11" s="21">
        <f>4.689*(1.486+(N11)/100)^12.3</f>
        <v>309.95573556553455</v>
      </c>
      <c r="U11" s="24"/>
      <c r="W11">
        <v>3.5</v>
      </c>
      <c r="X11">
        <f t="shared" ref="X11:X17" si="1">((($E$4+$F$4)/2-20)/((45+40)/2-20))^1.3*W11</f>
        <v>7.3944990848960135</v>
      </c>
      <c r="Y11">
        <f t="shared" si="0"/>
        <v>2.9891643130982839</v>
      </c>
    </row>
    <row r="12" spans="1:25">
      <c r="A12" s="24"/>
      <c r="B12" s="31" t="s">
        <v>159</v>
      </c>
      <c r="C12" s="83" t="s">
        <v>254</v>
      </c>
      <c r="D12" s="4">
        <f>'Ecart de soufflage'!J11</f>
        <v>0.62050000000000005</v>
      </c>
      <c r="E12" s="4">
        <f>Données!V9</f>
        <v>0.48842799999999997</v>
      </c>
      <c r="F12" s="88" t="s">
        <v>73</v>
      </c>
      <c r="G12" s="88" t="s">
        <v>73</v>
      </c>
      <c r="H12" s="88" t="s">
        <v>73</v>
      </c>
      <c r="I12" s="168" t="s">
        <v>73</v>
      </c>
      <c r="J12" s="85"/>
      <c r="K12" s="88"/>
      <c r="L12" s="24"/>
      <c r="M12" s="2" t="s">
        <v>27</v>
      </c>
      <c r="N12" s="21">
        <v>20</v>
      </c>
      <c r="O12" s="21">
        <f>O11</f>
        <v>1.72</v>
      </c>
      <c r="P12" s="21">
        <v>24.4</v>
      </c>
      <c r="Q12" s="21">
        <v>11.8</v>
      </c>
      <c r="R12" s="21">
        <f>(N12+273.15)*287.05/101325</f>
        <v>0.83048317295830254</v>
      </c>
      <c r="S12" s="21">
        <f>(O12*101325)/(622+O12)</f>
        <v>279.41864939395879</v>
      </c>
      <c r="T12" s="21">
        <f>288.68*(1.098+(N12)/100)^8.02</f>
        <v>2338.1896306956355</v>
      </c>
      <c r="U12" s="24"/>
      <c r="W12">
        <v>4.9000000000000004</v>
      </c>
      <c r="X12">
        <f t="shared" si="1"/>
        <v>10.352298718854419</v>
      </c>
      <c r="Y12">
        <f t="shared" si="0"/>
        <v>4.1848300383375978</v>
      </c>
    </row>
    <row r="13" spans="1:25">
      <c r="A13" s="24"/>
      <c r="B13" s="31" t="s">
        <v>160</v>
      </c>
      <c r="C13" s="86" t="s">
        <v>255</v>
      </c>
      <c r="D13" s="4">
        <f>'Ecart de soufflage'!J12</f>
        <v>1.3744444444444444</v>
      </c>
      <c r="E13" s="4">
        <f>Données!V10</f>
        <v>2.2390132888888887</v>
      </c>
      <c r="F13" s="88">
        <f>1800*K13</f>
        <v>3600</v>
      </c>
      <c r="G13" s="88">
        <f t="shared" ref="G13:G18" si="2">((($E$4+$F$4)/2-20)/((65+55)/2-20))^1.3*F13</f>
        <v>3600</v>
      </c>
      <c r="H13" s="88">
        <v>3000</v>
      </c>
      <c r="I13" s="168">
        <f>((((($E$5+$F$5)/2)-$E$3)/((($E$7+$F$7)/2)-G3))^1.3)*H13</f>
        <v>2562.1408397985288</v>
      </c>
      <c r="J13" s="87" t="s">
        <v>259</v>
      </c>
      <c r="K13" s="89">
        <v>2</v>
      </c>
      <c r="L13" s="24"/>
      <c r="M13" s="24"/>
      <c r="N13" s="24"/>
      <c r="O13" s="24"/>
      <c r="P13" s="24"/>
      <c r="Q13" s="24"/>
      <c r="R13" s="24"/>
      <c r="S13" s="24"/>
      <c r="T13" s="24"/>
      <c r="U13" s="24"/>
      <c r="W13">
        <v>5.6</v>
      </c>
      <c r="X13">
        <f t="shared" si="1"/>
        <v>11.831198535833622</v>
      </c>
      <c r="Y13">
        <f t="shared" si="0"/>
        <v>4.7826629009572539</v>
      </c>
    </row>
    <row r="14" spans="1:25">
      <c r="A14" s="24"/>
      <c r="B14" s="31" t="s">
        <v>161</v>
      </c>
      <c r="C14" s="86" t="s">
        <v>255</v>
      </c>
      <c r="D14" s="4">
        <f>'Ecart de soufflage'!J13</f>
        <v>0.90097222222222229</v>
      </c>
      <c r="E14" s="4">
        <f>Données!V11</f>
        <v>1.3672599999999999</v>
      </c>
      <c r="F14" s="88">
        <v>3500</v>
      </c>
      <c r="G14" s="88">
        <f t="shared" si="2"/>
        <v>3500</v>
      </c>
      <c r="H14" s="88">
        <v>2000</v>
      </c>
      <c r="I14" s="168">
        <f>((((($E$5+$F$5)/2)-$E$3)/((($E$7+$F$7)/2)-G3))^1.3)*H14</f>
        <v>1708.0938931990192</v>
      </c>
      <c r="J14" s="87" t="s">
        <v>268</v>
      </c>
      <c r="K14" s="88">
        <v>1</v>
      </c>
      <c r="L14" s="24"/>
      <c r="M14" s="24"/>
      <c r="N14" s="24"/>
      <c r="O14" s="24"/>
      <c r="P14" s="24"/>
      <c r="Q14" s="24"/>
      <c r="R14" s="24"/>
      <c r="S14" s="24"/>
      <c r="T14" s="24"/>
      <c r="U14" s="24"/>
      <c r="W14">
        <v>7.3</v>
      </c>
      <c r="X14">
        <f t="shared" si="1"/>
        <v>15.422812377068828</v>
      </c>
      <c r="Y14">
        <f t="shared" si="0"/>
        <v>6.2345427101764201</v>
      </c>
    </row>
    <row r="15" spans="1:25">
      <c r="A15" s="24"/>
      <c r="B15" s="31" t="s">
        <v>162</v>
      </c>
      <c r="C15" s="86" t="s">
        <v>255</v>
      </c>
      <c r="D15" s="4">
        <f>'Ecart de soufflage'!J14</f>
        <v>0.90649999999999997</v>
      </c>
      <c r="E15" s="4">
        <f>Données!V12</f>
        <v>1.3705766666666666</v>
      </c>
      <c r="F15" s="88">
        <v>3500</v>
      </c>
      <c r="G15" s="88">
        <f t="shared" si="2"/>
        <v>3500</v>
      </c>
      <c r="H15" s="88">
        <v>2000</v>
      </c>
      <c r="I15" s="168">
        <f>((((($E$5+$F$5)/2)-$E$3)/((($E$7+$F$7)/2)-G3))^1.3)*H15</f>
        <v>1708.0938931990192</v>
      </c>
      <c r="J15" s="87" t="s">
        <v>269</v>
      </c>
      <c r="K15" s="88">
        <v>1</v>
      </c>
      <c r="L15" s="24"/>
      <c r="M15" s="198" t="s">
        <v>38</v>
      </c>
      <c r="N15" s="199"/>
      <c r="O15" s="199"/>
      <c r="P15" s="199"/>
      <c r="Q15" s="199"/>
      <c r="R15" s="199"/>
      <c r="S15" s="199"/>
      <c r="T15" s="200"/>
      <c r="U15" s="24"/>
      <c r="W15">
        <v>9.9</v>
      </c>
      <c r="X15">
        <f t="shared" si="1"/>
        <v>20.91586884013444</v>
      </c>
      <c r="Y15">
        <f t="shared" si="0"/>
        <v>8.4550647713351452</v>
      </c>
    </row>
    <row r="16" spans="1:25">
      <c r="A16" s="24"/>
      <c r="B16" s="31" t="s">
        <v>163</v>
      </c>
      <c r="C16" s="86" t="s">
        <v>255</v>
      </c>
      <c r="D16" s="4">
        <f>'Ecart de soufflage'!J15</f>
        <v>0.90649999999999997</v>
      </c>
      <c r="E16" s="4">
        <f>Données!V13</f>
        <v>1.4070566666666666</v>
      </c>
      <c r="F16" s="88">
        <f>3500*K16</f>
        <v>7000</v>
      </c>
      <c r="G16" s="88">
        <f t="shared" si="2"/>
        <v>7000</v>
      </c>
      <c r="H16" s="88">
        <v>2000</v>
      </c>
      <c r="I16" s="168">
        <f>((((($E$5+$F$5)/2)-$E$3)/((($E$7+$F$7)/2)-G3))^1.3)*H16</f>
        <v>1708.0938931990192</v>
      </c>
      <c r="J16" s="87" t="s">
        <v>270</v>
      </c>
      <c r="K16" s="88">
        <v>2</v>
      </c>
      <c r="L16" s="24"/>
      <c r="M16" s="1"/>
      <c r="N16" s="3" t="s">
        <v>10</v>
      </c>
      <c r="O16" s="3" t="s">
        <v>11</v>
      </c>
      <c r="P16" s="3" t="s">
        <v>12</v>
      </c>
      <c r="Q16" s="3" t="s">
        <v>13</v>
      </c>
      <c r="R16" s="3" t="s">
        <v>14</v>
      </c>
      <c r="S16" s="28" t="s">
        <v>15</v>
      </c>
      <c r="T16" s="28" t="s">
        <v>16</v>
      </c>
      <c r="U16" s="24"/>
      <c r="X16">
        <f t="shared" si="1"/>
        <v>0</v>
      </c>
    </row>
    <row r="17" spans="1:28">
      <c r="A17" s="24"/>
      <c r="B17" s="31" t="s">
        <v>164</v>
      </c>
      <c r="C17" s="86" t="s">
        <v>255</v>
      </c>
      <c r="D17" s="4">
        <f>'Ecart de soufflage'!J16</f>
        <v>1.6649999999999998</v>
      </c>
      <c r="E17" s="4">
        <f>Données!V14</f>
        <v>3.0628063111111112</v>
      </c>
      <c r="F17" s="88">
        <f>3500*K17</f>
        <v>7000</v>
      </c>
      <c r="G17" s="88">
        <f t="shared" si="2"/>
        <v>7000</v>
      </c>
      <c r="H17" s="88">
        <f>2000*K16</f>
        <v>4000</v>
      </c>
      <c r="I17" s="168">
        <f>((((($E$5+$F$5)/2)-$E$3)/((($E$7+$F$7)/2)-G3))^1.3)*H17</f>
        <v>3416.1877863980385</v>
      </c>
      <c r="J17" s="87" t="s">
        <v>271</v>
      </c>
      <c r="K17" s="88">
        <v>2</v>
      </c>
      <c r="L17" s="24"/>
      <c r="M17" s="2" t="s">
        <v>19</v>
      </c>
      <c r="N17" s="27">
        <v>32</v>
      </c>
      <c r="O17" s="21">
        <f>15</f>
        <v>15</v>
      </c>
      <c r="P17" s="21">
        <f>70.5</f>
        <v>70.5</v>
      </c>
      <c r="Q17" s="27">
        <v>50</v>
      </c>
      <c r="R17" s="21">
        <f>0.89</f>
        <v>0.89</v>
      </c>
      <c r="S17" s="21">
        <f>(Q17/100)*T17</f>
        <v>2375.9104754400132</v>
      </c>
      <c r="T17" s="21">
        <f>288.68*(1.098+(N17)/100)^8.02</f>
        <v>4751.8209508800264</v>
      </c>
      <c r="U17" s="24"/>
      <c r="X17">
        <f t="shared" si="1"/>
        <v>0</v>
      </c>
    </row>
    <row r="18" spans="1:28">
      <c r="A18" s="24"/>
      <c r="B18" s="31" t="s">
        <v>165</v>
      </c>
      <c r="C18" s="86" t="s">
        <v>255</v>
      </c>
      <c r="D18" s="4">
        <f>'Ecart de soufflage'!J17</f>
        <v>2.29</v>
      </c>
      <c r="E18" s="4">
        <f>Données!V15</f>
        <v>1.7665</v>
      </c>
      <c r="F18" s="88">
        <f>1800*K18</f>
        <v>3600</v>
      </c>
      <c r="G18" s="88">
        <f t="shared" si="2"/>
        <v>3600</v>
      </c>
      <c r="H18" s="88">
        <f>1500*K18</f>
        <v>3000</v>
      </c>
      <c r="I18" s="88">
        <f>((((($E$5+$F$5)/2)-$E$3)/((($E$7+$F$7)/2)-G3))^1.3)*H18</f>
        <v>2562.1408397985288</v>
      </c>
      <c r="J18" s="87" t="s">
        <v>259</v>
      </c>
      <c r="K18" s="90">
        <v>2</v>
      </c>
      <c r="L18" s="24"/>
      <c r="M18" s="2" t="s">
        <v>272</v>
      </c>
      <c r="N18" s="21">
        <v>25</v>
      </c>
      <c r="O18" s="21">
        <f>20.1</f>
        <v>20.100000000000001</v>
      </c>
      <c r="P18" s="21">
        <f>76.3</f>
        <v>76.3</v>
      </c>
      <c r="Q18" s="21">
        <f>100</f>
        <v>100</v>
      </c>
      <c r="R18" s="21">
        <f xml:space="preserve"> 0.872</f>
        <v>0.872</v>
      </c>
      <c r="S18" s="21">
        <f>(O18*101325)/(622+O18)</f>
        <v>3171.8307117271456</v>
      </c>
      <c r="T18" s="21">
        <f>288.68*(1.098+(N18)/100)^8.02</f>
        <v>3166.1364826602589</v>
      </c>
      <c r="U18" s="24"/>
    </row>
    <row r="19" spans="1:28" ht="15.75" thickBot="1">
      <c r="A19" s="24"/>
      <c r="B19" s="31" t="s">
        <v>166</v>
      </c>
      <c r="C19" s="83" t="s">
        <v>254</v>
      </c>
      <c r="D19" s="4">
        <f>'Ecart de soufflage'!J18</f>
        <v>0.36199999999999999</v>
      </c>
      <c r="E19" s="4">
        <f>Données!V16</f>
        <v>0.28592400000000001</v>
      </c>
      <c r="F19" s="88" t="s">
        <v>73</v>
      </c>
      <c r="G19" s="88" t="s">
        <v>73</v>
      </c>
      <c r="H19" s="88" t="s">
        <v>73</v>
      </c>
      <c r="I19" s="88" t="s">
        <v>73</v>
      </c>
      <c r="J19" s="84"/>
      <c r="K19" s="88"/>
      <c r="L19" s="24"/>
      <c r="M19" s="24"/>
      <c r="N19" s="24"/>
      <c r="O19" s="24"/>
      <c r="P19" s="24"/>
      <c r="Q19" s="24"/>
      <c r="R19" s="24"/>
      <c r="S19" s="24"/>
      <c r="T19" s="24"/>
      <c r="U19" s="24"/>
    </row>
    <row r="20" spans="1:28" ht="16.5" thickBot="1">
      <c r="A20" s="24"/>
      <c r="B20" s="104" t="s">
        <v>167</v>
      </c>
      <c r="C20" s="86" t="s">
        <v>255</v>
      </c>
      <c r="D20" s="4">
        <f>'Ecart de soufflage'!J19</f>
        <v>0.91037500000000005</v>
      </c>
      <c r="E20" s="4">
        <f>Données!V17</f>
        <v>0.69188499999999997</v>
      </c>
      <c r="F20" s="88">
        <v>1800</v>
      </c>
      <c r="G20" s="88">
        <f>((($E$4+$F$4)/2-20)/((65+55)/2-20))^1.3*F20</f>
        <v>1800</v>
      </c>
      <c r="H20" s="88">
        <v>1500</v>
      </c>
      <c r="I20" s="88">
        <f>((((($E$5+$F$5)/2)-$E$3)/((($E$7+$F$7)/2)-G3))^1.3)*H20</f>
        <v>1281.0704198992644</v>
      </c>
      <c r="J20" s="87" t="s">
        <v>259</v>
      </c>
      <c r="K20" s="88">
        <v>1</v>
      </c>
      <c r="L20" s="24"/>
      <c r="M20" s="24"/>
      <c r="N20" s="211" t="s">
        <v>110</v>
      </c>
      <c r="O20" s="212"/>
      <c r="P20" s="24"/>
      <c r="Q20" s="24"/>
      <c r="R20" s="24"/>
      <c r="S20" s="24"/>
      <c r="T20" s="24"/>
      <c r="U20" s="24"/>
    </row>
    <row r="21" spans="1:28" ht="31.5" thickBot="1">
      <c r="A21" s="24"/>
      <c r="B21" s="31" t="s">
        <v>168</v>
      </c>
      <c r="C21" s="86" t="s">
        <v>255</v>
      </c>
      <c r="D21" s="4">
        <f>'Ecart de soufflage'!J20</f>
        <v>1.0605</v>
      </c>
      <c r="E21" s="4">
        <f>Données!V18</f>
        <v>2.9708606666666668</v>
      </c>
      <c r="F21" s="88">
        <f>1800*K21</f>
        <v>1800</v>
      </c>
      <c r="G21" s="88">
        <f>((($E$4+$F$4)/2-20)/((65+55)/2-20))^1.3*F21</f>
        <v>1800</v>
      </c>
      <c r="H21" s="88">
        <f>3900</f>
        <v>3900</v>
      </c>
      <c r="I21" s="88">
        <f>((((($E$5+$F$5)/2)-$E$3)/((($E$7+$F$7)/2)-G3))^1.3)*H21</f>
        <v>3330.7830917380875</v>
      </c>
      <c r="J21" s="87" t="s">
        <v>260</v>
      </c>
      <c r="K21" s="88">
        <v>1</v>
      </c>
      <c r="L21" s="24"/>
      <c r="M21" s="24"/>
      <c r="N21" s="170" t="s">
        <v>273</v>
      </c>
      <c r="O21" s="171">
        <f>'Ecart de soufflage'!H30*('Ventilo convecteur'!P12-'Ventilo convecteur'!P11)</f>
        <v>48.892432175154696</v>
      </c>
      <c r="P21" s="24"/>
      <c r="Q21" s="24"/>
      <c r="R21" s="24"/>
      <c r="S21" s="24"/>
      <c r="T21" s="24"/>
      <c r="U21" s="24"/>
      <c r="V21" s="24"/>
      <c r="W21" s="24"/>
      <c r="X21" s="24"/>
      <c r="Y21" s="24"/>
      <c r="Z21" s="24"/>
      <c r="AA21" s="24"/>
      <c r="AB21" s="24"/>
    </row>
    <row r="22" spans="1:28" ht="15.75" thickBot="1">
      <c r="A22" s="24"/>
      <c r="B22" s="31" t="s">
        <v>169</v>
      </c>
      <c r="C22" s="86" t="s">
        <v>255</v>
      </c>
      <c r="D22" s="4">
        <f>'Ecart de soufflage'!J21</f>
        <v>1.5009999999999999</v>
      </c>
      <c r="E22" s="4">
        <f>Données!V19</f>
        <v>2.3065333333333333</v>
      </c>
      <c r="F22" s="88">
        <v>2800</v>
      </c>
      <c r="G22" s="88">
        <f>((($E$4+$F$4)/2-20)/((65+55)/2-20))^1.3*F22</f>
        <v>2800</v>
      </c>
      <c r="H22" s="88">
        <v>3000</v>
      </c>
      <c r="I22" s="88">
        <f>((((($E$5+$F$5)/2)-$E$3)/((($E$7+$F$7)/2)-G3))^1.3)*H22</f>
        <v>2562.1408397985288</v>
      </c>
      <c r="J22" s="87" t="s">
        <v>259</v>
      </c>
      <c r="K22" s="88">
        <v>2</v>
      </c>
      <c r="L22" s="24"/>
      <c r="M22" s="24"/>
      <c r="N22" s="170" t="s">
        <v>274</v>
      </c>
      <c r="O22" s="171">
        <f>'Ecart de soufflage'!I30*('Ventilo convecteur'!P18-'Ventilo convecteur'!P17)</f>
        <v>9.8356643356643332</v>
      </c>
      <c r="P22" s="24"/>
      <c r="Q22" s="24"/>
      <c r="R22" s="24"/>
      <c r="S22" s="24"/>
      <c r="T22" s="24"/>
      <c r="U22" s="24"/>
      <c r="V22" s="24"/>
      <c r="W22" s="24"/>
      <c r="X22" s="24"/>
      <c r="Y22" s="24"/>
      <c r="Z22" s="24"/>
      <c r="AA22" s="24"/>
      <c r="AB22" s="24"/>
    </row>
    <row r="23" spans="1:28">
      <c r="A23" s="24"/>
      <c r="B23" s="31" t="s">
        <v>170</v>
      </c>
      <c r="C23" s="86" t="s">
        <v>255</v>
      </c>
      <c r="D23" s="4">
        <f>'Ecart de soufflage'!J22</f>
        <v>2.6309999999999998</v>
      </c>
      <c r="E23" s="4">
        <f>Données!V20</f>
        <v>5.2383177777777776</v>
      </c>
      <c r="F23" s="88">
        <f>5600*K23</f>
        <v>11200</v>
      </c>
      <c r="G23" s="88">
        <f>((($E$4+$F$4)/2-20)/((65+55)/2-20))^1.3*F23</f>
        <v>11200</v>
      </c>
      <c r="H23" s="88">
        <f>3300*K23</f>
        <v>6600</v>
      </c>
      <c r="I23" s="88">
        <f>((((($E$5+$F$5)/2)-$E$3)/((($E$7+$F$7)/2)-G3))^1.3)*H23</f>
        <v>5636.7098475567636</v>
      </c>
      <c r="J23" s="87" t="s">
        <v>260</v>
      </c>
      <c r="K23" s="88">
        <v>2</v>
      </c>
      <c r="L23" s="24"/>
      <c r="M23" s="24"/>
      <c r="N23" s="24"/>
      <c r="O23" s="24"/>
      <c r="P23" s="24"/>
      <c r="Q23" s="24"/>
      <c r="R23" s="24"/>
      <c r="S23" s="24"/>
      <c r="T23" s="24"/>
      <c r="U23" s="24"/>
      <c r="V23" s="24"/>
      <c r="W23" s="24"/>
      <c r="X23" s="24"/>
      <c r="Y23" s="24"/>
      <c r="Z23" s="24"/>
      <c r="AA23" s="24"/>
      <c r="AB23" s="24"/>
    </row>
    <row r="24" spans="1:28">
      <c r="A24" s="24"/>
      <c r="B24" s="31" t="s">
        <v>171</v>
      </c>
      <c r="C24" s="86" t="s">
        <v>255</v>
      </c>
      <c r="D24" s="4">
        <f>'Ecart de soufflage'!J23</f>
        <v>2.766</v>
      </c>
      <c r="E24" s="4">
        <f>Données!V21</f>
        <v>3.1095468060836504</v>
      </c>
      <c r="F24" s="88">
        <f>3500*K24</f>
        <v>7000</v>
      </c>
      <c r="G24" s="88">
        <f>((($E$4+$F$4)/2-20)/((65+55)/2-20))^1.3*F24</f>
        <v>7000</v>
      </c>
      <c r="H24" s="88">
        <f>2000*K24</f>
        <v>4000</v>
      </c>
      <c r="I24" s="88">
        <f>((((($E$5+$F$5)/2)-$E$3)/((($E$7+$F$7)/2)-G3))^1.3)*H24</f>
        <v>3416.1877863980385</v>
      </c>
      <c r="J24" s="87" t="s">
        <v>270</v>
      </c>
      <c r="K24" s="88">
        <v>2</v>
      </c>
      <c r="L24" s="24"/>
      <c r="M24" s="24"/>
      <c r="AB24" s="24"/>
    </row>
    <row r="25" spans="1:28">
      <c r="A25" s="206" t="s">
        <v>256</v>
      </c>
      <c r="B25" s="31" t="s">
        <v>172</v>
      </c>
      <c r="C25" s="83" t="s">
        <v>254</v>
      </c>
      <c r="D25" s="4">
        <f>'Ecart de soufflage'!J24</f>
        <v>0.23650000000000002</v>
      </c>
      <c r="E25" s="4">
        <f>Données!V22</f>
        <v>0.29637888888888886</v>
      </c>
      <c r="F25" s="88" t="s">
        <v>73</v>
      </c>
      <c r="G25" s="88" t="s">
        <v>73</v>
      </c>
      <c r="H25" s="88" t="s">
        <v>73</v>
      </c>
      <c r="I25" s="88" t="s">
        <v>73</v>
      </c>
      <c r="J25" s="84"/>
      <c r="K25" s="88"/>
      <c r="L25" s="24"/>
      <c r="M25" s="24"/>
      <c r="AB25" s="24"/>
    </row>
    <row r="26" spans="1:28">
      <c r="A26" s="206"/>
      <c r="B26" s="31" t="s">
        <v>173</v>
      </c>
      <c r="C26" s="83" t="s">
        <v>254</v>
      </c>
      <c r="D26" s="4">
        <f>'Ecart de soufflage'!J25</f>
        <v>0.2185</v>
      </c>
      <c r="E26" s="4">
        <f>Données!V23</f>
        <v>0.28269888888888889</v>
      </c>
      <c r="F26" s="88" t="s">
        <v>73</v>
      </c>
      <c r="G26" s="88" t="s">
        <v>73</v>
      </c>
      <c r="H26" s="88" t="s">
        <v>73</v>
      </c>
      <c r="I26" s="88" t="s">
        <v>73</v>
      </c>
      <c r="J26" s="84"/>
      <c r="K26" s="88"/>
      <c r="L26" s="24"/>
      <c r="M26" s="24" t="s">
        <v>258</v>
      </c>
      <c r="N26" s="24"/>
      <c r="O26" s="24"/>
      <c r="P26" s="24"/>
      <c r="Q26" s="24"/>
      <c r="R26" s="24"/>
      <c r="S26" s="24"/>
      <c r="T26" s="24"/>
      <c r="U26" s="24"/>
      <c r="V26" s="24"/>
      <c r="W26" s="24"/>
      <c r="X26" s="24"/>
      <c r="Y26" s="24"/>
      <c r="Z26" s="24"/>
      <c r="AB26" s="24"/>
    </row>
    <row r="27" spans="1:28">
      <c r="A27" s="24"/>
      <c r="B27" s="31" t="s">
        <v>174</v>
      </c>
      <c r="C27" s="86" t="s">
        <v>255</v>
      </c>
      <c r="D27" s="4">
        <f>'Ecart de soufflage'!J26</f>
        <v>0.86999999999999988</v>
      </c>
      <c r="E27" s="4">
        <f>Données!V24</f>
        <v>1.2443944444444441</v>
      </c>
      <c r="F27" s="88">
        <v>1800</v>
      </c>
      <c r="G27" s="88">
        <f>((($E$4+$F$4)/2-20)/((65+55)/2-20))^1.3*F27</f>
        <v>1800</v>
      </c>
      <c r="H27" s="88">
        <v>1500</v>
      </c>
      <c r="I27" s="88">
        <f>((((($E$5+$F$5)/2)-$E$3)/((($E$7+$F$7)/2)-G3))^1.3)*H27</f>
        <v>1281.0704198992644</v>
      </c>
      <c r="J27" s="164" t="s">
        <v>264</v>
      </c>
      <c r="K27" s="88">
        <v>1</v>
      </c>
      <c r="L27" s="24"/>
      <c r="M27" s="24" t="s">
        <v>262</v>
      </c>
      <c r="N27" s="24"/>
      <c r="O27" s="24"/>
      <c r="P27" s="24"/>
      <c r="Q27" s="24"/>
      <c r="R27" s="24"/>
      <c r="S27" s="24"/>
      <c r="T27" s="24"/>
      <c r="U27" s="24"/>
      <c r="V27" s="24"/>
      <c r="W27" s="24"/>
      <c r="X27" s="24"/>
      <c r="Y27" s="24"/>
      <c r="Z27" s="24"/>
      <c r="AB27" s="24"/>
    </row>
    <row r="28" spans="1:28">
      <c r="A28" s="24"/>
      <c r="B28" s="31" t="s">
        <v>175</v>
      </c>
      <c r="C28" s="86" t="s">
        <v>255</v>
      </c>
      <c r="D28" s="4">
        <f>'Ecart de soufflage'!J27</f>
        <v>0.61350000000000005</v>
      </c>
      <c r="E28" s="4">
        <f>Données!V25</f>
        <v>1.0494544444444442</v>
      </c>
      <c r="F28" s="88">
        <v>1800</v>
      </c>
      <c r="G28" s="88">
        <f>((($E$4+$F$4)/2-20)/((65+55)/2-20))^1.3*F28</f>
        <v>1800</v>
      </c>
      <c r="H28" s="88">
        <v>1500</v>
      </c>
      <c r="I28" s="88">
        <f>((((($E$5+$F$5)/2)-$E$3)/((($E$7+$F$7)/2)-G3))^1.3)*H28</f>
        <v>1281.0704198992644</v>
      </c>
      <c r="J28" s="164" t="s">
        <v>264</v>
      </c>
      <c r="K28" s="88">
        <v>1</v>
      </c>
      <c r="L28" s="24"/>
      <c r="M28" s="24"/>
      <c r="N28" s="24"/>
      <c r="O28" s="24"/>
      <c r="P28" s="24"/>
      <c r="Q28" s="24"/>
      <c r="R28" s="24"/>
      <c r="S28" s="24"/>
      <c r="T28" s="24"/>
      <c r="U28" s="24"/>
      <c r="V28" s="24"/>
      <c r="W28" s="24"/>
      <c r="X28" s="24"/>
      <c r="Y28" s="24"/>
      <c r="Z28" s="24"/>
      <c r="AA28" s="24"/>
      <c r="AB28" s="24"/>
    </row>
    <row r="29" spans="1:28">
      <c r="A29" s="24"/>
      <c r="B29" s="31" t="s">
        <v>176</v>
      </c>
      <c r="C29" s="83" t="s">
        <v>254</v>
      </c>
      <c r="D29" s="4">
        <f>'Ecart de soufflage'!J28</f>
        <v>0.54449999999999998</v>
      </c>
      <c r="E29" s="4">
        <f>Données!V26</f>
        <v>0.32669999999999999</v>
      </c>
      <c r="F29" s="88" t="s">
        <v>73</v>
      </c>
      <c r="G29" s="88" t="s">
        <v>73</v>
      </c>
      <c r="H29" s="88" t="s">
        <v>73</v>
      </c>
      <c r="I29" s="88" t="s">
        <v>73</v>
      </c>
      <c r="J29" s="84"/>
      <c r="K29" s="88"/>
      <c r="L29" s="24"/>
      <c r="M29" s="24" t="s">
        <v>261</v>
      </c>
      <c r="N29" s="24"/>
      <c r="O29" s="24"/>
      <c r="P29" s="24"/>
      <c r="Q29" s="24"/>
      <c r="R29" s="24"/>
      <c r="S29" s="24"/>
      <c r="T29" s="24"/>
      <c r="U29" s="24"/>
      <c r="V29" t="s">
        <v>233</v>
      </c>
      <c r="W29" s="24"/>
      <c r="X29" s="24"/>
      <c r="Y29" s="24"/>
      <c r="Z29" s="24"/>
      <c r="AA29" s="24"/>
      <c r="AB29" s="24"/>
    </row>
    <row r="30" spans="1:28">
      <c r="A30" s="24"/>
      <c r="B30" s="32" t="s">
        <v>177</v>
      </c>
      <c r="C30" s="83" t="s">
        <v>254</v>
      </c>
      <c r="D30" s="4">
        <f>'Ecart de soufflage'!J29</f>
        <v>0.17569999999999997</v>
      </c>
      <c r="E30" s="4">
        <f>Données!V27</f>
        <v>0.10541999999999997</v>
      </c>
      <c r="F30" s="88" t="s">
        <v>73</v>
      </c>
      <c r="G30" s="88" t="s">
        <v>73</v>
      </c>
      <c r="H30" s="88" t="s">
        <v>73</v>
      </c>
      <c r="I30" s="88" t="s">
        <v>73</v>
      </c>
      <c r="J30" s="84"/>
      <c r="K30" s="88"/>
      <c r="L30" s="24"/>
      <c r="M30" s="24"/>
      <c r="N30" s="24"/>
      <c r="O30" s="24"/>
      <c r="P30" s="24"/>
      <c r="Q30" s="24"/>
      <c r="R30" s="24"/>
      <c r="S30" s="24"/>
      <c r="T30" s="24"/>
      <c r="U30" s="24"/>
      <c r="V30" s="24"/>
      <c r="W30" s="24"/>
      <c r="X30" s="24"/>
      <c r="Y30" s="24"/>
      <c r="Z30" s="24"/>
      <c r="AA30" s="24"/>
      <c r="AB30" s="24"/>
    </row>
    <row r="31" spans="1:28">
      <c r="A31" s="24"/>
      <c r="B31" s="24"/>
      <c r="C31" s="24"/>
      <c r="D31" s="24"/>
      <c r="E31" s="24"/>
      <c r="F31" s="24"/>
      <c r="G31" s="24"/>
      <c r="H31" s="24"/>
      <c r="I31" s="24"/>
      <c r="J31" s="82"/>
      <c r="K31" s="24"/>
      <c r="L31" s="24"/>
      <c r="M31" s="24"/>
      <c r="N31" s="24"/>
      <c r="O31" s="24"/>
      <c r="P31" s="24"/>
      <c r="Q31" s="24"/>
      <c r="R31" s="24"/>
      <c r="S31" s="24"/>
      <c r="T31" s="24"/>
      <c r="U31" s="24"/>
      <c r="V31" s="24"/>
      <c r="W31" s="24"/>
      <c r="X31" s="24"/>
      <c r="Y31" s="24"/>
      <c r="Z31" s="24"/>
      <c r="AA31" s="24"/>
      <c r="AB31" s="24"/>
    </row>
    <row r="32" spans="1:28">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row>
    <row r="33" spans="10:28">
      <c r="J33" s="24"/>
      <c r="K33" s="24"/>
      <c r="L33" s="24"/>
      <c r="M33" s="24"/>
      <c r="N33" s="24"/>
      <c r="O33" s="24"/>
      <c r="P33" s="24"/>
      <c r="Q33" s="24"/>
      <c r="R33" s="24"/>
      <c r="S33" s="24"/>
      <c r="T33" s="24"/>
      <c r="U33" s="24"/>
      <c r="V33" s="24"/>
      <c r="W33" s="24"/>
      <c r="X33" s="24"/>
      <c r="Y33" s="24"/>
      <c r="Z33" s="24"/>
      <c r="AA33" s="24"/>
      <c r="AB33" s="24"/>
    </row>
    <row r="34" spans="10:28">
      <c r="J34" s="24"/>
      <c r="K34" s="24"/>
      <c r="L34" s="24"/>
      <c r="M34" s="24"/>
      <c r="N34" s="24"/>
      <c r="O34" s="24"/>
      <c r="P34" s="24"/>
      <c r="Q34" s="24"/>
      <c r="R34" s="24"/>
      <c r="S34" s="24"/>
      <c r="T34" s="24"/>
      <c r="U34" s="24"/>
      <c r="V34" s="24"/>
      <c r="W34" s="24"/>
      <c r="X34" s="24"/>
      <c r="Y34" s="24"/>
      <c r="Z34" s="24"/>
      <c r="AA34" s="24"/>
      <c r="AB34" s="24"/>
    </row>
    <row r="35" spans="10:28">
      <c r="J35" s="24"/>
      <c r="K35" s="24"/>
      <c r="L35" s="24"/>
      <c r="M35" s="24"/>
      <c r="N35" s="24"/>
      <c r="O35" s="24"/>
      <c r="P35" s="24"/>
      <c r="Q35" s="24"/>
      <c r="R35" s="24"/>
      <c r="S35" s="24"/>
      <c r="T35" s="24"/>
      <c r="U35" s="24"/>
      <c r="V35" s="24"/>
      <c r="W35" s="24"/>
      <c r="X35" s="24"/>
      <c r="Y35" s="24"/>
      <c r="Z35" s="24"/>
      <c r="AA35" s="24"/>
      <c r="AB35" s="24"/>
    </row>
    <row r="36" spans="10:28">
      <c r="J36" s="24"/>
      <c r="K36" s="24"/>
      <c r="L36" s="24"/>
      <c r="M36" s="24"/>
      <c r="N36" s="24"/>
      <c r="O36" s="24"/>
      <c r="P36" s="24"/>
      <c r="Q36" s="24"/>
      <c r="R36" s="24"/>
      <c r="S36" s="24"/>
      <c r="T36" s="24"/>
      <c r="U36" s="24"/>
      <c r="V36" s="24"/>
      <c r="W36" s="24"/>
      <c r="X36" s="24"/>
      <c r="Y36" s="24"/>
      <c r="Z36" s="24"/>
      <c r="AA36" s="24"/>
      <c r="AB36" s="24"/>
    </row>
    <row r="37" spans="10:28">
      <c r="J37" s="24"/>
      <c r="K37" s="24"/>
      <c r="L37" s="24"/>
      <c r="M37" s="24"/>
      <c r="N37" s="24"/>
      <c r="O37" s="24"/>
      <c r="P37" s="24"/>
      <c r="Q37" s="24"/>
      <c r="R37" s="24"/>
      <c r="S37" s="24"/>
      <c r="T37" s="24"/>
      <c r="U37" s="24"/>
      <c r="V37" s="24"/>
      <c r="W37" s="24"/>
      <c r="X37" s="24"/>
      <c r="Y37" s="24"/>
      <c r="Z37" s="24"/>
      <c r="AA37" s="24"/>
      <c r="AB37" s="24"/>
    </row>
    <row r="38" spans="10:28">
      <c r="J38" s="24"/>
      <c r="K38" s="24"/>
      <c r="L38" s="24"/>
      <c r="M38" s="24"/>
      <c r="N38" s="24"/>
      <c r="O38" s="24"/>
      <c r="P38" s="24"/>
      <c r="Q38" s="24"/>
      <c r="R38" s="24"/>
      <c r="S38" s="24"/>
      <c r="T38" s="24"/>
      <c r="U38" s="24"/>
      <c r="V38" s="24"/>
      <c r="W38" s="24"/>
      <c r="X38" s="24"/>
      <c r="Y38" s="24"/>
      <c r="Z38" s="24"/>
      <c r="AA38" s="24"/>
      <c r="AB38" s="24"/>
    </row>
    <row r="39" spans="10:28">
      <c r="J39" s="24"/>
      <c r="K39" s="24"/>
      <c r="L39" s="24"/>
      <c r="M39" s="24"/>
      <c r="N39" s="24"/>
      <c r="O39" s="24"/>
      <c r="P39" s="24"/>
      <c r="Q39" s="24"/>
      <c r="R39" s="24"/>
      <c r="S39" s="24"/>
      <c r="T39" s="24"/>
      <c r="U39" s="24"/>
      <c r="V39" s="24"/>
      <c r="W39" s="24"/>
      <c r="X39" s="24"/>
      <c r="Y39" s="24"/>
      <c r="Z39" s="24"/>
      <c r="AA39" s="24"/>
      <c r="AB39" s="24"/>
    </row>
    <row r="40" spans="10:28">
      <c r="J40" s="24"/>
      <c r="K40" s="24"/>
      <c r="L40" s="24"/>
      <c r="M40" s="24"/>
      <c r="N40" s="24"/>
      <c r="O40" s="24"/>
      <c r="P40" s="24"/>
      <c r="Q40" s="24"/>
      <c r="R40" s="24"/>
      <c r="S40" s="24"/>
      <c r="T40" s="24"/>
      <c r="U40" s="24"/>
      <c r="V40" s="24"/>
      <c r="W40" s="24"/>
      <c r="X40" s="24"/>
      <c r="Y40" s="24"/>
      <c r="Z40" s="24"/>
      <c r="AA40" s="24"/>
      <c r="AB40" s="24"/>
    </row>
    <row r="41" spans="10:28">
      <c r="J41" s="24"/>
      <c r="K41" s="24"/>
      <c r="L41" s="24"/>
      <c r="M41" s="24"/>
      <c r="N41" s="24"/>
      <c r="O41" s="24"/>
      <c r="P41" s="24"/>
      <c r="Q41" s="24"/>
      <c r="R41" s="24"/>
      <c r="S41" s="24"/>
      <c r="T41" s="24"/>
      <c r="U41" s="24"/>
      <c r="V41" s="24"/>
      <c r="W41" s="24"/>
      <c r="X41" s="24"/>
      <c r="Y41" s="24"/>
      <c r="Z41" s="24"/>
      <c r="AA41" s="24"/>
      <c r="AB41" s="24"/>
    </row>
    <row r="42" spans="10:28">
      <c r="L42" s="24"/>
      <c r="M42" s="24"/>
      <c r="N42" s="24"/>
      <c r="O42" s="24"/>
      <c r="P42" s="24"/>
      <c r="Q42" s="24"/>
      <c r="R42" s="24"/>
      <c r="S42" s="24"/>
      <c r="T42" s="24"/>
      <c r="U42" s="24"/>
      <c r="V42" s="24"/>
      <c r="W42" s="24"/>
      <c r="X42" s="24"/>
      <c r="Y42" s="24"/>
      <c r="Z42" s="24"/>
      <c r="AA42" s="24"/>
      <c r="AB42" s="24"/>
    </row>
    <row r="43" spans="10:28">
      <c r="L43" s="24"/>
      <c r="M43" s="24"/>
      <c r="N43" s="24"/>
      <c r="O43" s="24"/>
      <c r="P43" s="24"/>
      <c r="Q43" s="24"/>
      <c r="R43" s="24"/>
      <c r="S43" s="24"/>
      <c r="T43" s="24"/>
      <c r="U43" s="24"/>
      <c r="V43" s="24"/>
      <c r="W43" s="24"/>
      <c r="X43" s="24"/>
      <c r="Y43" s="24"/>
      <c r="Z43" s="24"/>
      <c r="AA43" s="24"/>
      <c r="AB43" s="24"/>
    </row>
    <row r="44" spans="10:28">
      <c r="L44" s="24"/>
      <c r="M44" s="24"/>
      <c r="N44" s="24"/>
      <c r="O44" s="24"/>
      <c r="P44" s="24"/>
      <c r="Q44" s="24"/>
      <c r="R44" s="24"/>
      <c r="S44" s="24"/>
      <c r="T44" s="24"/>
      <c r="U44" s="24"/>
      <c r="V44" s="24"/>
      <c r="W44" s="24"/>
      <c r="X44" s="24"/>
      <c r="Y44" s="24"/>
      <c r="Z44" s="24"/>
      <c r="AA44" s="24"/>
      <c r="AB44" s="24"/>
    </row>
    <row r="45" spans="10:28">
      <c r="L45" s="24"/>
      <c r="M45" s="24"/>
      <c r="N45" s="24"/>
      <c r="O45" s="24"/>
      <c r="P45" s="24"/>
      <c r="Q45" s="24"/>
      <c r="R45" s="24"/>
      <c r="S45" s="24"/>
      <c r="T45" s="24"/>
      <c r="U45" s="24"/>
      <c r="V45" s="24"/>
      <c r="W45" s="24"/>
      <c r="X45" s="24"/>
      <c r="Y45" s="24"/>
      <c r="Z45" s="24"/>
      <c r="AA45" s="24"/>
      <c r="AB45" s="24"/>
    </row>
    <row r="46" spans="10:28">
      <c r="L46" s="24"/>
      <c r="M46" s="24"/>
      <c r="N46" s="24"/>
      <c r="O46" s="24"/>
      <c r="P46" s="24"/>
      <c r="Q46" s="24"/>
      <c r="R46" s="24"/>
      <c r="S46" s="24"/>
      <c r="T46" s="24"/>
      <c r="U46" s="24"/>
      <c r="V46" s="24"/>
      <c r="W46" s="24"/>
      <c r="X46" s="24"/>
      <c r="Y46" s="24"/>
      <c r="Z46" s="24"/>
      <c r="AA46" s="24"/>
      <c r="AB46" s="24"/>
    </row>
    <row r="47" spans="10:28">
      <c r="L47" s="24"/>
      <c r="M47" s="24"/>
      <c r="N47" s="24"/>
      <c r="O47" s="24"/>
      <c r="P47" s="24"/>
      <c r="Q47" s="24"/>
      <c r="R47" s="24"/>
      <c r="S47" s="24"/>
      <c r="T47" s="24"/>
      <c r="U47" s="24"/>
      <c r="V47" s="24"/>
      <c r="W47" s="24"/>
      <c r="X47" s="24"/>
      <c r="Y47" s="24"/>
      <c r="Z47" s="24"/>
      <c r="AA47" s="24"/>
      <c r="AB47" s="24"/>
    </row>
    <row r="48" spans="10:28">
      <c r="L48" s="24"/>
      <c r="M48" s="24"/>
      <c r="N48" s="24"/>
      <c r="O48" s="24"/>
      <c r="P48" s="24"/>
      <c r="Q48" s="24"/>
      <c r="R48" s="24"/>
      <c r="S48" s="24"/>
      <c r="U48" s="24"/>
      <c r="V48" s="24"/>
      <c r="W48" s="24"/>
      <c r="X48" s="24"/>
      <c r="Y48" s="24"/>
      <c r="Z48" s="24"/>
      <c r="AA48" s="24"/>
      <c r="AB48" s="24"/>
    </row>
    <row r="49" spans="12:28">
      <c r="L49" s="24"/>
      <c r="M49" s="24"/>
      <c r="N49" s="24"/>
      <c r="O49" s="24"/>
      <c r="P49" s="24"/>
      <c r="Q49" s="24"/>
      <c r="R49" s="24"/>
      <c r="S49" s="24"/>
      <c r="T49" s="24"/>
      <c r="U49" s="24"/>
      <c r="V49" s="24"/>
      <c r="W49" s="24"/>
      <c r="X49" s="24"/>
      <c r="Y49" s="24"/>
      <c r="Z49" s="24"/>
      <c r="AA49" s="24"/>
      <c r="AB49" s="24"/>
    </row>
    <row r="50" spans="12:28">
      <c r="L50" s="24"/>
      <c r="M50" s="24"/>
      <c r="N50" s="24"/>
      <c r="O50" s="24"/>
      <c r="P50" s="24"/>
      <c r="Q50" s="24"/>
      <c r="R50" s="24"/>
      <c r="S50" s="24"/>
      <c r="T50" s="24"/>
      <c r="U50" s="24"/>
      <c r="V50" s="24"/>
      <c r="W50" s="24"/>
      <c r="X50" s="24"/>
      <c r="Y50" s="24"/>
      <c r="Z50" s="24"/>
      <c r="AA50" s="24"/>
      <c r="AB50" s="24"/>
    </row>
    <row r="51" spans="12:28">
      <c r="L51" s="24"/>
      <c r="M51" s="24"/>
      <c r="N51" s="24"/>
      <c r="O51" s="24"/>
      <c r="P51" s="24"/>
      <c r="Q51" s="24"/>
      <c r="R51" s="24"/>
      <c r="S51" s="24"/>
      <c r="T51" s="24"/>
      <c r="U51" s="24"/>
      <c r="V51" s="24"/>
      <c r="W51" s="24"/>
      <c r="X51" s="24"/>
      <c r="Y51" s="24"/>
      <c r="Z51" s="24"/>
      <c r="AA51" s="24"/>
      <c r="AB51" s="24"/>
    </row>
    <row r="52" spans="12:28">
      <c r="L52" s="24"/>
      <c r="M52" s="24"/>
      <c r="N52" s="24"/>
      <c r="O52" s="24"/>
      <c r="P52" s="24"/>
      <c r="Q52" s="24"/>
      <c r="R52" s="24"/>
      <c r="S52" s="24"/>
      <c r="T52" s="24"/>
      <c r="U52" s="24"/>
      <c r="V52" s="24"/>
      <c r="W52" s="24"/>
      <c r="X52" s="24"/>
      <c r="Y52" s="24"/>
      <c r="Z52" s="24"/>
      <c r="AA52" s="24"/>
      <c r="AB52" s="24"/>
    </row>
    <row r="53" spans="12:28">
      <c r="L53" s="24"/>
      <c r="M53" s="24"/>
      <c r="N53" s="24"/>
      <c r="O53" s="24"/>
      <c r="P53" s="24"/>
      <c r="Q53" s="24"/>
      <c r="R53" s="24"/>
      <c r="S53" s="24"/>
      <c r="T53" s="24"/>
      <c r="U53" s="24"/>
      <c r="V53" s="24"/>
      <c r="W53" s="24"/>
      <c r="X53" s="24"/>
      <c r="Y53" s="24"/>
      <c r="Z53" s="24"/>
      <c r="AA53" s="24"/>
      <c r="AB53" s="24"/>
    </row>
    <row r="54" spans="12:28">
      <c r="L54" s="24"/>
      <c r="M54" s="24"/>
      <c r="N54" s="24"/>
      <c r="O54" s="24"/>
      <c r="P54" s="24"/>
      <c r="Q54" s="24"/>
      <c r="R54" s="24"/>
      <c r="S54" s="24"/>
      <c r="T54" s="24"/>
      <c r="U54" s="24"/>
      <c r="V54" s="24"/>
      <c r="W54" s="24"/>
      <c r="X54" s="24"/>
      <c r="Y54" s="24"/>
      <c r="Z54" s="24"/>
      <c r="AA54" s="24"/>
      <c r="AB54" s="24"/>
    </row>
    <row r="55" spans="12:28">
      <c r="L55" s="24"/>
      <c r="M55" s="24"/>
      <c r="N55" s="24"/>
      <c r="O55" s="24"/>
      <c r="P55" s="24"/>
      <c r="Q55" s="24"/>
      <c r="R55" s="24"/>
      <c r="S55" s="24"/>
      <c r="T55" s="24"/>
      <c r="U55" s="24"/>
      <c r="V55" s="24"/>
      <c r="W55" s="24"/>
      <c r="X55" s="24"/>
      <c r="Y55" s="24"/>
      <c r="Z55" s="24"/>
      <c r="AA55" s="24"/>
      <c r="AB55" s="24"/>
    </row>
    <row r="56" spans="12:28">
      <c r="L56" s="24"/>
      <c r="M56" s="24"/>
      <c r="N56" s="24"/>
      <c r="O56" s="24"/>
      <c r="P56" s="24"/>
      <c r="Q56" s="24"/>
      <c r="R56" s="24"/>
      <c r="S56" s="24"/>
      <c r="T56" s="24"/>
      <c r="U56" s="24"/>
      <c r="V56" s="24"/>
      <c r="W56" s="24"/>
      <c r="X56" s="24"/>
      <c r="Y56" s="24"/>
      <c r="Z56" s="24"/>
      <c r="AA56" s="24"/>
      <c r="AB56" s="24"/>
    </row>
    <row r="178" spans="1:9">
      <c r="A178" s="24"/>
      <c r="B178" s="24"/>
      <c r="C178" s="24"/>
      <c r="D178" s="24"/>
      <c r="E178" s="24"/>
      <c r="F178" s="24"/>
      <c r="G178" s="24"/>
      <c r="H178" s="24"/>
      <c r="I178" s="24"/>
    </row>
    <row r="179" spans="1:9">
      <c r="A179" s="24"/>
      <c r="B179" s="24"/>
      <c r="C179" s="24"/>
      <c r="D179" s="24"/>
      <c r="E179" s="24"/>
      <c r="F179" s="24"/>
      <c r="G179" s="24"/>
      <c r="H179" s="24"/>
      <c r="I179" s="24"/>
    </row>
    <row r="180" spans="1:9">
      <c r="A180" s="24"/>
      <c r="B180" s="24"/>
      <c r="C180" s="24"/>
      <c r="D180" s="24"/>
      <c r="E180" s="24"/>
      <c r="F180" s="24"/>
      <c r="G180" s="24"/>
      <c r="H180" s="24"/>
      <c r="I180" s="24"/>
    </row>
    <row r="181" spans="1:9">
      <c r="A181" s="24"/>
      <c r="B181" s="24"/>
      <c r="C181" s="24"/>
      <c r="D181" s="24"/>
      <c r="E181" s="24"/>
      <c r="F181" s="24"/>
      <c r="G181" s="24"/>
      <c r="H181" s="24"/>
      <c r="I181" s="24"/>
    </row>
    <row r="182" spans="1:9">
      <c r="A182" s="24"/>
      <c r="B182" s="24"/>
      <c r="C182" s="24"/>
      <c r="D182" s="24"/>
      <c r="E182" s="24"/>
      <c r="F182" s="24"/>
      <c r="G182" s="24"/>
      <c r="H182" s="24"/>
      <c r="I182" s="24"/>
    </row>
    <row r="183" spans="1:9">
      <c r="A183" s="24"/>
      <c r="B183" s="24"/>
      <c r="C183" s="24"/>
      <c r="D183" s="24"/>
      <c r="E183" s="24"/>
      <c r="F183" s="24"/>
      <c r="G183" s="24"/>
      <c r="H183" s="24"/>
      <c r="I183" s="24"/>
    </row>
    <row r="184" spans="1:9">
      <c r="A184" s="24"/>
      <c r="B184" s="24"/>
      <c r="C184" s="24"/>
      <c r="D184" s="24"/>
      <c r="E184" s="24"/>
      <c r="F184" s="24"/>
      <c r="G184" s="24"/>
      <c r="H184" s="24"/>
      <c r="I184" s="24"/>
    </row>
    <row r="185" spans="1:9">
      <c r="A185" s="24"/>
      <c r="B185" s="24"/>
      <c r="C185" s="24"/>
      <c r="D185" s="24"/>
      <c r="E185" s="24"/>
      <c r="F185" s="24"/>
      <c r="G185" s="24"/>
      <c r="H185" s="24"/>
      <c r="I185" s="24"/>
    </row>
    <row r="186" spans="1:9">
      <c r="A186" s="24"/>
      <c r="B186" s="24"/>
      <c r="C186" s="24"/>
      <c r="D186" s="24"/>
      <c r="E186" s="24"/>
      <c r="F186" s="24"/>
      <c r="G186" s="24"/>
      <c r="H186" s="24"/>
      <c r="I186" s="24"/>
    </row>
    <row r="187" spans="1:9">
      <c r="A187" s="24"/>
      <c r="B187" s="24"/>
      <c r="C187" s="24"/>
      <c r="D187" s="24"/>
      <c r="E187" s="24"/>
      <c r="F187" s="24"/>
      <c r="G187" s="24"/>
      <c r="H187" s="24"/>
    </row>
    <row r="188" spans="1:9">
      <c r="A188" s="24"/>
      <c r="B188" s="24"/>
      <c r="C188" s="24"/>
      <c r="D188" s="24"/>
      <c r="E188" s="24"/>
      <c r="F188" s="24"/>
      <c r="G188" s="24"/>
      <c r="H188" s="24"/>
    </row>
    <row r="189" spans="1:9">
      <c r="A189" s="24"/>
      <c r="B189" s="24"/>
      <c r="C189" s="24"/>
      <c r="D189" s="24"/>
      <c r="E189" s="24"/>
      <c r="F189" s="24"/>
      <c r="G189" s="24"/>
      <c r="H189" s="24"/>
    </row>
    <row r="190" spans="1:9">
      <c r="A190" s="24"/>
      <c r="B190" s="24"/>
      <c r="C190" s="24"/>
      <c r="D190" s="24"/>
      <c r="E190" s="24"/>
      <c r="F190" s="24"/>
      <c r="G190" s="24"/>
      <c r="H190" s="24"/>
    </row>
    <row r="191" spans="1:9">
      <c r="A191" s="24"/>
      <c r="B191" s="24"/>
      <c r="C191" s="24"/>
      <c r="D191" s="24"/>
      <c r="E191" s="24"/>
      <c r="F191" s="24"/>
      <c r="G191" s="24"/>
      <c r="H191" s="24"/>
    </row>
    <row r="192" spans="1:9">
      <c r="A192" s="24"/>
      <c r="B192" s="24"/>
      <c r="C192" s="24"/>
      <c r="D192" s="24"/>
      <c r="E192" s="24"/>
      <c r="F192" s="24"/>
      <c r="G192" s="24"/>
      <c r="H192" s="24"/>
    </row>
    <row r="193" spans="1:8">
      <c r="A193" s="24"/>
      <c r="B193" s="24"/>
      <c r="C193" s="24"/>
      <c r="D193" s="24"/>
      <c r="E193" s="24"/>
      <c r="F193" s="24"/>
      <c r="G193" s="24"/>
      <c r="H193" s="24"/>
    </row>
    <row r="194" spans="1:8">
      <c r="A194" s="24"/>
      <c r="B194" s="24"/>
      <c r="C194" s="24"/>
      <c r="D194" s="24"/>
      <c r="E194" s="24"/>
      <c r="F194" s="24"/>
      <c r="G194" s="24"/>
      <c r="H194" s="24"/>
    </row>
    <row r="195" spans="1:8">
      <c r="A195" s="24"/>
      <c r="B195" s="24"/>
      <c r="C195" s="24"/>
      <c r="D195" s="24"/>
      <c r="E195" s="24"/>
      <c r="F195" s="24"/>
      <c r="G195" s="24"/>
      <c r="H195" s="24"/>
    </row>
    <row r="196" spans="1:8">
      <c r="A196" s="24"/>
      <c r="B196" s="24"/>
      <c r="C196" s="24"/>
      <c r="D196" s="24"/>
      <c r="E196" s="24"/>
      <c r="F196" s="24"/>
      <c r="G196" s="24"/>
      <c r="H196" s="24"/>
    </row>
    <row r="197" spans="1:8">
      <c r="A197" s="24"/>
      <c r="B197" s="24"/>
      <c r="C197" s="24"/>
      <c r="D197" s="24"/>
      <c r="E197" s="24"/>
      <c r="F197" s="24"/>
      <c r="G197" s="24"/>
      <c r="H197" s="24"/>
    </row>
    <row r="198" spans="1:8">
      <c r="A198" s="24"/>
      <c r="B198" s="24"/>
      <c r="C198" s="24"/>
      <c r="D198" s="24"/>
      <c r="E198" s="24"/>
      <c r="F198" s="24"/>
      <c r="G198" s="24"/>
      <c r="H198" s="24"/>
    </row>
    <row r="199" spans="1:8">
      <c r="A199" s="24"/>
      <c r="B199" s="24"/>
      <c r="C199" s="24"/>
      <c r="D199" s="24"/>
      <c r="E199" s="24"/>
      <c r="F199" s="24"/>
      <c r="G199" s="24"/>
      <c r="H199" s="24"/>
    </row>
    <row r="200" spans="1:8">
      <c r="A200" s="24"/>
      <c r="B200" s="24"/>
      <c r="C200" s="24"/>
      <c r="D200" s="24"/>
      <c r="E200" s="24"/>
      <c r="F200" s="24"/>
      <c r="G200" s="24"/>
      <c r="H200" s="24"/>
    </row>
    <row r="201" spans="1:8">
      <c r="A201" s="24"/>
      <c r="B201" s="24"/>
      <c r="C201" s="24"/>
      <c r="D201" s="24"/>
      <c r="E201" s="24"/>
      <c r="F201" s="24"/>
      <c r="G201" s="24"/>
      <c r="H201" s="24"/>
    </row>
    <row r="202" spans="1:8">
      <c r="A202" s="24"/>
      <c r="B202" s="24"/>
      <c r="C202" s="24"/>
      <c r="D202" s="24"/>
      <c r="E202" s="24"/>
      <c r="F202" s="24"/>
      <c r="G202" s="24"/>
      <c r="H202" s="24"/>
    </row>
    <row r="203" spans="1:8">
      <c r="A203" s="24"/>
      <c r="B203" s="24"/>
      <c r="C203" s="24"/>
      <c r="D203" s="24"/>
      <c r="E203" s="24"/>
      <c r="F203" s="24"/>
      <c r="G203" s="24"/>
      <c r="H203" s="24"/>
    </row>
    <row r="209" spans="2:5">
      <c r="B209" s="23" t="s">
        <v>144</v>
      </c>
      <c r="C209" s="22" t="s">
        <v>152</v>
      </c>
    </row>
    <row r="210" spans="2:5">
      <c r="B210" s="2" t="s">
        <v>153</v>
      </c>
      <c r="C210" s="2" t="s">
        <v>154</v>
      </c>
    </row>
    <row r="212" spans="2:5">
      <c r="C212" t="s">
        <v>156</v>
      </c>
      <c r="D212" s="91" t="s">
        <v>155</v>
      </c>
    </row>
    <row r="214" spans="2:5">
      <c r="B214" s="24"/>
      <c r="C214" s="24"/>
      <c r="D214" s="24"/>
      <c r="E214" s="24"/>
    </row>
    <row r="215" spans="2:5">
      <c r="B215" s="24"/>
      <c r="C215" s="24"/>
      <c r="D215" s="24"/>
      <c r="E215" s="24"/>
    </row>
    <row r="216" spans="2:5">
      <c r="B216" s="24"/>
      <c r="C216" s="24"/>
      <c r="D216" s="24"/>
      <c r="E216" s="24"/>
    </row>
    <row r="217" spans="2:5">
      <c r="B217" s="24"/>
      <c r="C217" s="24"/>
      <c r="D217" s="24"/>
      <c r="E217" s="24"/>
    </row>
    <row r="218" spans="2:5">
      <c r="B218" s="24"/>
      <c r="C218" s="24"/>
      <c r="D218" s="24"/>
      <c r="E218" s="24"/>
    </row>
    <row r="219" spans="2:5">
      <c r="B219" s="24"/>
      <c r="C219" s="148" t="s">
        <v>110</v>
      </c>
      <c r="D219" s="149"/>
      <c r="E219" s="24"/>
    </row>
    <row r="220" spans="2:5" ht="18.75">
      <c r="B220" s="24"/>
      <c r="C220" s="41" t="s">
        <v>137</v>
      </c>
      <c r="D220" s="5">
        <f>(P12-P11)*'Clim récupérateur à plaques'!D25</f>
        <v>48.892432175154696</v>
      </c>
      <c r="E220" s="24"/>
    </row>
    <row r="221" spans="2:5" ht="16.5">
      <c r="B221" s="24"/>
      <c r="C221" s="41" t="s">
        <v>138</v>
      </c>
      <c r="D221" s="5">
        <f>(P18-P17)*'Clim récupérateur à plaques'!L25</f>
        <v>9.8356643356643332</v>
      </c>
      <c r="E221" s="24"/>
    </row>
    <row r="222" spans="2:5">
      <c r="B222" s="24"/>
      <c r="C222" s="24"/>
      <c r="D222" s="24"/>
      <c r="E222" s="24"/>
    </row>
    <row r="223" spans="2:5">
      <c r="B223" s="24"/>
      <c r="C223" s="24"/>
      <c r="D223" s="24"/>
      <c r="E223" s="24"/>
    </row>
    <row r="224" spans="2:5">
      <c r="B224" s="24"/>
      <c r="C224" s="24"/>
      <c r="D224" s="24"/>
      <c r="E224" s="24"/>
    </row>
  </sheetData>
  <mergeCells count="7">
    <mergeCell ref="M15:T15"/>
    <mergeCell ref="E2:F2"/>
    <mergeCell ref="E3:F3"/>
    <mergeCell ref="M9:T9"/>
    <mergeCell ref="A25:A26"/>
    <mergeCell ref="C6:D7"/>
    <mergeCell ref="N20:O20"/>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0FD8-5695-D841-978C-9690653A79F1}">
  <dimension ref="A1:BC87"/>
  <sheetViews>
    <sheetView zoomScale="134" workbookViewId="0">
      <selection activeCell="E12" sqref="E12"/>
    </sheetView>
  </sheetViews>
  <sheetFormatPr baseColWidth="10" defaultColWidth="10.28515625" defaultRowHeight="15"/>
  <cols>
    <col min="2" max="2" width="19.7109375" customWidth="1"/>
    <col min="3" max="3" width="17.28515625" customWidth="1"/>
    <col min="4" max="4" width="16.7109375" customWidth="1"/>
    <col min="5" max="5" width="23.7109375" customWidth="1"/>
    <col min="6" max="6" width="18.140625" customWidth="1"/>
  </cols>
  <sheetData>
    <row r="1" spans="1:36">
      <c r="A1" s="24"/>
      <c r="B1" s="24"/>
      <c r="C1" s="24"/>
      <c r="D1" s="24"/>
      <c r="E1" s="24"/>
      <c r="F1" s="24"/>
      <c r="G1" s="24"/>
      <c r="H1" s="24"/>
      <c r="I1" s="24"/>
      <c r="J1" s="24"/>
      <c r="K1" s="24"/>
      <c r="L1" s="24"/>
      <c r="M1" s="24"/>
      <c r="N1" s="24"/>
      <c r="O1" s="24"/>
      <c r="P1" s="24"/>
      <c r="Q1" s="24"/>
      <c r="R1" s="24"/>
      <c r="S1" s="24"/>
      <c r="T1" s="24"/>
    </row>
    <row r="2" spans="1:36">
      <c r="A2" s="24"/>
      <c r="B2" s="24"/>
      <c r="C2" s="213" t="s">
        <v>119</v>
      </c>
      <c r="D2" s="214"/>
      <c r="E2" s="214"/>
      <c r="F2" s="215"/>
      <c r="G2" s="24"/>
      <c r="H2" s="24"/>
      <c r="I2" s="24"/>
    </row>
    <row r="3" spans="1:36">
      <c r="A3" s="24"/>
      <c r="B3" s="3"/>
      <c r="C3" s="77" t="s">
        <v>125</v>
      </c>
      <c r="D3" s="78" t="s">
        <v>126</v>
      </c>
      <c r="E3" s="78" t="s">
        <v>127</v>
      </c>
      <c r="F3" s="78" t="s">
        <v>128</v>
      </c>
      <c r="G3" s="24"/>
      <c r="H3" s="24"/>
      <c r="I3" s="24"/>
    </row>
    <row r="4" spans="1:36" ht="18">
      <c r="A4" s="24"/>
      <c r="B4" s="71" t="s">
        <v>111</v>
      </c>
      <c r="C4" s="73"/>
      <c r="D4" s="73" t="e">
        <f>#REF!</f>
        <v>#REF!</v>
      </c>
      <c r="E4" s="21">
        <f>'Clim récupérateur à plaques'!C30</f>
        <v>34.394327754009744</v>
      </c>
      <c r="F4" s="21">
        <f>'Clim récupérateur à roue'!C40</f>
        <v>0.81891256557165748</v>
      </c>
      <c r="G4" s="24"/>
      <c r="H4" s="24"/>
      <c r="I4" s="24"/>
    </row>
    <row r="5" spans="1:36" ht="18">
      <c r="A5" s="24"/>
      <c r="B5" s="71" t="s">
        <v>112</v>
      </c>
      <c r="C5" s="21"/>
      <c r="D5" s="21">
        <f>'Climatisation avec recyclage'!C33</f>
        <v>67.969742942447823</v>
      </c>
      <c r="E5" s="21">
        <f>'Clim récupérateur à plaques'!C31</f>
        <v>67.969742942447823</v>
      </c>
      <c r="F5" s="21">
        <f>'Clim récupérateur à roue'!C41</f>
        <v>67.969742942447823</v>
      </c>
      <c r="G5" s="24"/>
      <c r="H5" s="24"/>
      <c r="I5" s="24"/>
    </row>
    <row r="6" spans="1:36">
      <c r="A6" s="24"/>
      <c r="B6" s="71" t="s">
        <v>108</v>
      </c>
      <c r="C6" s="73">
        <f>'Climatisation  sans recyclage'!D33</f>
        <v>-130.23437725258162</v>
      </c>
      <c r="D6" s="21">
        <f>'Climatisation avec recyclage'!C34</f>
        <v>-100.4408292671063</v>
      </c>
      <c r="E6" s="21">
        <f>'Clim récupérateur à plaques'!C33</f>
        <v>-80.578463943456143</v>
      </c>
      <c r="F6" s="21">
        <f>'Clim récupérateur à roue'!C43</f>
        <v>-46.646923182220398</v>
      </c>
      <c r="G6" s="24"/>
      <c r="H6" s="24"/>
      <c r="I6" s="24"/>
      <c r="AB6" s="24"/>
      <c r="AC6" s="24"/>
      <c r="AD6" s="24"/>
      <c r="AE6" s="24"/>
      <c r="AF6" s="24"/>
      <c r="AG6" s="24"/>
      <c r="AH6" s="24"/>
      <c r="AI6" s="24"/>
      <c r="AJ6" s="24"/>
    </row>
    <row r="7" spans="1:36">
      <c r="A7" s="24"/>
      <c r="B7" s="72" t="s">
        <v>113</v>
      </c>
      <c r="C7" s="73">
        <f>'Climatisation  sans recyclage'!C25</f>
        <v>4.0945628278583026</v>
      </c>
      <c r="D7" s="21" t="e">
        <f>#REF!</f>
        <v>#REF!</v>
      </c>
      <c r="E7" s="21">
        <f>'Clim récupérateur à plaques'!C32</f>
        <v>82.546386609623355</v>
      </c>
      <c r="F7" s="21">
        <f>'Clim récupérateur à roue'!C42</f>
        <v>28.006809742550775</v>
      </c>
      <c r="G7" s="24"/>
      <c r="H7" s="24"/>
      <c r="I7" s="24"/>
      <c r="AB7" s="24"/>
      <c r="AC7" s="24"/>
      <c r="AD7" s="24"/>
      <c r="AE7" s="24"/>
      <c r="AF7" s="24"/>
      <c r="AG7" s="24"/>
      <c r="AH7" s="24"/>
      <c r="AI7" s="24"/>
      <c r="AJ7" s="24"/>
    </row>
    <row r="8" spans="1:36">
      <c r="A8" s="24"/>
      <c r="B8" s="72" t="s">
        <v>114</v>
      </c>
      <c r="C8" s="73" t="e">
        <f>#REF!</f>
        <v>#REF!</v>
      </c>
      <c r="D8" s="21">
        <f>'Climatisation avec recyclage'!C35</f>
        <v>52.739726125096752</v>
      </c>
      <c r="E8" s="21">
        <f>'Clim récupérateur à plaques'!C34</f>
        <v>-75.973547362961952</v>
      </c>
      <c r="F8" s="21">
        <f>'Clim récupérateur à roue'!C44</f>
        <v>-75.973547362961952</v>
      </c>
      <c r="G8" s="24"/>
      <c r="H8" s="24"/>
      <c r="I8" s="24"/>
      <c r="AB8" s="24"/>
      <c r="AC8" s="24"/>
      <c r="AD8" s="24"/>
      <c r="AE8" s="24"/>
      <c r="AF8" s="24"/>
      <c r="AG8" s="24"/>
      <c r="AH8" s="24"/>
      <c r="AI8" s="24"/>
      <c r="AJ8" s="24"/>
    </row>
    <row r="9" spans="1:36">
      <c r="A9" s="24"/>
      <c r="B9" s="41" t="s">
        <v>124</v>
      </c>
      <c r="C9" s="73" t="e">
        <f>#REF!</f>
        <v>#REF!</v>
      </c>
      <c r="D9" s="21" t="e">
        <f>#REF!</f>
        <v>#REF!</v>
      </c>
      <c r="E9" s="21">
        <f>'Clim récupérateur à roue'!C25</f>
        <v>4.0945628278583026</v>
      </c>
      <c r="F9" s="21">
        <f>'Clim récupérateur à roue'!C25</f>
        <v>4.0945628278583026</v>
      </c>
      <c r="G9" s="24"/>
      <c r="H9" s="24"/>
      <c r="I9" s="24"/>
      <c r="AB9" s="24"/>
      <c r="AC9" s="24"/>
      <c r="AD9" s="24"/>
      <c r="AE9" s="24"/>
      <c r="AF9" s="24"/>
      <c r="AG9" s="24"/>
      <c r="AH9" s="24"/>
      <c r="AI9" s="24"/>
      <c r="AJ9" s="24"/>
    </row>
    <row r="10" spans="1:36">
      <c r="A10" s="24"/>
      <c r="B10" s="24"/>
      <c r="C10" s="24"/>
      <c r="D10" s="24"/>
      <c r="E10" s="24"/>
      <c r="F10" s="24"/>
      <c r="G10" s="24"/>
      <c r="H10" s="24"/>
      <c r="I10" s="24"/>
      <c r="AB10" s="24"/>
      <c r="AC10" s="24"/>
      <c r="AD10" s="24"/>
      <c r="AE10" s="24"/>
      <c r="AF10" s="24"/>
      <c r="AG10" s="24"/>
      <c r="AH10" s="24"/>
      <c r="AI10" s="24"/>
      <c r="AJ10" s="24"/>
    </row>
    <row r="11" spans="1:36">
      <c r="A11" s="24"/>
      <c r="B11" s="24"/>
      <c r="C11" s="24"/>
      <c r="D11" s="24"/>
      <c r="E11" s="24"/>
      <c r="F11" s="24"/>
      <c r="G11" s="24"/>
      <c r="H11" s="24"/>
      <c r="I11" s="24"/>
      <c r="AB11" s="24"/>
      <c r="AC11" s="24"/>
      <c r="AD11" s="24"/>
      <c r="AE11" s="24"/>
      <c r="AF11" s="24"/>
      <c r="AG11" s="24"/>
      <c r="AH11" s="24"/>
      <c r="AI11" s="24"/>
      <c r="AJ11" s="24"/>
    </row>
    <row r="12" spans="1:36">
      <c r="A12" s="24"/>
      <c r="B12" s="24"/>
      <c r="C12" s="24"/>
      <c r="D12" s="24"/>
      <c r="E12" s="24"/>
      <c r="F12" s="24"/>
      <c r="G12" s="24"/>
      <c r="H12" s="24"/>
      <c r="I12" s="24"/>
      <c r="AB12" s="24"/>
      <c r="AC12" s="24"/>
      <c r="AD12" s="24"/>
      <c r="AE12" s="24"/>
      <c r="AF12" s="24"/>
      <c r="AG12" s="24"/>
      <c r="AH12" s="24"/>
      <c r="AI12" s="24"/>
      <c r="AJ12" s="24"/>
    </row>
    <row r="13" spans="1:36">
      <c r="A13" s="24"/>
      <c r="B13" s="24"/>
      <c r="C13" s="24"/>
      <c r="D13" s="24"/>
      <c r="E13" s="24"/>
      <c r="F13" s="24"/>
      <c r="G13" s="24"/>
      <c r="H13" s="24"/>
      <c r="I13" s="24"/>
    </row>
    <row r="22" spans="28:55">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row>
    <row r="23" spans="28:55">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row>
    <row r="24" spans="28:55">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row>
    <row r="25" spans="28:55">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row>
    <row r="26" spans="28:55">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row>
    <row r="27" spans="28:55">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row>
    <row r="28" spans="28:55">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row>
    <row r="29" spans="28:55">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row>
    <row r="30" spans="28:55">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row>
    <row r="31" spans="28:55">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row>
    <row r="32" spans="28:55">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row>
    <row r="33" spans="28:55">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row>
    <row r="34" spans="28:55">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row>
    <row r="35" spans="28:55">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row>
    <row r="36" spans="28:55">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row>
    <row r="37" spans="28:55">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row>
    <row r="38" spans="28:55">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row>
    <row r="39" spans="28:55">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row>
    <row r="40" spans="28:55">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row>
    <row r="41" spans="28:55">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row>
    <row r="42" spans="28:55">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row>
    <row r="43" spans="28:55">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row>
    <row r="44" spans="28:55">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row>
    <row r="45" spans="28:55">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row>
    <row r="46" spans="28:55">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row>
    <row r="47" spans="28:55">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row>
    <row r="48" spans="28:55">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row>
    <row r="49" spans="28:55">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row>
    <row r="50" spans="28:55">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row>
    <row r="51" spans="28:55">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row>
    <row r="52" spans="28:55">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row>
    <row r="53" spans="28:55">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row>
    <row r="54" spans="28:55">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row>
    <row r="55" spans="28:55">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row>
    <row r="56" spans="28:55">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row>
    <row r="57" spans="28:55">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row>
    <row r="58" spans="28:55">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row>
    <row r="59" spans="28:55">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row>
    <row r="60" spans="28:55">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row>
    <row r="61" spans="28:55">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row>
    <row r="62" spans="28:55">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row>
    <row r="63" spans="28:55">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row>
    <row r="64" spans="28:55">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row>
    <row r="65" spans="1:55">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row>
    <row r="66" spans="1:55">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row>
    <row r="67" spans="1:55">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row>
    <row r="68" spans="1:55">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row>
    <row r="69" spans="1:55">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row>
    <row r="70" spans="1:55">
      <c r="A70" s="24"/>
      <c r="B70" s="24"/>
      <c r="C70" s="24"/>
      <c r="D70" s="24"/>
      <c r="E70" s="24"/>
      <c r="F70" s="24"/>
      <c r="G70" s="24"/>
      <c r="H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row>
    <row r="71" spans="1:55">
      <c r="A71" s="24"/>
      <c r="B71" s="24"/>
      <c r="C71" s="24"/>
      <c r="D71" s="24"/>
      <c r="E71" s="24"/>
      <c r="F71" s="24"/>
      <c r="G71" s="24"/>
      <c r="H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row>
    <row r="72" spans="1:55">
      <c r="A72" s="24"/>
      <c r="B72" s="24"/>
      <c r="C72" s="24"/>
      <c r="D72" s="24"/>
      <c r="E72" s="24"/>
      <c r="F72" s="24"/>
      <c r="G72" s="24"/>
      <c r="H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row>
    <row r="73" spans="1:55">
      <c r="A73" s="24"/>
      <c r="B73" s="24"/>
      <c r="C73" s="24"/>
      <c r="D73" s="24"/>
      <c r="E73" s="24"/>
      <c r="F73" s="24"/>
      <c r="G73" s="24"/>
      <c r="H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row>
    <row r="74" spans="1:55">
      <c r="A74" s="24"/>
      <c r="B74" s="24"/>
      <c r="C74" s="24"/>
      <c r="D74" s="24"/>
      <c r="E74" s="24"/>
      <c r="F74" s="24"/>
      <c r="G74" s="24"/>
      <c r="H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row>
    <row r="75" spans="1:55">
      <c r="A75" s="24"/>
      <c r="B75" s="24"/>
      <c r="C75" s="24"/>
      <c r="D75" s="24"/>
      <c r="E75" s="24"/>
      <c r="F75" s="24"/>
      <c r="G75" s="24"/>
      <c r="H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row>
    <row r="76" spans="1:55">
      <c r="A76" s="24"/>
      <c r="B76" s="24"/>
      <c r="C76" s="24"/>
      <c r="D76" s="24"/>
      <c r="E76" s="24"/>
      <c r="F76" s="24"/>
      <c r="G76" s="24"/>
      <c r="H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row>
    <row r="77" spans="1:55">
      <c r="A77" s="24"/>
      <c r="B77" s="24"/>
      <c r="C77" s="24"/>
      <c r="D77" s="24"/>
      <c r="E77" s="24"/>
      <c r="F77" s="24"/>
      <c r="G77" s="24"/>
      <c r="H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row>
    <row r="78" spans="1:55">
      <c r="A78" s="24"/>
      <c r="B78" s="24"/>
      <c r="C78" s="24"/>
      <c r="D78" s="24"/>
      <c r="E78" s="24"/>
      <c r="F78" s="24"/>
      <c r="G78" s="24"/>
      <c r="H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row>
    <row r="79" spans="1:55">
      <c r="A79" s="24"/>
      <c r="B79" s="24"/>
      <c r="C79" s="24"/>
      <c r="D79" s="24"/>
      <c r="E79" s="24"/>
      <c r="F79" s="24"/>
      <c r="G79" s="24"/>
      <c r="H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row>
    <row r="80" spans="1:55">
      <c r="A80" s="24"/>
      <c r="B80" s="24"/>
      <c r="C80" s="24"/>
      <c r="D80" s="24"/>
      <c r="E80" s="24"/>
      <c r="F80" s="24"/>
      <c r="G80" s="24"/>
      <c r="H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row>
    <row r="81" spans="1:55">
      <c r="A81" s="24"/>
      <c r="B81" s="24"/>
      <c r="C81" s="24"/>
      <c r="D81" s="24"/>
      <c r="E81" s="24"/>
      <c r="F81" s="24"/>
      <c r="G81" s="24"/>
      <c r="H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row>
    <row r="82" spans="1:55">
      <c r="A82" s="24"/>
      <c r="B82" s="24"/>
      <c r="C82" s="24"/>
      <c r="D82" s="24"/>
      <c r="E82" s="24"/>
      <c r="F82" s="24"/>
      <c r="G82" s="24"/>
      <c r="H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row>
    <row r="83" spans="1:55">
      <c r="A83" s="24"/>
      <c r="B83" s="24"/>
      <c r="C83" s="24"/>
      <c r="D83" s="24"/>
      <c r="E83" s="24"/>
      <c r="F83" s="24"/>
      <c r="G83" s="24"/>
      <c r="H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row>
    <row r="84" spans="1:55">
      <c r="A84" s="24"/>
      <c r="B84" s="24"/>
      <c r="C84" s="24"/>
      <c r="D84" s="24"/>
      <c r="E84" s="24"/>
      <c r="F84" s="24"/>
      <c r="G84" s="24"/>
      <c r="H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row>
    <row r="85" spans="1:55">
      <c r="A85" s="24"/>
      <c r="B85" s="24"/>
      <c r="C85" s="24"/>
      <c r="D85" s="24"/>
      <c r="E85" s="24"/>
      <c r="F85" s="24"/>
      <c r="G85" s="24"/>
      <c r="H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row>
    <row r="86" spans="1:5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row>
    <row r="87" spans="1:5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row>
  </sheetData>
  <mergeCells count="1">
    <mergeCell ref="C2:F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1C01A-F359-48E1-BB85-7D3DA01D4B84}">
  <sheetPr>
    <tabColor theme="4" tint="0.39997558519241921"/>
  </sheetPr>
  <dimension ref="B2:N103"/>
  <sheetViews>
    <sheetView zoomScaleNormal="70" workbookViewId="0">
      <selection activeCell="G13" sqref="G13"/>
    </sheetView>
  </sheetViews>
  <sheetFormatPr baseColWidth="10" defaultColWidth="11.28515625" defaultRowHeight="15"/>
  <cols>
    <col min="2" max="2" width="19.7109375" customWidth="1"/>
    <col min="3" max="3" width="12.7109375" customWidth="1"/>
    <col min="4" max="4" width="14.28515625" customWidth="1"/>
    <col min="6" max="6" width="10.28515625" customWidth="1"/>
  </cols>
  <sheetData>
    <row r="2" spans="2:14">
      <c r="B2" s="1"/>
      <c r="C2" s="2" t="s">
        <v>0</v>
      </c>
    </row>
    <row r="3" spans="2:14">
      <c r="B3" s="1" t="s">
        <v>1</v>
      </c>
      <c r="C3" s="2">
        <v>30</v>
      </c>
      <c r="F3" s="216" t="s">
        <v>2</v>
      </c>
      <c r="G3" s="217"/>
      <c r="H3" s="218"/>
    </row>
    <row r="4" spans="2:14">
      <c r="B4" s="1" t="s">
        <v>3</v>
      </c>
      <c r="C4" s="2">
        <v>50</v>
      </c>
    </row>
    <row r="6" spans="2:14">
      <c r="L6" t="s">
        <v>4</v>
      </c>
    </row>
    <row r="7" spans="2:14">
      <c r="F7" s="13" t="s">
        <v>5</v>
      </c>
    </row>
    <row r="8" spans="2:14">
      <c r="B8" s="2" t="s">
        <v>6</v>
      </c>
      <c r="C8" s="20"/>
      <c r="D8" s="20"/>
      <c r="F8" s="228" t="s">
        <v>7</v>
      </c>
      <c r="G8" s="229"/>
      <c r="H8" s="229"/>
      <c r="I8" s="229"/>
      <c r="J8" s="229"/>
      <c r="K8" s="229"/>
      <c r="L8" s="229"/>
      <c r="M8" s="230"/>
    </row>
    <row r="9" spans="2:14">
      <c r="B9" s="26" t="s">
        <v>8</v>
      </c>
      <c r="C9" s="4">
        <f>4.975*10.6</f>
        <v>52.734999999999992</v>
      </c>
      <c r="D9" s="2" t="s">
        <v>9</v>
      </c>
      <c r="F9" s="14"/>
      <c r="G9" s="18" t="s">
        <v>10</v>
      </c>
      <c r="H9" s="18" t="s">
        <v>11</v>
      </c>
      <c r="I9" s="18" t="s">
        <v>12</v>
      </c>
      <c r="J9" s="18" t="s">
        <v>13</v>
      </c>
      <c r="K9" s="18" t="s">
        <v>14</v>
      </c>
      <c r="L9" s="19" t="s">
        <v>15</v>
      </c>
      <c r="M9" s="19" t="s">
        <v>16</v>
      </c>
    </row>
    <row r="10" spans="2:14">
      <c r="B10" s="1" t="s">
        <v>17</v>
      </c>
      <c r="C10" s="25">
        <v>2587.59</v>
      </c>
      <c r="D10" s="18" t="s">
        <v>18</v>
      </c>
      <c r="F10" s="2" t="s">
        <v>19</v>
      </c>
      <c r="G10" s="27">
        <v>-8</v>
      </c>
      <c r="H10" s="21">
        <f>622*L10/(101325-L10)</f>
        <v>1.7171699261819977</v>
      </c>
      <c r="I10" s="21">
        <f>1.009*(G10)+H10/1000*(2501.6+1.854*(G10))</f>
        <v>-3.8017967770082448</v>
      </c>
      <c r="J10" s="27">
        <v>90</v>
      </c>
      <c r="K10" s="21">
        <f>(G10+273.15)*287.05/101325</f>
        <v>0.75116020231926961</v>
      </c>
      <c r="L10" s="21">
        <f>(J10/100)*M10</f>
        <v>278.96016200898111</v>
      </c>
      <c r="M10" s="21">
        <f>4.689*(1.486+(G10)/100)^12.3</f>
        <v>309.95573556553455</v>
      </c>
    </row>
    <row r="11" spans="2:14">
      <c r="B11" s="1" t="s">
        <v>20</v>
      </c>
      <c r="C11" s="5">
        <f>C9*C3+C10</f>
        <v>4169.6399999999994</v>
      </c>
      <c r="D11" s="3" t="s">
        <v>18</v>
      </c>
      <c r="F11" s="2">
        <v>1</v>
      </c>
      <c r="G11" s="21">
        <f>(I11-2501.6*H11/1000)/(1.009+1.854*H11/1000)</f>
        <v>23.046947301921861</v>
      </c>
      <c r="H11" s="21">
        <f>H10</f>
        <v>1.7171699261819977</v>
      </c>
      <c r="I11" s="21">
        <f>I12</f>
        <v>27.623415137949976</v>
      </c>
      <c r="J11" s="21">
        <f>L11/M11*100</f>
        <v>9.9048026076516074</v>
      </c>
      <c r="K11" s="21">
        <f>(G11+273.15)*287.05/101325</f>
        <v>0.83911506265005342</v>
      </c>
      <c r="L11" s="21">
        <f>(H11*101325)/(622+H11)</f>
        <v>278.96016200898106</v>
      </c>
      <c r="M11" s="21">
        <f>288.68*(1.098+(G11)/100)^8.02</f>
        <v>2816.4131387482689</v>
      </c>
      <c r="N11" s="24"/>
    </row>
    <row r="12" spans="2:14">
      <c r="B12" s="1" t="s">
        <v>21</v>
      </c>
      <c r="C12" s="6">
        <f>C9*C4</f>
        <v>2636.7499999999995</v>
      </c>
      <c r="D12" s="3" t="s">
        <v>18</v>
      </c>
      <c r="F12" s="2">
        <v>3</v>
      </c>
      <c r="G12" s="21">
        <f>((M12/288.68)^(1/8.02)-1.098)*100</f>
        <v>9.2528455778507777</v>
      </c>
      <c r="H12" s="21">
        <f>H13</f>
        <v>7.2604503329652372</v>
      </c>
      <c r="I12" s="21">
        <f>1.009*(G12)+H12/1000*(2501.6+1.854*(G12))</f>
        <v>27.623415137949976</v>
      </c>
      <c r="J12" s="21">
        <v>100</v>
      </c>
      <c r="K12" s="21">
        <f>(G12+273.15)*287.05/101325</f>
        <v>0.80003687957682768</v>
      </c>
      <c r="L12" s="21">
        <f>(H12*101325)/(622+H12)</f>
        <v>1169.094815347818</v>
      </c>
      <c r="M12" s="21">
        <f>L12</f>
        <v>1169.094815347818</v>
      </c>
      <c r="N12" s="16"/>
    </row>
    <row r="13" spans="2:14">
      <c r="B13" s="1" t="s">
        <v>22</v>
      </c>
      <c r="C13" s="5">
        <f>C12/C14/1000</f>
        <v>5.6148115546097532</v>
      </c>
      <c r="D13" s="2" t="s">
        <v>23</v>
      </c>
      <c r="F13" s="2" t="s">
        <v>24</v>
      </c>
      <c r="G13" s="27">
        <v>20</v>
      </c>
      <c r="H13" s="21">
        <f>622*L13/(101325-L13)</f>
        <v>7.2604503329652372</v>
      </c>
      <c r="I13" s="21">
        <f>1.009*(G13)+H13/1000*(2501.6+1.854*(G13))</f>
        <v>38.611960051292186</v>
      </c>
      <c r="J13" s="27">
        <v>50</v>
      </c>
      <c r="K13" s="21">
        <f>(G13+273.15)*287.05/101325</f>
        <v>0.83048317295830254</v>
      </c>
      <c r="L13" s="21">
        <f>J13/100*M13</f>
        <v>1169.0948153478178</v>
      </c>
      <c r="M13" s="21">
        <f>288.68*(1.098+(G13)/100)^8.02</f>
        <v>2338.1896306956355</v>
      </c>
      <c r="N13" s="20"/>
    </row>
    <row r="14" spans="2:14">
      <c r="B14" s="29" t="s">
        <v>25</v>
      </c>
      <c r="C14" s="6">
        <f>C15*C16/3600/K13</f>
        <v>0.46960614338610013</v>
      </c>
      <c r="D14" s="22" t="s">
        <v>26</v>
      </c>
      <c r="F14" s="2" t="s">
        <v>27</v>
      </c>
      <c r="G14" s="21">
        <f>G13+C13</f>
        <v>25.614811554609751</v>
      </c>
      <c r="H14" s="21">
        <f>H13</f>
        <v>7.2604503329652372</v>
      </c>
      <c r="I14" s="21">
        <f>1.009*(G14)+H14/1000*(2501.6+1.854*(G14))</f>
        <v>44.352885185914332</v>
      </c>
      <c r="J14" s="21">
        <f>L14/M14*100</f>
        <v>35.601668901609415</v>
      </c>
      <c r="K14" s="21">
        <f>(G14+273.15)*287.05/101325</f>
        <v>0.84638972767580289</v>
      </c>
      <c r="L14" s="21">
        <f>(H14*101325)/(622+H14)</f>
        <v>1169.094815347818</v>
      </c>
      <c r="M14" s="21">
        <f>288.68*(1.098+(G14)/100)^8.02</f>
        <v>3283.8202573558783</v>
      </c>
      <c r="N14" s="20"/>
    </row>
    <row r="15" spans="2:14" ht="17.25">
      <c r="B15" s="1" t="s">
        <v>28</v>
      </c>
      <c r="C15" s="2">
        <v>54</v>
      </c>
      <c r="D15" s="2" t="s">
        <v>29</v>
      </c>
      <c r="G15" s="17"/>
      <c r="H15" s="17"/>
      <c r="I15" s="17"/>
      <c r="J15" s="17"/>
      <c r="K15" s="17"/>
      <c r="L15" s="17"/>
      <c r="M15" s="17"/>
      <c r="N15" s="20"/>
    </row>
    <row r="16" spans="2:14" ht="18.75">
      <c r="B16" s="1" t="s">
        <v>30</v>
      </c>
      <c r="C16" s="2">
        <v>26</v>
      </c>
      <c r="D16" s="2" t="s">
        <v>31</v>
      </c>
      <c r="F16" s="3" t="s">
        <v>32</v>
      </c>
      <c r="G16" s="1">
        <f>C14*(I14-I12)</f>
        <v>7.8562619101178166</v>
      </c>
      <c r="H16" s="2" t="s">
        <v>33</v>
      </c>
      <c r="N16" s="20"/>
    </row>
    <row r="17" spans="2:14" ht="18.75">
      <c r="B17" s="23" t="s">
        <v>34</v>
      </c>
      <c r="C17" s="6">
        <f>C11/C14/1000</f>
        <v>8.8790150187021961</v>
      </c>
      <c r="D17" s="22" t="s">
        <v>23</v>
      </c>
      <c r="F17" s="2" t="s">
        <v>35</v>
      </c>
      <c r="G17" s="1">
        <f>(C14*(H14-H11))*3.6</f>
        <v>9.3713707207339532</v>
      </c>
      <c r="H17" s="2" t="s">
        <v>26</v>
      </c>
      <c r="N17" s="20"/>
    </row>
    <row r="18" spans="2:14" ht="18.75">
      <c r="B18" s="2" t="s">
        <v>36</v>
      </c>
      <c r="C18" s="5">
        <f>C15*C16/3600/K25</f>
        <v>0.46173080977238051</v>
      </c>
      <c r="D18" s="2" t="s">
        <v>26</v>
      </c>
      <c r="F18" s="2" t="s">
        <v>37</v>
      </c>
      <c r="G18" s="1">
        <f>C14*(I12-I10)</f>
        <v>14.757472572474454</v>
      </c>
      <c r="H18" s="2" t="s">
        <v>33</v>
      </c>
      <c r="N18" s="17"/>
    </row>
    <row r="21" spans="2:14">
      <c r="F21" s="173" t="s">
        <v>38</v>
      </c>
      <c r="G21" s="174"/>
      <c r="H21" s="174"/>
      <c r="I21" s="174"/>
      <c r="J21" s="174"/>
      <c r="K21" s="174"/>
      <c r="L21" s="174"/>
      <c r="M21" s="175"/>
    </row>
    <row r="22" spans="2:14">
      <c r="F22" s="1"/>
      <c r="G22" s="3" t="s">
        <v>10</v>
      </c>
      <c r="H22" s="3" t="s">
        <v>11</v>
      </c>
      <c r="I22" s="3" t="s">
        <v>12</v>
      </c>
      <c r="J22" s="3" t="s">
        <v>13</v>
      </c>
      <c r="K22" s="3" t="s">
        <v>14</v>
      </c>
      <c r="L22" s="28" t="s">
        <v>15</v>
      </c>
      <c r="M22" s="28" t="s">
        <v>16</v>
      </c>
    </row>
    <row r="23" spans="2:14">
      <c r="F23" s="2" t="s">
        <v>19</v>
      </c>
      <c r="G23" s="27">
        <v>32</v>
      </c>
      <c r="H23" s="21">
        <f>622*L23/(101325-L23)</f>
        <v>21.40148755020558</v>
      </c>
      <c r="I23" s="21">
        <f>1.009*(G23)+H23/1000*(2501.6+1.854*(G23))</f>
        <v>87.095668708972866</v>
      </c>
      <c r="J23" s="27">
        <v>50</v>
      </c>
      <c r="K23" s="21">
        <f>(G23+273.15)*287.05/101325</f>
        <v>0.86447873180360224</v>
      </c>
      <c r="L23" s="21">
        <f>(J23/100)*M23</f>
        <v>3370.3772340989012</v>
      </c>
      <c r="M23" s="21">
        <f>4.689*(1.486+(G23)/100)^12.3</f>
        <v>6740.7544681978025</v>
      </c>
    </row>
    <row r="24" spans="2:14">
      <c r="F24" s="22">
        <v>3</v>
      </c>
      <c r="G24" s="21">
        <f>((M24/288.68)^(1/8.02)-1.098)*100</f>
        <v>13.838856578538405</v>
      </c>
      <c r="H24" s="21">
        <f>H25</f>
        <v>9.872161374313368</v>
      </c>
      <c r="I24" s="21">
        <f>1.009*(G24)+H24/1000*(2501.6+1.854*(G24))</f>
        <v>38.912897596380809</v>
      </c>
      <c r="J24" s="21">
        <v>100</v>
      </c>
      <c r="K24" s="21">
        <f>(G24+273.15)*287.05/101325</f>
        <v>0.81302888014675012</v>
      </c>
      <c r="L24" s="21">
        <f>(H24*101325)/(622+H24)</f>
        <v>1583.0682413301295</v>
      </c>
      <c r="M24" s="21">
        <f>L24</f>
        <v>1583.0682413301295</v>
      </c>
    </row>
    <row r="25" spans="2:14">
      <c r="F25" s="2" t="s">
        <v>24</v>
      </c>
      <c r="G25" s="27">
        <v>25</v>
      </c>
      <c r="H25" s="21">
        <f>622*L25/(101325-L25)</f>
        <v>9.872161374313368</v>
      </c>
      <c r="I25" s="21">
        <f>1.009*(G25)+H25/1000*(2501.6+1.854*(G25))</f>
        <v>50.378773573681741</v>
      </c>
      <c r="J25" s="27">
        <v>50</v>
      </c>
      <c r="K25" s="21">
        <f>(G25+273.15)*287.05/101325</f>
        <v>0.84464798914384409</v>
      </c>
      <c r="L25" s="21">
        <f>J25/100*M25</f>
        <v>1583.0682413301295</v>
      </c>
      <c r="M25" s="21">
        <f>288.68*(1.098+(G25)/100)^8.02</f>
        <v>3166.1364826602589</v>
      </c>
    </row>
    <row r="26" spans="2:14">
      <c r="F26" s="9" t="s">
        <v>27</v>
      </c>
      <c r="G26" s="21">
        <f>G25-C17</f>
        <v>16.120984981297802</v>
      </c>
      <c r="H26" s="21">
        <f>H25</f>
        <v>9.872161374313368</v>
      </c>
      <c r="I26" s="21">
        <f>1.009*(G26)+H26/1000*(2501.6+1.854*(G26))</f>
        <v>41.257334921682059</v>
      </c>
      <c r="J26" s="21">
        <f>L26/M26*100</f>
        <v>86.356708373877382</v>
      </c>
      <c r="K26" s="21">
        <f>(G26+273.15)*287.05/101325</f>
        <v>0.819494066014128</v>
      </c>
      <c r="L26" s="21">
        <f>(H26*101325)/(622+H26)</f>
        <v>1583.0682413301295</v>
      </c>
      <c r="M26" s="21">
        <f>288.68*(1.098+(G26)/100)^8.02</f>
        <v>1833.1734397243449</v>
      </c>
    </row>
    <row r="28" spans="2:14" ht="18.75">
      <c r="F28" s="2" t="s">
        <v>32</v>
      </c>
      <c r="G28" s="1">
        <f>C18*(I26-I24)</f>
        <v>1.08249894467194</v>
      </c>
      <c r="H28" s="2" t="s">
        <v>33</v>
      </c>
    </row>
    <row r="29" spans="2:14" ht="18.75">
      <c r="F29" s="3" t="s">
        <v>39</v>
      </c>
      <c r="G29" s="1">
        <f>C18*(I24-I23)</f>
        <v>-22.247469922894393</v>
      </c>
      <c r="H29" s="2" t="s">
        <v>40</v>
      </c>
    </row>
    <row r="30" spans="2:14" ht="18.75">
      <c r="F30" s="2" t="s">
        <v>35</v>
      </c>
      <c r="G30" s="1">
        <f>C18*(H25-H23)*3.6</f>
        <v>-19.164402400768612</v>
      </c>
      <c r="H30" s="2" t="s">
        <v>33</v>
      </c>
    </row>
    <row r="33" spans="6:12" ht="16.149999999999999" customHeight="1"/>
    <row r="45" spans="6:12">
      <c r="F45" s="13" t="s">
        <v>41</v>
      </c>
    </row>
    <row r="46" spans="6:12">
      <c r="F46" s="219" t="s">
        <v>42</v>
      </c>
      <c r="G46" s="220"/>
      <c r="H46" s="220"/>
      <c r="I46" s="220"/>
      <c r="J46" s="220"/>
      <c r="K46" s="220"/>
      <c r="L46" s="221"/>
    </row>
    <row r="47" spans="6:12">
      <c r="F47" s="14"/>
      <c r="G47" s="9" t="s">
        <v>10</v>
      </c>
      <c r="H47" s="9" t="s">
        <v>11</v>
      </c>
      <c r="I47" s="9" t="s">
        <v>12</v>
      </c>
      <c r="J47" s="9" t="s">
        <v>13</v>
      </c>
      <c r="K47" s="9" t="s">
        <v>14</v>
      </c>
      <c r="L47" s="15" t="s">
        <v>43</v>
      </c>
    </row>
    <row r="48" spans="6:12">
      <c r="F48" s="2" t="s">
        <v>19</v>
      </c>
      <c r="G48" s="1">
        <v>-8</v>
      </c>
      <c r="H48" s="1"/>
      <c r="I48" s="1"/>
      <c r="J48" s="1">
        <v>90</v>
      </c>
      <c r="K48" s="1"/>
      <c r="L48" s="1"/>
    </row>
    <row r="49" spans="6:12">
      <c r="F49" s="2">
        <v>1</v>
      </c>
      <c r="G49" s="1"/>
      <c r="H49" s="1"/>
      <c r="I49" s="1"/>
      <c r="J49" s="1"/>
      <c r="K49" s="1"/>
      <c r="L49" s="1"/>
    </row>
    <row r="50" spans="6:12">
      <c r="F50" s="2">
        <v>2</v>
      </c>
      <c r="G50" s="1"/>
      <c r="H50" s="1"/>
      <c r="I50" s="1"/>
      <c r="J50" s="1"/>
      <c r="K50" s="1"/>
      <c r="L50" s="1"/>
    </row>
    <row r="51" spans="6:12">
      <c r="F51" s="2">
        <v>3</v>
      </c>
      <c r="G51" s="1"/>
      <c r="H51" s="1"/>
      <c r="I51" s="1"/>
      <c r="J51" s="1"/>
      <c r="K51" s="1"/>
      <c r="L51" s="1"/>
    </row>
    <row r="52" spans="6:12">
      <c r="F52" s="2" t="s">
        <v>27</v>
      </c>
      <c r="G52" s="1">
        <v>32</v>
      </c>
      <c r="H52" s="1"/>
      <c r="I52" s="1"/>
      <c r="J52" s="1">
        <v>50</v>
      </c>
      <c r="K52" s="1"/>
      <c r="L52" s="1"/>
    </row>
    <row r="55" spans="6:12">
      <c r="F55" s="222" t="s">
        <v>44</v>
      </c>
      <c r="G55" s="223"/>
      <c r="H55" s="223"/>
      <c r="I55" s="223"/>
      <c r="J55" s="223"/>
      <c r="K55" s="223"/>
      <c r="L55" s="224"/>
    </row>
    <row r="56" spans="6:12">
      <c r="F56" s="1"/>
      <c r="G56" s="2" t="s">
        <v>10</v>
      </c>
      <c r="H56" s="2" t="s">
        <v>11</v>
      </c>
      <c r="I56" s="2" t="s">
        <v>12</v>
      </c>
      <c r="J56" s="2" t="s">
        <v>13</v>
      </c>
      <c r="K56" s="2" t="s">
        <v>14</v>
      </c>
      <c r="L56" s="7" t="s">
        <v>43</v>
      </c>
    </row>
    <row r="57" spans="6:12">
      <c r="F57" s="2" t="s">
        <v>19</v>
      </c>
      <c r="G57" s="1">
        <v>32</v>
      </c>
      <c r="H57" s="1"/>
      <c r="I57" s="1"/>
      <c r="J57" s="1">
        <v>50</v>
      </c>
      <c r="K57" s="1"/>
      <c r="L57" s="1"/>
    </row>
    <row r="58" spans="6:12">
      <c r="F58" s="2">
        <v>1</v>
      </c>
      <c r="G58" s="1"/>
      <c r="H58" s="1"/>
      <c r="I58" s="1"/>
      <c r="J58" s="1"/>
      <c r="K58" s="1"/>
      <c r="L58" s="1"/>
    </row>
    <row r="59" spans="6:12">
      <c r="F59" s="2">
        <v>3</v>
      </c>
      <c r="G59" s="1"/>
      <c r="H59" s="1"/>
      <c r="I59" s="1"/>
      <c r="J59" s="1"/>
      <c r="K59" s="1"/>
      <c r="L59" s="1"/>
    </row>
    <row r="60" spans="6:12">
      <c r="F60" s="2" t="s">
        <v>27</v>
      </c>
      <c r="G60" s="1">
        <v>33</v>
      </c>
      <c r="H60" s="1"/>
      <c r="I60" s="1"/>
      <c r="J60" s="1">
        <v>50</v>
      </c>
      <c r="K60" s="1"/>
      <c r="L60" s="1"/>
    </row>
    <row r="67" spans="6:12">
      <c r="F67" s="8" t="s">
        <v>45</v>
      </c>
    </row>
    <row r="68" spans="6:12">
      <c r="F68" s="225" t="s">
        <v>46</v>
      </c>
      <c r="G68" s="226"/>
      <c r="H68" s="226"/>
      <c r="I68" s="226"/>
      <c r="J68" s="226"/>
      <c r="K68" s="226"/>
      <c r="L68" s="227"/>
    </row>
    <row r="69" spans="6:12">
      <c r="F69" s="1"/>
      <c r="G69" s="2" t="s">
        <v>10</v>
      </c>
      <c r="H69" s="2" t="s">
        <v>11</v>
      </c>
      <c r="I69" s="2" t="s">
        <v>12</v>
      </c>
      <c r="J69" s="2" t="s">
        <v>13</v>
      </c>
      <c r="K69" s="2" t="s">
        <v>14</v>
      </c>
      <c r="L69" s="7" t="s">
        <v>43</v>
      </c>
    </row>
    <row r="70" spans="6:12">
      <c r="F70" s="2" t="s">
        <v>19</v>
      </c>
      <c r="G70" s="1">
        <v>-8</v>
      </c>
      <c r="H70" s="1"/>
      <c r="I70" s="1"/>
      <c r="J70" s="1">
        <v>90</v>
      </c>
      <c r="K70" s="1"/>
      <c r="L70" s="1"/>
    </row>
    <row r="71" spans="6:12">
      <c r="F71" s="2">
        <v>1</v>
      </c>
      <c r="G71" s="1"/>
      <c r="H71" s="1"/>
      <c r="I71" s="1"/>
      <c r="J71" s="1"/>
      <c r="K71" s="1"/>
      <c r="L71" s="1"/>
    </row>
    <row r="72" spans="6:12">
      <c r="F72" s="2">
        <v>2</v>
      </c>
      <c r="G72" s="1"/>
      <c r="H72" s="1"/>
      <c r="I72" s="1"/>
      <c r="J72" s="1"/>
      <c r="K72" s="1"/>
      <c r="L72" s="1"/>
    </row>
    <row r="73" spans="6:12">
      <c r="F73" s="2">
        <v>3</v>
      </c>
      <c r="G73" s="1"/>
      <c r="H73" s="1"/>
      <c r="I73" s="1"/>
      <c r="J73" s="1"/>
      <c r="K73" s="1"/>
      <c r="L73" s="1"/>
    </row>
    <row r="74" spans="6:12">
      <c r="F74" s="2" t="s">
        <v>27</v>
      </c>
      <c r="G74" s="1"/>
      <c r="H74" s="1"/>
      <c r="I74" s="1"/>
      <c r="J74" s="1">
        <v>50</v>
      </c>
      <c r="K74" s="1"/>
      <c r="L74" s="1"/>
    </row>
    <row r="77" spans="6:12">
      <c r="F77" s="2" t="s">
        <v>47</v>
      </c>
      <c r="G77" s="2"/>
      <c r="H77" s="2"/>
      <c r="I77" s="2"/>
      <c r="J77" s="2"/>
      <c r="K77" s="2"/>
      <c r="L77" s="2"/>
    </row>
    <row r="78" spans="6:12">
      <c r="F78" s="1"/>
      <c r="G78" s="2" t="s">
        <v>10</v>
      </c>
      <c r="H78" s="2" t="s">
        <v>11</v>
      </c>
      <c r="I78" s="2" t="s">
        <v>12</v>
      </c>
      <c r="J78" s="2" t="s">
        <v>13</v>
      </c>
      <c r="K78" s="2" t="s">
        <v>14</v>
      </c>
      <c r="L78" s="7" t="s">
        <v>43</v>
      </c>
    </row>
    <row r="79" spans="6:12">
      <c r="F79" s="2" t="s">
        <v>19</v>
      </c>
      <c r="G79" s="1">
        <v>32</v>
      </c>
      <c r="H79" s="1"/>
      <c r="I79" s="1"/>
      <c r="J79" s="1">
        <v>50</v>
      </c>
      <c r="K79" s="1"/>
      <c r="L79" s="1"/>
    </row>
    <row r="80" spans="6:12">
      <c r="F80" s="2">
        <v>1</v>
      </c>
      <c r="G80" s="1"/>
      <c r="H80" s="1"/>
      <c r="I80" s="1"/>
      <c r="J80" s="1"/>
      <c r="K80" s="1"/>
      <c r="L80" s="1"/>
    </row>
    <row r="81" spans="6:12">
      <c r="F81" s="2">
        <v>2</v>
      </c>
      <c r="G81" s="1"/>
      <c r="H81" s="1"/>
      <c r="I81" s="1"/>
      <c r="J81" s="1"/>
      <c r="K81" s="1"/>
      <c r="L81" s="1"/>
    </row>
    <row r="82" spans="6:12">
      <c r="F82" s="2">
        <v>3</v>
      </c>
      <c r="G82" s="1"/>
      <c r="H82" s="1"/>
      <c r="I82" s="1"/>
      <c r="J82" s="1"/>
      <c r="K82" s="1"/>
      <c r="L82" s="1"/>
    </row>
    <row r="83" spans="6:12">
      <c r="F83" s="2" t="s">
        <v>27</v>
      </c>
      <c r="G83" s="1">
        <v>33</v>
      </c>
      <c r="H83" s="1"/>
      <c r="I83" s="1"/>
      <c r="J83" s="1">
        <v>50</v>
      </c>
      <c r="K83" s="1"/>
      <c r="L83" s="1"/>
    </row>
    <row r="88" spans="6:12">
      <c r="F88" s="13" t="s">
        <v>48</v>
      </c>
    </row>
    <row r="89" spans="6:12">
      <c r="F89" s="219" t="s">
        <v>49</v>
      </c>
      <c r="G89" s="220"/>
      <c r="H89" s="220"/>
      <c r="I89" s="220"/>
      <c r="J89" s="220"/>
      <c r="K89" s="220"/>
      <c r="L89" s="221"/>
    </row>
    <row r="90" spans="6:12">
      <c r="F90" s="14"/>
      <c r="G90" s="9" t="s">
        <v>10</v>
      </c>
      <c r="H90" s="9" t="s">
        <v>11</v>
      </c>
      <c r="I90" s="9" t="s">
        <v>12</v>
      </c>
      <c r="J90" s="9" t="s">
        <v>13</v>
      </c>
      <c r="K90" s="9" t="s">
        <v>14</v>
      </c>
      <c r="L90" s="15" t="s">
        <v>43</v>
      </c>
    </row>
    <row r="91" spans="6:12">
      <c r="F91" s="2" t="s">
        <v>19</v>
      </c>
      <c r="G91" s="1">
        <v>-8</v>
      </c>
      <c r="H91" s="1"/>
      <c r="I91" s="1"/>
      <c r="J91" s="1">
        <v>90</v>
      </c>
      <c r="K91" s="1"/>
      <c r="L91" s="1"/>
    </row>
    <row r="92" spans="6:12">
      <c r="F92" s="2">
        <v>1</v>
      </c>
      <c r="G92" s="1"/>
      <c r="H92" s="1"/>
      <c r="I92" s="1"/>
      <c r="J92" s="1"/>
      <c r="K92" s="1"/>
      <c r="L92" s="1"/>
    </row>
    <row r="93" spans="6:12">
      <c r="F93" s="2">
        <v>2</v>
      </c>
      <c r="G93" s="1"/>
      <c r="H93" s="1"/>
      <c r="I93" s="1"/>
      <c r="J93" s="1"/>
      <c r="K93" s="1"/>
      <c r="L93" s="1"/>
    </row>
    <row r="94" spans="6:12">
      <c r="F94" s="2" t="s">
        <v>27</v>
      </c>
      <c r="G94" s="1">
        <v>32</v>
      </c>
      <c r="H94" s="1"/>
      <c r="I94" s="1"/>
      <c r="J94" s="1">
        <v>50</v>
      </c>
      <c r="K94" s="1"/>
      <c r="L94" s="1"/>
    </row>
    <row r="95" spans="6:12">
      <c r="F95" s="2">
        <v>3</v>
      </c>
      <c r="G95" s="1"/>
      <c r="H95" s="1"/>
      <c r="I95" s="1"/>
      <c r="J95" s="1"/>
      <c r="K95" s="1"/>
      <c r="L95" s="1"/>
    </row>
    <row r="97" spans="6:12">
      <c r="F97" s="10" t="s">
        <v>50</v>
      </c>
      <c r="G97" s="11"/>
      <c r="H97" s="11"/>
      <c r="I97" s="11"/>
      <c r="J97" s="11"/>
      <c r="K97" s="11"/>
      <c r="L97" s="12"/>
    </row>
    <row r="98" spans="6:12">
      <c r="F98" s="1"/>
      <c r="G98" s="2" t="s">
        <v>10</v>
      </c>
      <c r="H98" s="2" t="s">
        <v>11</v>
      </c>
      <c r="I98" s="2" t="s">
        <v>12</v>
      </c>
      <c r="J98" s="2" t="s">
        <v>13</v>
      </c>
      <c r="K98" s="2" t="s">
        <v>14</v>
      </c>
      <c r="L98" s="7" t="s">
        <v>43</v>
      </c>
    </row>
    <row r="99" spans="6:12">
      <c r="F99" s="2" t="s">
        <v>19</v>
      </c>
      <c r="G99" s="1">
        <v>32</v>
      </c>
      <c r="H99" s="1"/>
      <c r="I99" s="1"/>
      <c r="J99" s="1">
        <v>50</v>
      </c>
      <c r="K99" s="1"/>
      <c r="L99" s="1"/>
    </row>
    <row r="100" spans="6:12">
      <c r="F100" s="2">
        <v>1</v>
      </c>
      <c r="G100" s="1"/>
      <c r="H100" s="1"/>
      <c r="I100" s="1"/>
      <c r="J100" s="1"/>
      <c r="K100" s="1"/>
      <c r="L100" s="1"/>
    </row>
    <row r="101" spans="6:12">
      <c r="F101" s="2">
        <v>2</v>
      </c>
      <c r="G101" s="1"/>
      <c r="H101" s="1"/>
      <c r="I101" s="1"/>
      <c r="J101" s="1"/>
      <c r="K101" s="1"/>
      <c r="L101" s="1"/>
    </row>
    <row r="102" spans="6:12">
      <c r="F102" s="2">
        <v>3</v>
      </c>
      <c r="G102" s="1"/>
      <c r="H102" s="1"/>
      <c r="I102" s="1"/>
      <c r="J102" s="1"/>
      <c r="K102" s="1"/>
      <c r="L102" s="1"/>
    </row>
    <row r="103" spans="6:12">
      <c r="F103" s="2" t="s">
        <v>27</v>
      </c>
      <c r="G103" s="1">
        <v>33</v>
      </c>
      <c r="H103" s="1"/>
      <c r="I103" s="1"/>
      <c r="J103" s="1">
        <v>50</v>
      </c>
      <c r="K103" s="1"/>
      <c r="L103" s="1"/>
    </row>
  </sheetData>
  <mergeCells count="7">
    <mergeCell ref="F3:H3"/>
    <mergeCell ref="F89:L89"/>
    <mergeCell ref="F55:L55"/>
    <mergeCell ref="F46:L46"/>
    <mergeCell ref="F68:L68"/>
    <mergeCell ref="F8:M8"/>
    <mergeCell ref="F21:M2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09D57887C8E047A522BE8783315FD5" ma:contentTypeVersion="10" ma:contentTypeDescription="Crée un document." ma:contentTypeScope="" ma:versionID="ea4607b7ca8c05549335fa5f028516eb">
  <xsd:schema xmlns:xsd="http://www.w3.org/2001/XMLSchema" xmlns:xs="http://www.w3.org/2001/XMLSchema" xmlns:p="http://schemas.microsoft.com/office/2006/metadata/properties" xmlns:ns3="98a26963-9f1c-41ce-b32f-bd6ae39f9e45" targetNamespace="http://schemas.microsoft.com/office/2006/metadata/properties" ma:root="true" ma:fieldsID="fee2f8726241ce61c5c7184f759e20df" ns3:_="">
    <xsd:import namespace="98a26963-9f1c-41ce-b32f-bd6ae39f9e4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a26963-9f1c-41ce-b32f-bd6ae39f9e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8a26963-9f1c-41ce-b32f-bd6ae39f9e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73CF67-5789-44ED-B029-9BAA8B72C56D}">
  <ds:schemaRefs>
    <ds:schemaRef ds:uri="http://schemas.microsoft.com/office/2006/metadata/contentType"/>
    <ds:schemaRef ds:uri="http://schemas.microsoft.com/office/2006/metadata/properties/metaAttributes"/>
    <ds:schemaRef ds:uri="http://www.w3.org/2000/xmlns/"/>
    <ds:schemaRef ds:uri="http://www.w3.org/2001/XMLSchema"/>
    <ds:schemaRef ds:uri="98a26963-9f1c-41ce-b32f-bd6ae39f9e45"/>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288B3C-86FB-4AFD-825D-C4E0C1FA85A2}">
  <ds:schemaRefs>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infopath/2007/PartnerControls"/>
    <ds:schemaRef ds:uri="98a26963-9f1c-41ce-b32f-bd6ae39f9e45"/>
    <ds:schemaRef ds:uri="http://purl.org/dc/dcmitype/"/>
    <ds:schemaRef ds:uri="http://purl.org/dc/elements/1.1/"/>
  </ds:schemaRefs>
</ds:datastoreItem>
</file>

<file path=customXml/itemProps3.xml><?xml version="1.0" encoding="utf-8"?>
<ds:datastoreItem xmlns:ds="http://schemas.openxmlformats.org/officeDocument/2006/customXml" ds:itemID="{6D71C0E7-E52A-467C-BF5E-BFB9AB7744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planning</vt:lpstr>
      <vt:lpstr>Données</vt:lpstr>
      <vt:lpstr>Ecart de soufflage</vt:lpstr>
      <vt:lpstr>Climatisation  sans recyclage</vt:lpstr>
      <vt:lpstr>Climatisation avec recyclage</vt:lpstr>
      <vt:lpstr>Clim récupérateur à roue</vt:lpstr>
      <vt:lpstr>Clim récupérateur à plaques</vt:lpstr>
      <vt:lpstr>Ventilo convecteur</vt:lpstr>
      <vt:lpstr>Récap</vt:lpstr>
      <vt:lpstr>Climatisation brouillon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Marouane Azouaoui</dc:creator>
  <cp:keywords/>
  <dc:description/>
  <cp:lastModifiedBy>Walid Abdelkhalek</cp:lastModifiedBy>
  <cp:revision/>
  <dcterms:created xsi:type="dcterms:W3CDTF">2024-11-19T07:43:56Z</dcterms:created>
  <dcterms:modified xsi:type="dcterms:W3CDTF">2026-09-03T17:28:13Z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0x0101004E09D57887C8E047A522BE8783315FD5</vt:lpwstr>
  </property>
</Properties>
</file>